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4.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63.xml" ContentType="application/vnd.openxmlformats-officedocument.spreadsheetml.revisionLog+xml"/>
  <Override PartName="/xl/revisions/revisionLog41.xml" ContentType="application/vnd.openxmlformats-officedocument.spreadsheetml.revisionLog+xml"/>
  <Override PartName="/xl/revisions/revisionLog50.xml" ContentType="application/vnd.openxmlformats-officedocument.spreadsheetml.revisionLog+xml"/>
  <Override PartName="/xl/revisions/revisionLog71.xml" ContentType="application/vnd.openxmlformats-officedocument.spreadsheetml.revisionLog+xml"/>
  <Override PartName="/xl/revisions/revisionLog76.xml" ContentType="application/vnd.openxmlformats-officedocument.spreadsheetml.revisionLog+xml"/>
  <Override PartName="/xl/revisions/revisionLog80.xml" ContentType="application/vnd.openxmlformats-officedocument.spreadsheetml.revisionLog+xml"/>
  <Override PartName="/xl/revisions/revisionLog97.xml" ContentType="application/vnd.openxmlformats-officedocument.spreadsheetml.revisionLog+xml"/>
  <Override PartName="/xl/revisions/revisionLog102.xml" ContentType="application/vnd.openxmlformats-officedocument.spreadsheetml.revisionLog+xml"/>
  <Override PartName="/xl/revisions/revisionLog58.xml" ContentType="application/vnd.openxmlformats-officedocument.spreadsheetml.revisionLog+xml"/>
  <Override PartName="/xl/revisions/revisionLog4.xml" ContentType="application/vnd.openxmlformats-officedocument.spreadsheetml.revisionLog+xml"/>
  <Override PartName="/xl/revisions/revisionLog12.xml" ContentType="application/vnd.openxmlformats-officedocument.spreadsheetml.revisionLog+xml"/>
  <Override PartName="/xl/revisions/revisionLog7.xml" ContentType="application/vnd.openxmlformats-officedocument.spreadsheetml.revisionLog+xml"/>
  <Override PartName="/xl/revisions/revisionLog74.xml" ContentType="application/vnd.openxmlformats-officedocument.spreadsheetml.revisionLog+xml"/>
  <Override PartName="/xl/revisions/revisionLog2.xml" ContentType="application/vnd.openxmlformats-officedocument.spreadsheetml.revisionLog+xml"/>
  <Override PartName="/xl/revisions/revisionLog69.xml" ContentType="application/vnd.openxmlformats-officedocument.spreadsheetml.revisionLog+xml"/>
  <Override PartName="/xl/revisions/revisionLog94.xml" ContentType="application/vnd.openxmlformats-officedocument.spreadsheetml.revisionLog+xml"/>
  <Override PartName="/xl/revisions/revisionLog100.xml" ContentType="application/vnd.openxmlformats-officedocument.spreadsheetml.revisionLog+xml"/>
  <Override PartName="/xl/revisions/revisionLog105.xml" ContentType="application/vnd.openxmlformats-officedocument.spreadsheetml.revisionLog+xml"/>
  <Override PartName="/xl/revisions/revisionLog48.xml" ContentType="application/vnd.openxmlformats-officedocument.spreadsheetml.revisionLog+xml"/>
  <Override PartName="/xl/revisions/revisionLog53.xml" ContentType="application/vnd.openxmlformats-officedocument.spreadsheetml.revisionLog+xml"/>
  <Override PartName="/xl/revisions/revisionLog61.xml" ContentType="application/vnd.openxmlformats-officedocument.spreadsheetml.revisionLog+xml"/>
  <Override PartName="/xl/revisions/revisionLog66.xml" ContentType="application/vnd.openxmlformats-officedocument.spreadsheetml.revisionLog+xml"/>
  <Override PartName="/xl/revisions/revisionLog78.xml" ContentType="application/vnd.openxmlformats-officedocument.spreadsheetml.revisionLog+xml"/>
  <Override PartName="/xl/revisions/revisionLog65.xml" ContentType="application/vnd.openxmlformats-officedocument.spreadsheetml.revisionLog+xml"/>
  <Override PartName="/xl/revisions/revisionLog104.xml" ContentType="application/vnd.openxmlformats-officedocument.spreadsheetml.revisionLog+xml"/>
  <Override PartName="/xl/revisions/revisionLog96.xml" ContentType="application/vnd.openxmlformats-officedocument.spreadsheetml.revisionLog+xml"/>
  <Override PartName="/xl/revisions/revisionLog43.xml" ContentType="application/vnd.openxmlformats-officedocument.spreadsheetml.revisionLog+xml"/>
  <Override PartName="/xl/revisions/revisionLog10.xml" ContentType="application/vnd.openxmlformats-officedocument.spreadsheetml.revisionLog+xml"/>
  <Override PartName="/xl/revisions/revisionLog77.xml" ContentType="application/vnd.openxmlformats-officedocument.spreadsheetml.revisionLog+xml"/>
  <Override PartName="/xl/revisions/revisionLog1.xml" ContentType="application/vnd.openxmlformats-officedocument.spreadsheetml.revisionLog+xml"/>
  <Override PartName="/xl/revisions/revisionLog99.xml" ContentType="application/vnd.openxmlformats-officedocument.spreadsheetml.revisionLog+xml"/>
  <Override PartName="/xl/revisions/revisionLog47.xml" ContentType="application/vnd.openxmlformats-officedocument.spreadsheetml.revisionLog+xml"/>
  <Override PartName="/xl/revisions/revisionLog52.xml" ContentType="application/vnd.openxmlformats-officedocument.spreadsheetml.revisionLog+xml"/>
  <Override PartName="/xl/revisions/revisionLog60.xml" ContentType="application/vnd.openxmlformats-officedocument.spreadsheetml.revisionLog+xml"/>
  <Override PartName="/xl/revisions/revisionLog68.xml" ContentType="application/vnd.openxmlformats-officedocument.spreadsheetml.revisionLog+xml"/>
  <Override PartName="/xl/revisions/revisionLog73.xml" ContentType="application/vnd.openxmlformats-officedocument.spreadsheetml.revisionLog+xml"/>
  <Override PartName="/xl/revisions/revisionLog9.xml" ContentType="application/vnd.openxmlformats-officedocument.spreadsheetml.revisionLog+xml"/>
  <Override PartName="/xl/revisions/revisionLog72.xml" ContentType="application/vnd.openxmlformats-officedocument.spreadsheetml.revisionLog+xml"/>
  <Override PartName="/xl/revisions/revisionLog64.xml" ContentType="application/vnd.openxmlformats-officedocument.spreadsheetml.revisionLog+xml"/>
  <Override PartName="/xl/revisions/revisionLog56.xml" ContentType="application/vnd.openxmlformats-officedocument.spreadsheetml.revisionLog+xml"/>
  <Override PartName="/xl/revisions/revisionLog5.xml" ContentType="application/vnd.openxmlformats-officedocument.spreadsheetml.revisionLog+xml"/>
  <Override PartName="/xl/revisions/revisionLog51.xml" ContentType="application/vnd.openxmlformats-officedocument.spreadsheetml.revisionLog+xml"/>
  <Override PartName="/xl/revisions/revisionLog42.xml" ContentType="application/vnd.openxmlformats-officedocument.spreadsheetml.revisionLog+xml"/>
  <Override PartName="/xl/revisions/revisionLog45.xml" ContentType="application/vnd.openxmlformats-officedocument.spreadsheetml.revisionLog+xml"/>
  <Override PartName="/xl/revisions/revisionLog98.xml" ContentType="application/vnd.openxmlformats-officedocument.spreadsheetml.revisionLog+xml"/>
  <Override PartName="/xl/revisions/revisionLog103.xml" ContentType="application/vnd.openxmlformats-officedocument.spreadsheetml.revisionLog+xml"/>
  <Override PartName="/xl/revisions/revisionLog59.xml" ContentType="application/vnd.openxmlformats-officedocument.spreadsheetml.revisionLog+xml"/>
  <Override PartName="/xl/revisions/revisionLog67.xml" ContentType="application/vnd.openxmlformats-officedocument.spreadsheetml.revisionLog+xml"/>
  <Override PartName="/xl/revisions/revisionLog81.xml" ContentType="application/vnd.openxmlformats-officedocument.spreadsheetml.revisionLog+xml"/>
  <Override PartName="/xl/revisions/revisionLog44.xml" ContentType="application/vnd.openxmlformats-officedocument.spreadsheetml.revisionLog+xml"/>
  <Override PartName="/xl/revisions/revisionLog55.xml" ContentType="application/vnd.openxmlformats-officedocument.spreadsheetml.revisionLog+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54.xml" ContentType="application/vnd.openxmlformats-officedocument.spreadsheetml.revisionLog+xml"/>
  <Override PartName="/xl/revisions/revisionLog75.xml" ContentType="application/vnd.openxmlformats-officedocument.spreadsheetml.revisionLog+xml"/>
  <Override PartName="/xl/revisions/revisionLog62.xml" ContentType="application/vnd.openxmlformats-officedocument.spreadsheetml.revisionLog+xml"/>
  <Override PartName="/xl/revisions/revisionLog46.xml" ContentType="application/vnd.openxmlformats-officedocument.spreadsheetml.revisionLog+xml"/>
  <Override PartName="/xl/revisions/revisionLog101.xml" ContentType="application/vnd.openxmlformats-officedocument.spreadsheetml.revisionLog+xml"/>
  <Override PartName="/xl/revisions/revisionLog95.xml" ContentType="application/vnd.openxmlformats-officedocument.spreadsheetml.revisionLog+xml"/>
  <Override PartName="/xl/revisions/revisionLog40.xml" ContentType="application/vnd.openxmlformats-officedocument.spreadsheetml.revisionLog+xml"/>
  <Override PartName="/xl/revisions/revisionLog49.xml" ContentType="application/vnd.openxmlformats-officedocument.spreadsheetml.revisionLog+xml"/>
  <Override PartName="/xl/revisions/revisionLog57.xml" ContentType="application/vnd.openxmlformats-officedocument.spreadsheetml.revisionLog+xml"/>
  <Override PartName="/xl/revisions/revisionLog70.xml" ContentType="application/vnd.openxmlformats-officedocument.spreadsheetml.revisionLog+xml"/>
  <Override PartName="/xl/revisions/revisionLog79.xml" ContentType="application/vnd.openxmlformats-officedocument.spreadsheetml.revisionLog+xml"/>
  <Override PartName="/xl/revisions/revisionLog3.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УК\- ОТДЕЛ КУЛЬТУРЫ -\СЕТЕВЫЕ ГРАФИКИ И ТЕХЗАДАНИЯ\2024\МП Культурное пространство\в УЭ и на сайт\7. июль\"/>
    </mc:Choice>
  </mc:AlternateContent>
  <bookViews>
    <workbookView xWindow="0" yWindow="0" windowWidth="14430" windowHeight="9225" tabRatio="798" firstSheet="7" activeTab="7"/>
  </bookViews>
  <sheets>
    <sheet name="Оглавление" sheetId="1" state="hidden" r:id="rId1"/>
    <sheet name="1.СЗН" sheetId="2" state="hidden" r:id="rId2"/>
    <sheet name="2.АПК" sheetId="3" state="hidden" r:id="rId3"/>
    <sheet name="3.БЖД" sheetId="4" state="hidden" r:id="rId4"/>
    <sheet name="4.УМИ" sheetId="5" state="hidden" r:id="rId5"/>
    <sheet name="5.Проф. прав." sheetId="6" state="hidden" r:id="rId6"/>
    <sheet name="6.Экстримизм" sheetId="7" state="hidden" r:id="rId7"/>
    <sheet name="7.МП КП" sheetId="8" r:id="rId8"/>
    <sheet name="8.МП РМС" sheetId="9" state="hidden" r:id="rId9"/>
    <sheet name="Лист3" sheetId="10" state="hidden" r:id="rId10"/>
    <sheet name="9.МП РИГО" sheetId="11" state="hidden" r:id="rId11"/>
    <sheet name="10.МП РФКиС" sheetId="12" state="hidden" r:id="rId12"/>
    <sheet name="Лист2" sheetId="13" state="hidden" r:id="rId13"/>
    <sheet name="11.МП РО" sheetId="14" state="hidden" r:id="rId14"/>
    <sheet name="12.МП УМФ" sheetId="15" state="hidden" r:id="rId15"/>
    <sheet name="Лист1" sheetId="16" state="hidden" r:id="rId16"/>
    <sheet name="13.МП РЖС" sheetId="17" state="hidden" r:id="rId17"/>
    <sheet name="14.МП СЭР" sheetId="18" state="hidden" r:id="rId18"/>
    <sheet name="15.МП ЭБ" sheetId="19" state="hidden" r:id="rId19"/>
    <sheet name="16.МП РЖКК" sheetId="20" state="hidden" r:id="rId20"/>
    <sheet name="17.МП РТС" sheetId="21" state="hidden" r:id="rId21"/>
    <sheet name="Лист4" sheetId="24" state="hidden" r:id="rId22"/>
    <sheet name="18.МП ФКГС" sheetId="22" state="hidden" r:id="rId23"/>
    <sheet name="19.МП СОГХ" sheetId="23" state="hidden" r:id="rId24"/>
  </sheets>
  <externalReferences>
    <externalReference r:id="rId25"/>
    <externalReference r:id="rId26"/>
  </externalReferences>
  <definedNames>
    <definedName name="_xlnm._FilterDatabase" localSheetId="1" hidden="1">'1.СЗН'!$A$1:$AF$63</definedName>
    <definedName name="_xlnm._FilterDatabase" localSheetId="13" hidden="1">'11.МП РО'!$A$4:$A$380</definedName>
    <definedName name="_xlnm._FilterDatabase" localSheetId="2" hidden="1">'2.АПК'!$A$1:$AF$36</definedName>
    <definedName name="_xlnm._FilterDatabase" localSheetId="3" hidden="1">'3.БЖД'!$A$1:$AF$17</definedName>
    <definedName name="_xlnm._FilterDatabase" localSheetId="4" hidden="1">'4.УМИ'!$A$1:$AF$11</definedName>
    <definedName name="_xlnm._FilterDatabase" localSheetId="5" hidden="1">'5.Проф. прав.'!$A$1:$AF$12</definedName>
    <definedName name="_xlnm._FilterDatabase" localSheetId="6" hidden="1">'6.Экстримизм'!$A$1:$AF$11</definedName>
    <definedName name="Z_009B3074_D8EC_4952_BF50_43CD64449612_.wvu.Cols" localSheetId="16" hidden="1">'13.МП РЖС'!$AG:$AG</definedName>
    <definedName name="Z_009B3074_D8EC_4952_BF50_43CD64449612_.wvu.FilterData" localSheetId="1" hidden="1">'1.СЗН'!$A$1:$AF$63</definedName>
    <definedName name="Z_009B3074_D8EC_4952_BF50_43CD64449612_.wvu.FilterData" localSheetId="2" hidden="1">'2.АПК'!$A$1:$AF$36</definedName>
    <definedName name="Z_009B3074_D8EC_4952_BF50_43CD64449612_.wvu.FilterData" localSheetId="3" hidden="1">'3.БЖД'!$A$1:$AF$17</definedName>
    <definedName name="Z_009B3074_D8EC_4952_BF50_43CD64449612_.wvu.FilterData" localSheetId="4" hidden="1">'4.УМИ'!$A$1:$AF$11</definedName>
    <definedName name="Z_009B3074_D8EC_4952_BF50_43CD64449612_.wvu.FilterData" localSheetId="5" hidden="1">'5.Проф. прав.'!$A$1:$AF$12</definedName>
    <definedName name="Z_009B3074_D8EC_4952_BF50_43CD64449612_.wvu.FilterData" localSheetId="6" hidden="1">'6.Экстримизм'!$A$1:$AF$11</definedName>
    <definedName name="Z_009B3074_D8EC_4952_BF50_43CD64449612_.wvu.Rows" localSheetId="1" hidden="1">'1.СЗН'!$69:$73</definedName>
    <definedName name="Z_009B3074_D8EC_4952_BF50_43CD64449612_.wvu.Rows" localSheetId="16" hidden="1">'13.МП РЖС'!$122:$127</definedName>
    <definedName name="Z_009B3074_D8EC_4952_BF50_43CD64449612_.wvu.Rows" localSheetId="6" hidden="1">'6.Экстримизм'!$9:$23,'6.Экстримизм'!$30:$38,'6.Экстримизм'!$44:$49,'6.Экстримизм'!$65:$67,'6.Экстримизм'!$71:$76,'6.Экстримизм'!$86:$88,'6.Экстримизм'!$95:$97</definedName>
    <definedName name="Z_046AFB83_FD50_413F_A7DB_BE0EF3893FF7_.wvu.FilterData" localSheetId="3" hidden="1">'3.БЖД'!$A$1:$AF$17</definedName>
    <definedName name="Z_06D4F6C4_78B9_4E41_B83A_C6D0A12202C6_.wvu.FilterData" localSheetId="3" hidden="1">'3.БЖД'!$A$1:$AF$17</definedName>
    <definedName name="Z_06D4F6C4_78B9_4E41_B83A_C6D0A12202C6_.wvu.FilterData" localSheetId="4" hidden="1">'4.УМИ'!$A$1:$AF$11</definedName>
    <definedName name="Z_06D4F6C4_78B9_4E41_B83A_C6D0A12202C6_.wvu.FilterData" localSheetId="5" hidden="1">'5.Проф. прав.'!$A$1:$AF$12</definedName>
    <definedName name="Z_09C3E205_981E_4A4E_BE89_8B7044192060_.wvu.Cols" localSheetId="16" hidden="1">'13.МП РЖС'!$AG:$AG</definedName>
    <definedName name="Z_09C3E205_981E_4A4E_BE89_8B7044192060_.wvu.FilterData" localSheetId="1" hidden="1">'1.СЗН'!$A$1:$AF$63</definedName>
    <definedName name="Z_09C3E205_981E_4A4E_BE89_8B7044192060_.wvu.FilterData" localSheetId="13" hidden="1">'11.МП РО'!$A$4:$A$380</definedName>
    <definedName name="Z_09C3E205_981E_4A4E_BE89_8B7044192060_.wvu.FilterData" localSheetId="2" hidden="1">'2.АПК'!$A$1:$AF$36</definedName>
    <definedName name="Z_09C3E205_981E_4A4E_BE89_8B7044192060_.wvu.FilterData" localSheetId="3" hidden="1">'3.БЖД'!$A$1:$AF$17</definedName>
    <definedName name="Z_09C3E205_981E_4A4E_BE89_8B7044192060_.wvu.FilterData" localSheetId="4" hidden="1">'4.УМИ'!$A$1:$AF$11</definedName>
    <definedName name="Z_09C3E205_981E_4A4E_BE89_8B7044192060_.wvu.FilterData" localSheetId="5" hidden="1">'5.Проф. прав.'!$A$1:$AF$12</definedName>
    <definedName name="Z_09C3E205_981E_4A4E_BE89_8B7044192060_.wvu.FilterData" localSheetId="6" hidden="1">'6.Экстримизм'!$A$1:$AF$11</definedName>
    <definedName name="Z_09C3E205_981E_4A4E_BE89_8B7044192060_.wvu.Rows" localSheetId="1" hidden="1">'1.СЗН'!$69:$73</definedName>
    <definedName name="Z_09C3E205_981E_4A4E_BE89_8B7044192060_.wvu.Rows" localSheetId="16" hidden="1">'13.МП РЖС'!$122:$127</definedName>
    <definedName name="Z_09C3E205_981E_4A4E_BE89_8B7044192060_.wvu.Rows" localSheetId="6" hidden="1">'6.Экстримизм'!$9:$23,'6.Экстримизм'!$30:$38,'6.Экстримизм'!$44:$49,'6.Экстримизм'!$65:$67,'6.Экстримизм'!$71:$76,'6.Экстримизм'!$86:$88,'6.Экстримизм'!$95:$97</definedName>
    <definedName name="Z_0C2B9C2A_7B94_41EF_A2E6_F8AC9A67DE25_.wvu.Cols" localSheetId="16" hidden="1">'13.МП РЖС'!$AG:$AG</definedName>
    <definedName name="Z_0C2B9C2A_7B94_41EF_A2E6_F8AC9A67DE25_.wvu.FilterData" localSheetId="1" hidden="1">'1.СЗН'!$A$1:$AF$63</definedName>
    <definedName name="Z_0C2B9C2A_7B94_41EF_A2E6_F8AC9A67DE25_.wvu.FilterData" localSheetId="13" hidden="1">'11.МП РО'!$A$4:$A$380</definedName>
    <definedName name="Z_0C2B9C2A_7B94_41EF_A2E6_F8AC9A67DE25_.wvu.FilterData" localSheetId="2" hidden="1">'2.АПК'!$A$1:$AF$36</definedName>
    <definedName name="Z_0C2B9C2A_7B94_41EF_A2E6_F8AC9A67DE25_.wvu.FilterData" localSheetId="3" hidden="1">'3.БЖД'!$A$1:$AF$17</definedName>
    <definedName name="Z_0C2B9C2A_7B94_41EF_A2E6_F8AC9A67DE25_.wvu.FilterData" localSheetId="4" hidden="1">'4.УМИ'!$A$1:$AF$11</definedName>
    <definedName name="Z_0C2B9C2A_7B94_41EF_A2E6_F8AC9A67DE25_.wvu.FilterData" localSheetId="5" hidden="1">'5.Проф. прав.'!$A$1:$AF$12</definedName>
    <definedName name="Z_0C2B9C2A_7B94_41EF_A2E6_F8AC9A67DE25_.wvu.FilterData" localSheetId="6" hidden="1">'6.Экстримизм'!$A$1:$AF$11</definedName>
    <definedName name="Z_0C2B9C2A_7B94_41EF_A2E6_F8AC9A67DE25_.wvu.Rows" localSheetId="1" hidden="1">'1.СЗН'!$69:$73</definedName>
    <definedName name="Z_0C2B9C2A_7B94_41EF_A2E6_F8AC9A67DE25_.wvu.Rows" localSheetId="16" hidden="1">'13.МП РЖС'!$122:$127</definedName>
    <definedName name="Z_0C2B9C2A_7B94_41EF_A2E6_F8AC9A67DE25_.wvu.Rows" localSheetId="6" hidden="1">'6.Экстримизм'!$9:$23,'6.Экстримизм'!$30:$38,'6.Экстримизм'!$44:$49,'6.Экстримизм'!$65:$67,'6.Экстримизм'!$71:$76,'6.Экстримизм'!$86:$88,'6.Экстримизм'!$95:$97</definedName>
    <definedName name="Z_14D8F805_178B_4C67_A6E6_FCFB130EDA62_.wvu.FilterData" localSheetId="5" hidden="1">'5.Проф. прав.'!$A$1:$AF$12</definedName>
    <definedName name="Z_391AB76E_B386_49C1_800F_016A48AA1A46_.wvu.Cols" localSheetId="16" hidden="1">'13.МП РЖС'!$AG:$AG</definedName>
    <definedName name="Z_391AB76E_B386_49C1_800F_016A48AA1A46_.wvu.FilterData" localSheetId="1" hidden="1">'1.СЗН'!$A$1:$AF$63</definedName>
    <definedName name="Z_391AB76E_B386_49C1_800F_016A48AA1A46_.wvu.FilterData" localSheetId="13" hidden="1">'11.МП РО'!$A$4:$A$380</definedName>
    <definedName name="Z_391AB76E_B386_49C1_800F_016A48AA1A46_.wvu.FilterData" localSheetId="2" hidden="1">'2.АПК'!$A$1:$AF$36</definedName>
    <definedName name="Z_391AB76E_B386_49C1_800F_016A48AA1A46_.wvu.FilterData" localSheetId="3" hidden="1">'3.БЖД'!$A$1:$AF$17</definedName>
    <definedName name="Z_391AB76E_B386_49C1_800F_016A48AA1A46_.wvu.FilterData" localSheetId="4" hidden="1">'4.УМИ'!$A$1:$AF$11</definedName>
    <definedName name="Z_391AB76E_B386_49C1_800F_016A48AA1A46_.wvu.FilterData" localSheetId="5" hidden="1">'5.Проф. прав.'!$A$1:$AF$12</definedName>
    <definedName name="Z_391AB76E_B386_49C1_800F_016A48AA1A46_.wvu.FilterData" localSheetId="6" hidden="1">'6.Экстримизм'!$A$1:$AF$11</definedName>
    <definedName name="Z_391AB76E_B386_49C1_800F_016A48AA1A46_.wvu.Rows" localSheetId="1" hidden="1">'1.СЗН'!$69:$73</definedName>
    <definedName name="Z_391AB76E_B386_49C1_800F_016A48AA1A46_.wvu.Rows" localSheetId="16" hidden="1">'13.МП РЖС'!$122:$127</definedName>
    <definedName name="Z_391AB76E_B386_49C1_800F_016A48AA1A46_.wvu.Rows" localSheetId="6" hidden="1">'6.Экстримизм'!$9:$23,'6.Экстримизм'!$30:$38,'6.Экстримизм'!$44:$49,'6.Экстримизм'!$65:$67,'6.Экстримизм'!$71:$76,'6.Экстримизм'!$86:$88,'6.Экстримизм'!$95:$97</definedName>
    <definedName name="Z_3C3F523F_5F34_4CF7_831E_F1ABC4278CEB_.wvu.Cols" localSheetId="16" hidden="1">'13.МП РЖС'!$AG:$AG</definedName>
    <definedName name="Z_3C3F523F_5F34_4CF7_831E_F1ABC4278CEB_.wvu.FilterData" localSheetId="1" hidden="1">'1.СЗН'!$A$1:$AF$63</definedName>
    <definedName name="Z_3C3F523F_5F34_4CF7_831E_F1ABC4278CEB_.wvu.FilterData" localSheetId="13" hidden="1">'11.МП РО'!$A$4:$A$380</definedName>
    <definedName name="Z_3C3F523F_5F34_4CF7_831E_F1ABC4278CEB_.wvu.FilterData" localSheetId="2" hidden="1">'2.АПК'!$A$1:$AF$36</definedName>
    <definedName name="Z_3C3F523F_5F34_4CF7_831E_F1ABC4278CEB_.wvu.FilterData" localSheetId="3" hidden="1">'3.БЖД'!$A$1:$AF$17</definedName>
    <definedName name="Z_3C3F523F_5F34_4CF7_831E_F1ABC4278CEB_.wvu.FilterData" localSheetId="4" hidden="1">'4.УМИ'!$A$1:$AF$11</definedName>
    <definedName name="Z_3C3F523F_5F34_4CF7_831E_F1ABC4278CEB_.wvu.FilterData" localSheetId="5" hidden="1">'5.Проф. прав.'!$A$1:$AF$12</definedName>
    <definedName name="Z_3C3F523F_5F34_4CF7_831E_F1ABC4278CEB_.wvu.FilterData" localSheetId="6" hidden="1">'6.Экстримизм'!$A$1:$AF$11</definedName>
    <definedName name="Z_3C3F523F_5F34_4CF7_831E_F1ABC4278CEB_.wvu.Rows" localSheetId="1" hidden="1">'1.СЗН'!$69:$73</definedName>
    <definedName name="Z_3C3F523F_5F34_4CF7_831E_F1ABC4278CEB_.wvu.Rows" localSheetId="16" hidden="1">'13.МП РЖС'!$122:$127</definedName>
    <definedName name="Z_3C3F523F_5F34_4CF7_831E_F1ABC4278CEB_.wvu.Rows" localSheetId="6" hidden="1">'6.Экстримизм'!$9:$23,'6.Экстримизм'!$30:$38,'6.Экстримизм'!$44:$49,'6.Экстримизм'!$65:$67,'6.Экстримизм'!$71:$76,'6.Экстримизм'!$86:$88,'6.Экстримизм'!$95:$97</definedName>
    <definedName name="Z_442F2C94_DD1B_4A01_8694_513D4D6F3BD9_.wvu.Cols" localSheetId="16" hidden="1">'13.МП РЖС'!$AG:$AG</definedName>
    <definedName name="Z_442F2C94_DD1B_4A01_8694_513D4D6F3BD9_.wvu.FilterData" localSheetId="1" hidden="1">'1.СЗН'!$A$1:$AF$63</definedName>
    <definedName name="Z_442F2C94_DD1B_4A01_8694_513D4D6F3BD9_.wvu.FilterData" localSheetId="13" hidden="1">'11.МП РО'!$A$4:$A$380</definedName>
    <definedName name="Z_442F2C94_DD1B_4A01_8694_513D4D6F3BD9_.wvu.FilterData" localSheetId="2" hidden="1">'2.АПК'!$A$1:$AF$36</definedName>
    <definedName name="Z_442F2C94_DD1B_4A01_8694_513D4D6F3BD9_.wvu.FilterData" localSheetId="3" hidden="1">'3.БЖД'!$A$1:$AF$17</definedName>
    <definedName name="Z_442F2C94_DD1B_4A01_8694_513D4D6F3BD9_.wvu.FilterData" localSheetId="4" hidden="1">'4.УМИ'!$A$1:$AF$11</definedName>
    <definedName name="Z_442F2C94_DD1B_4A01_8694_513D4D6F3BD9_.wvu.FilterData" localSheetId="5" hidden="1">'5.Проф. прав.'!$A$1:$AF$12</definedName>
    <definedName name="Z_442F2C94_DD1B_4A01_8694_513D4D6F3BD9_.wvu.FilterData" localSheetId="6" hidden="1">'6.Экстримизм'!$A$1:$AF$11</definedName>
    <definedName name="Z_442F2C94_DD1B_4A01_8694_513D4D6F3BD9_.wvu.Rows" localSheetId="1" hidden="1">'1.СЗН'!$69:$73</definedName>
    <definedName name="Z_442F2C94_DD1B_4A01_8694_513D4D6F3BD9_.wvu.Rows" localSheetId="16" hidden="1">'13.МП РЖС'!$122:$127</definedName>
    <definedName name="Z_442F2C94_DD1B_4A01_8694_513D4D6F3BD9_.wvu.Rows" localSheetId="6" hidden="1">'6.Экстримизм'!$9:$23,'6.Экстримизм'!$30:$38,'6.Экстримизм'!$44:$49,'6.Экстримизм'!$65:$67,'6.Экстримизм'!$71:$76,'6.Экстримизм'!$86:$88,'6.Экстримизм'!$95:$97</definedName>
    <definedName name="Z_47289B59_0596_438D_8672_7306C0E055AF_.wvu.FilterData" localSheetId="3" hidden="1">'3.БЖД'!$A$1:$AF$17</definedName>
    <definedName name="Z_47B983AB_FE5F_4725_860C_A2F29420596D_.wvu.Cols" localSheetId="16" hidden="1">'13.МП РЖС'!$AG:$AG</definedName>
    <definedName name="Z_47B983AB_FE5F_4725_860C_A2F29420596D_.wvu.FilterData" localSheetId="1" hidden="1">'1.СЗН'!$A$1:$AF$63</definedName>
    <definedName name="Z_47B983AB_FE5F_4725_860C_A2F29420596D_.wvu.FilterData" localSheetId="13" hidden="1">'11.МП РО'!$A$4:$A$380</definedName>
    <definedName name="Z_47B983AB_FE5F_4725_860C_A2F29420596D_.wvu.FilterData" localSheetId="2" hidden="1">'2.АПК'!$A$1:$AF$36</definedName>
    <definedName name="Z_47B983AB_FE5F_4725_860C_A2F29420596D_.wvu.FilterData" localSheetId="3" hidden="1">'3.БЖД'!$A$1:$AF$17</definedName>
    <definedName name="Z_47B983AB_FE5F_4725_860C_A2F29420596D_.wvu.FilterData" localSheetId="4" hidden="1">'4.УМИ'!$A$1:$AF$11</definedName>
    <definedName name="Z_47B983AB_FE5F_4725_860C_A2F29420596D_.wvu.FilterData" localSheetId="5" hidden="1">'5.Проф. прав.'!$A$1:$AF$12</definedName>
    <definedName name="Z_47B983AB_FE5F_4725_860C_A2F29420596D_.wvu.FilterData" localSheetId="6" hidden="1">'6.Экстримизм'!$A$1:$AF$11</definedName>
    <definedName name="Z_47B983AB_FE5F_4725_860C_A2F29420596D_.wvu.Rows" localSheetId="1" hidden="1">'1.СЗН'!$69:$73</definedName>
    <definedName name="Z_47B983AB_FE5F_4725_860C_A2F29420596D_.wvu.Rows" localSheetId="16" hidden="1">'13.МП РЖС'!$122:$127</definedName>
    <definedName name="Z_47B983AB_FE5F_4725_860C_A2F29420596D_.wvu.Rows" localSheetId="6" hidden="1">'6.Экстримизм'!$9:$23,'6.Экстримизм'!$30:$38,'6.Экстримизм'!$44:$49,'6.Экстримизм'!$65:$67,'6.Экстримизм'!$71:$76,'6.Экстримизм'!$86:$88,'6.Экстримизм'!$95:$97</definedName>
    <definedName name="Z_486916EB_0C05_4C27_9E6E_3AB53BA5102E_.wvu.FilterData" localSheetId="1" hidden="1">'1.СЗН'!$A$1:$AF$63</definedName>
    <definedName name="Z_4D0DFB57_2CBA_42F2_9A97_C453A6851FBA_.wvu.Cols" localSheetId="16" hidden="1">'13.МП РЖС'!$AG:$AG</definedName>
    <definedName name="Z_4D0DFB57_2CBA_42F2_9A97_C453A6851FBA_.wvu.FilterData" localSheetId="1" hidden="1">'1.СЗН'!$A$1:$AF$63</definedName>
    <definedName name="Z_4D0DFB57_2CBA_42F2_9A97_C453A6851FBA_.wvu.FilterData" localSheetId="13" hidden="1">'11.МП РО'!$A$4:$A$380</definedName>
    <definedName name="Z_4D0DFB57_2CBA_42F2_9A97_C453A6851FBA_.wvu.FilterData" localSheetId="2" hidden="1">'2.АПК'!$A$1:$AF$36</definedName>
    <definedName name="Z_4D0DFB57_2CBA_42F2_9A97_C453A6851FBA_.wvu.FilterData" localSheetId="3" hidden="1">'3.БЖД'!$A$1:$AF$17</definedName>
    <definedName name="Z_4D0DFB57_2CBA_42F2_9A97_C453A6851FBA_.wvu.FilterData" localSheetId="4" hidden="1">'4.УМИ'!$A$1:$AF$11</definedName>
    <definedName name="Z_4D0DFB57_2CBA_42F2_9A97_C453A6851FBA_.wvu.FilterData" localSheetId="5" hidden="1">'5.Проф. прав.'!$A$1:$AF$12</definedName>
    <definedName name="Z_4D0DFB57_2CBA_42F2_9A97_C453A6851FBA_.wvu.FilterData" localSheetId="6" hidden="1">'6.Экстримизм'!$A$1:$AF$11</definedName>
    <definedName name="Z_4D0DFB57_2CBA_42F2_9A97_C453A6851FBA_.wvu.Rows" localSheetId="1" hidden="1">'1.СЗН'!$69:$73</definedName>
    <definedName name="Z_4D0DFB57_2CBA_42F2_9A97_C453A6851FBA_.wvu.Rows" localSheetId="16" hidden="1">'13.МП РЖС'!$122:$127</definedName>
    <definedName name="Z_4D0DFB57_2CBA_42F2_9A97_C453A6851FBA_.wvu.Rows" localSheetId="6" hidden="1">'6.Экстримизм'!$9:$23,'6.Экстримизм'!$30:$38,'6.Экстримизм'!$44:$49,'6.Экстримизм'!$65:$67,'6.Экстримизм'!$71:$76,'6.Экстримизм'!$86:$88,'6.Экстримизм'!$95:$97</definedName>
    <definedName name="Z_4F41B9CC_959D_442C_80B0_1F0DB2C76D27_.wvu.Cols" localSheetId="16" hidden="1">'13.МП РЖС'!$AG:$AG</definedName>
    <definedName name="Z_4F41B9CC_959D_442C_80B0_1F0DB2C76D27_.wvu.FilterData" localSheetId="1" hidden="1">'1.СЗН'!$A$1:$AF$63</definedName>
    <definedName name="Z_4F41B9CC_959D_442C_80B0_1F0DB2C76D27_.wvu.FilterData" localSheetId="13" hidden="1">'11.МП РО'!$A$4:$A$380</definedName>
    <definedName name="Z_4F41B9CC_959D_442C_80B0_1F0DB2C76D27_.wvu.FilterData" localSheetId="2" hidden="1">'2.АПК'!$A$1:$AF$36</definedName>
    <definedName name="Z_4F41B9CC_959D_442C_80B0_1F0DB2C76D27_.wvu.FilterData" localSheetId="3" hidden="1">'3.БЖД'!$A$1:$AF$17</definedName>
    <definedName name="Z_4F41B9CC_959D_442C_80B0_1F0DB2C76D27_.wvu.FilterData" localSheetId="4" hidden="1">'4.УМИ'!$A$1:$AF$11</definedName>
    <definedName name="Z_4F41B9CC_959D_442C_80B0_1F0DB2C76D27_.wvu.FilterData" localSheetId="5" hidden="1">'5.Проф. прав.'!$A$1:$AF$12</definedName>
    <definedName name="Z_4F41B9CC_959D_442C_80B0_1F0DB2C76D27_.wvu.FilterData" localSheetId="6" hidden="1">'6.Экстримизм'!$A$1:$AF$11</definedName>
    <definedName name="Z_4F41B9CC_959D_442C_80B0_1F0DB2C76D27_.wvu.Rows" localSheetId="1" hidden="1">'1.СЗН'!$69:$73</definedName>
    <definedName name="Z_4F41B9CC_959D_442C_80B0_1F0DB2C76D27_.wvu.Rows" localSheetId="16" hidden="1">'13.МП РЖС'!$122:$127</definedName>
    <definedName name="Z_4F41B9CC_959D_442C_80B0_1F0DB2C76D27_.wvu.Rows" localSheetId="6" hidden="1">'6.Экстримизм'!$9:$23,'6.Экстримизм'!$30:$38,'6.Экстримизм'!$44:$49,'6.Экстримизм'!$65:$67,'6.Экстримизм'!$71:$76,'6.Экстримизм'!$86:$88,'6.Экстримизм'!$95:$97</definedName>
    <definedName name="Z_533DC55B_6AD4_4674_9488_685EF2039F3E_.wvu.Cols" localSheetId="16" hidden="1">'13.МП РЖС'!$AG:$AG</definedName>
    <definedName name="Z_533DC55B_6AD4_4674_9488_685EF2039F3E_.wvu.FilterData" localSheetId="1" hidden="1">'1.СЗН'!$A$1:$AF$63</definedName>
    <definedName name="Z_533DC55B_6AD4_4674_9488_685EF2039F3E_.wvu.FilterData" localSheetId="13" hidden="1">'11.МП РО'!$A$4:$A$380</definedName>
    <definedName name="Z_533DC55B_6AD4_4674_9488_685EF2039F3E_.wvu.FilterData" localSheetId="2" hidden="1">'2.АПК'!$A$1:$AF$36</definedName>
    <definedName name="Z_533DC55B_6AD4_4674_9488_685EF2039F3E_.wvu.FilterData" localSheetId="3" hidden="1">'3.БЖД'!$A$1:$AF$17</definedName>
    <definedName name="Z_533DC55B_6AD4_4674_9488_685EF2039F3E_.wvu.FilterData" localSheetId="4" hidden="1">'4.УМИ'!$A$1:$AF$11</definedName>
    <definedName name="Z_533DC55B_6AD4_4674_9488_685EF2039F3E_.wvu.FilterData" localSheetId="5" hidden="1">'5.Проф. прав.'!$A$1:$AF$12</definedName>
    <definedName name="Z_533DC55B_6AD4_4674_9488_685EF2039F3E_.wvu.FilterData" localSheetId="6" hidden="1">'6.Экстримизм'!$A$1:$AF$11</definedName>
    <definedName name="Z_533DC55B_6AD4_4674_9488_685EF2039F3E_.wvu.Rows" localSheetId="1" hidden="1">'1.СЗН'!$69:$73</definedName>
    <definedName name="Z_533DC55B_6AD4_4674_9488_685EF2039F3E_.wvu.Rows" localSheetId="16" hidden="1">'13.МП РЖС'!$122:$127</definedName>
    <definedName name="Z_533DC55B_6AD4_4674_9488_685EF2039F3E_.wvu.Rows" localSheetId="6" hidden="1">'6.Экстримизм'!$9:$23,'6.Экстримизм'!$30:$38,'6.Экстримизм'!$44:$49,'6.Экстримизм'!$65:$67,'6.Экстримизм'!$71:$76,'6.Экстримизм'!$86:$88,'6.Экстримизм'!$95:$97</definedName>
    <definedName name="Z_559B20E7_1863_4723_9C86_5DC769A2C901_.wvu.FilterData" localSheetId="4" hidden="1">'4.УМИ'!$A$1:$AF$11</definedName>
    <definedName name="Z_58A3D13A_3888_403D_96DC_C17B50A66BD1_.wvu.FilterData" localSheetId="4" hidden="1">'4.УМИ'!$A$1:$AF$11</definedName>
    <definedName name="Z_59FDF3A8_C81A_46DA_9159_19578DCD4FC1_.wvu.FilterData" localSheetId="4" hidden="1">'4.УМИ'!$A$1:$AF$11</definedName>
    <definedName name="Z_602C8EDB_B9EF_4C85_B0D5_0558C3A0ABAB_.wvu.Cols" localSheetId="16" hidden="1">'13.МП РЖС'!$AG:$AG</definedName>
    <definedName name="Z_602C8EDB_B9EF_4C85_B0D5_0558C3A0ABAB_.wvu.FilterData" localSheetId="1" hidden="1">'1.СЗН'!$A$1:$AF$63</definedName>
    <definedName name="Z_602C8EDB_B9EF_4C85_B0D5_0558C3A0ABAB_.wvu.FilterData" localSheetId="13" hidden="1">'11.МП РО'!$A$4:$A$380</definedName>
    <definedName name="Z_602C8EDB_B9EF_4C85_B0D5_0558C3A0ABAB_.wvu.FilterData" localSheetId="2" hidden="1">'2.АПК'!$A$1:$AF$36</definedName>
    <definedName name="Z_602C8EDB_B9EF_4C85_B0D5_0558C3A0ABAB_.wvu.FilterData" localSheetId="3" hidden="1">'3.БЖД'!$A$1:$AF$17</definedName>
    <definedName name="Z_602C8EDB_B9EF_4C85_B0D5_0558C3A0ABAB_.wvu.FilterData" localSheetId="4" hidden="1">'4.УМИ'!$A$1:$AF$11</definedName>
    <definedName name="Z_602C8EDB_B9EF_4C85_B0D5_0558C3A0ABAB_.wvu.FilterData" localSheetId="5" hidden="1">'5.Проф. прав.'!$A$1:$AF$12</definedName>
    <definedName name="Z_602C8EDB_B9EF_4C85_B0D5_0558C3A0ABAB_.wvu.FilterData" localSheetId="6" hidden="1">'6.Экстримизм'!$A$1:$AF$11</definedName>
    <definedName name="Z_602C8EDB_B9EF_4C85_B0D5_0558C3A0ABAB_.wvu.Rows" localSheetId="1" hidden="1">'1.СЗН'!$69:$73</definedName>
    <definedName name="Z_602C8EDB_B9EF_4C85_B0D5_0558C3A0ABAB_.wvu.Rows" localSheetId="16" hidden="1">'13.МП РЖС'!$122:$127</definedName>
    <definedName name="Z_602C8EDB_B9EF_4C85_B0D5_0558C3A0ABAB_.wvu.Rows" localSheetId="6" hidden="1">'6.Экстримизм'!$9:$23,'6.Экстримизм'!$30:$38,'6.Экстримизм'!$44:$49,'6.Экстримизм'!$65:$67,'6.Экстримизм'!$71:$76,'6.Экстримизм'!$86:$88,'6.Экстримизм'!$95:$97</definedName>
    <definedName name="Z_67F37135_922C_4F1A_88E3_D221FC606A22_.wvu.FilterData" localSheetId="1" hidden="1">'1.СЗН'!$A$1:$AF$63</definedName>
    <definedName name="Z_69DABE6F_6182_4403_A4A2_969F10F1C13A_.wvu.Cols" localSheetId="16" hidden="1">'13.МП РЖС'!$AG:$AG</definedName>
    <definedName name="Z_69DABE6F_6182_4403_A4A2_969F10F1C13A_.wvu.FilterData" localSheetId="1" hidden="1">'1.СЗН'!$A$1:$AF$63</definedName>
    <definedName name="Z_69DABE6F_6182_4403_A4A2_969F10F1C13A_.wvu.FilterData" localSheetId="13" hidden="1">'11.МП РО'!$A$4:$A$380</definedName>
    <definedName name="Z_69DABE6F_6182_4403_A4A2_969F10F1C13A_.wvu.FilterData" localSheetId="2" hidden="1">'2.АПК'!$A$1:$AF$36</definedName>
    <definedName name="Z_69DABE6F_6182_4403_A4A2_969F10F1C13A_.wvu.FilterData" localSheetId="3" hidden="1">'3.БЖД'!$A$1:$AF$17</definedName>
    <definedName name="Z_69DABE6F_6182_4403_A4A2_969F10F1C13A_.wvu.FilterData" localSheetId="4" hidden="1">'4.УМИ'!$A$1:$AF$11</definedName>
    <definedName name="Z_69DABE6F_6182_4403_A4A2_969F10F1C13A_.wvu.FilterData" localSheetId="5" hidden="1">'5.Проф. прав.'!$A$1:$AF$12</definedName>
    <definedName name="Z_69DABE6F_6182_4403_A4A2_969F10F1C13A_.wvu.FilterData" localSheetId="6" hidden="1">'6.Экстримизм'!$A$1:$AF$11</definedName>
    <definedName name="Z_69DABE6F_6182_4403_A4A2_969F10F1C13A_.wvu.Rows" localSheetId="1" hidden="1">'1.СЗН'!$69:$73</definedName>
    <definedName name="Z_69DABE6F_6182_4403_A4A2_969F10F1C13A_.wvu.Rows" localSheetId="16" hidden="1">'13.МП РЖС'!$122:$127</definedName>
    <definedName name="Z_69DABE6F_6182_4403_A4A2_969F10F1C13A_.wvu.Rows" localSheetId="6" hidden="1">'6.Экстримизм'!$9:$23,'6.Экстримизм'!$30:$38,'6.Экстримизм'!$44:$49,'6.Экстримизм'!$65:$67,'6.Экстримизм'!$71:$76,'6.Экстримизм'!$86:$88,'6.Экстримизм'!$95:$97</definedName>
    <definedName name="Z_6A602CB8_B24C_4ED4_B378_B27354BE0A1A_.wvu.Cols" localSheetId="16" hidden="1">'13.МП РЖС'!$AG:$AG</definedName>
    <definedName name="Z_6A602CB8_B24C_4ED4_B378_B27354BE0A1A_.wvu.FilterData" localSheetId="1" hidden="1">'1.СЗН'!$A$1:$AF$63</definedName>
    <definedName name="Z_6A602CB8_B24C_4ED4_B378_B27354BE0A1A_.wvu.FilterData" localSheetId="13" hidden="1">'11.МП РО'!$A$4:$A$380</definedName>
    <definedName name="Z_6A602CB8_B24C_4ED4_B378_B27354BE0A1A_.wvu.FilterData" localSheetId="2" hidden="1">'2.АПК'!$A$1:$AF$36</definedName>
    <definedName name="Z_6A602CB8_B24C_4ED4_B378_B27354BE0A1A_.wvu.FilterData" localSheetId="3" hidden="1">'3.БЖД'!$A$1:$AF$17</definedName>
    <definedName name="Z_6A602CB8_B24C_4ED4_B378_B27354BE0A1A_.wvu.FilterData" localSheetId="4" hidden="1">'4.УМИ'!$A$1:$AF$11</definedName>
    <definedName name="Z_6A602CB8_B24C_4ED4_B378_B27354BE0A1A_.wvu.FilterData" localSheetId="5" hidden="1">'5.Проф. прав.'!$A$1:$AF$12</definedName>
    <definedName name="Z_6A602CB8_B24C_4ED4_B378_B27354BE0A1A_.wvu.FilterData" localSheetId="6" hidden="1">'6.Экстримизм'!$A$1:$AF$11</definedName>
    <definedName name="Z_6A602CB8_B24C_4ED4_B378_B27354BE0A1A_.wvu.Rows" localSheetId="1" hidden="1">'1.СЗН'!$69:$73</definedName>
    <definedName name="Z_6A602CB8_B24C_4ED4_B378_B27354BE0A1A_.wvu.Rows" localSheetId="16" hidden="1">'13.МП РЖС'!$122:$127</definedName>
    <definedName name="Z_6A602CB8_B24C_4ED4_B378_B27354BE0A1A_.wvu.Rows" localSheetId="6" hidden="1">'6.Экстримизм'!$9:$23,'6.Экстримизм'!$30:$38,'6.Экстримизм'!$44:$49,'6.Экстримизм'!$65:$67,'6.Экстримизм'!$71:$76,'6.Экстримизм'!$86:$88,'6.Экстримизм'!$95:$97</definedName>
    <definedName name="Z_7399FF56_0BD1_4279_8999_2C7364E6813B_.wvu.FilterData" localSheetId="5" hidden="1">'5.Проф. прав.'!$A$1:$AF$12</definedName>
    <definedName name="Z_74870EE6_26B9_40F7_9DC9_260EF16D8959_.wvu.Cols" localSheetId="16" hidden="1">'13.МП РЖС'!$AG:$AG</definedName>
    <definedName name="Z_74870EE6_26B9_40F7_9DC9_260EF16D8959_.wvu.FilterData" localSheetId="1" hidden="1">'1.СЗН'!$A$1:$AF$63</definedName>
    <definedName name="Z_74870EE6_26B9_40F7_9DC9_260EF16D8959_.wvu.FilterData" localSheetId="13" hidden="1">'11.МП РО'!$A$4:$A$380</definedName>
    <definedName name="Z_74870EE6_26B9_40F7_9DC9_260EF16D8959_.wvu.FilterData" localSheetId="2" hidden="1">'2.АПК'!$A$1:$AF$36</definedName>
    <definedName name="Z_74870EE6_26B9_40F7_9DC9_260EF16D8959_.wvu.FilterData" localSheetId="3" hidden="1">'3.БЖД'!$A$1:$AF$17</definedName>
    <definedName name="Z_74870EE6_26B9_40F7_9DC9_260EF16D8959_.wvu.FilterData" localSheetId="4" hidden="1">'4.УМИ'!$A$1:$AF$11</definedName>
    <definedName name="Z_74870EE6_26B9_40F7_9DC9_260EF16D8959_.wvu.FilterData" localSheetId="5" hidden="1">'5.Проф. прав.'!$A$1:$AF$12</definedName>
    <definedName name="Z_74870EE6_26B9_40F7_9DC9_260EF16D8959_.wvu.FilterData" localSheetId="6" hidden="1">'6.Экстримизм'!$A$1:$AF$11</definedName>
    <definedName name="Z_74870EE6_26B9_40F7_9DC9_260EF16D8959_.wvu.Rows" localSheetId="1" hidden="1">'1.СЗН'!$69:$73</definedName>
    <definedName name="Z_74870EE6_26B9_40F7_9DC9_260EF16D8959_.wvu.Rows" localSheetId="16" hidden="1">'13.МП РЖС'!$122:$127</definedName>
    <definedName name="Z_74870EE6_26B9_40F7_9DC9_260EF16D8959_.wvu.Rows" localSheetId="6" hidden="1">'6.Экстримизм'!$9:$23,'6.Экстримизм'!$30:$38,'6.Экстримизм'!$44:$49,'6.Экстримизм'!$65:$67,'6.Экстримизм'!$71:$76,'6.Экстримизм'!$86:$88,'6.Экстримизм'!$95:$97</definedName>
    <definedName name="Z_76A2FC6A_9BE3_44D7_9733_B985F812D16C_.wvu.FilterData" localSheetId="6" hidden="1">'6.Экстримизм'!$A$1:$AF$11</definedName>
    <definedName name="Z_770624BF_07F3_44B6_94C3_4CC447CDD45C_.wvu.Cols" localSheetId="16" hidden="1">'13.МП РЖС'!$AG:$AG</definedName>
    <definedName name="Z_770624BF_07F3_44B6_94C3_4CC447CDD45C_.wvu.FilterData" localSheetId="1" hidden="1">'1.СЗН'!$A$1:$AF$63</definedName>
    <definedName name="Z_770624BF_07F3_44B6_94C3_4CC447CDD45C_.wvu.FilterData" localSheetId="2" hidden="1">'2.АПК'!$A$1:$AF$36</definedName>
    <definedName name="Z_770624BF_07F3_44B6_94C3_4CC447CDD45C_.wvu.FilterData" localSheetId="3" hidden="1">'3.БЖД'!$A$1:$AF$17</definedName>
    <definedName name="Z_770624BF_07F3_44B6_94C3_4CC447CDD45C_.wvu.FilterData" localSheetId="4" hidden="1">'4.УМИ'!$A$1:$AF$11</definedName>
    <definedName name="Z_770624BF_07F3_44B6_94C3_4CC447CDD45C_.wvu.FilterData" localSheetId="5" hidden="1">'5.Проф. прав.'!$A$1:$AF$12</definedName>
    <definedName name="Z_770624BF_07F3_44B6_94C3_4CC447CDD45C_.wvu.FilterData" localSheetId="6" hidden="1">'6.Экстримизм'!$A$1:$AF$11</definedName>
    <definedName name="Z_770624BF_07F3_44B6_94C3_4CC447CDD45C_.wvu.Rows" localSheetId="1" hidden="1">'1.СЗН'!$69:$73</definedName>
    <definedName name="Z_770624BF_07F3_44B6_94C3_4CC447CDD45C_.wvu.Rows" localSheetId="16" hidden="1">'13.МП РЖС'!$122:$127</definedName>
    <definedName name="Z_770624BF_07F3_44B6_94C3_4CC447CDD45C_.wvu.Rows" localSheetId="6" hidden="1">'6.Экстримизм'!$9:$23,'6.Экстримизм'!$30:$38,'6.Экстримизм'!$44:$49,'6.Экстримизм'!$65:$67,'6.Экстримизм'!$71:$76,'6.Экстримизм'!$86:$88,'6.Экстримизм'!$95:$97</definedName>
    <definedName name="Z_7C130984_112A_4861_AA43_E2940708E3DC_.wvu.Cols" localSheetId="16" hidden="1">'13.МП РЖС'!$AG:$AG</definedName>
    <definedName name="Z_7C130984_112A_4861_AA43_E2940708E3DC_.wvu.FilterData" localSheetId="1" hidden="1">'1.СЗН'!$A$1:$AF$63</definedName>
    <definedName name="Z_7C130984_112A_4861_AA43_E2940708E3DC_.wvu.FilterData" localSheetId="13" hidden="1">'11.МП РО'!$A$4:$A$380</definedName>
    <definedName name="Z_7C130984_112A_4861_AA43_E2940708E3DC_.wvu.FilterData" localSheetId="2" hidden="1">'2.АПК'!$A$1:$AF$36</definedName>
    <definedName name="Z_7C130984_112A_4861_AA43_E2940708E3DC_.wvu.FilterData" localSheetId="3" hidden="1">'3.БЖД'!$A$1:$AF$17</definedName>
    <definedName name="Z_7C130984_112A_4861_AA43_E2940708E3DC_.wvu.FilterData" localSheetId="4" hidden="1">'4.УМИ'!$A$1:$AF$11</definedName>
    <definedName name="Z_7C130984_112A_4861_AA43_E2940708E3DC_.wvu.FilterData" localSheetId="5" hidden="1">'5.Проф. прав.'!$A$1:$AF$12</definedName>
    <definedName name="Z_7C130984_112A_4861_AA43_E2940708E3DC_.wvu.FilterData" localSheetId="6" hidden="1">'6.Экстримизм'!$A$1:$AF$11</definedName>
    <definedName name="Z_7C130984_112A_4861_AA43_E2940708E3DC_.wvu.Rows" localSheetId="1" hidden="1">'1.СЗН'!$69:$73</definedName>
    <definedName name="Z_7C130984_112A_4861_AA43_E2940708E3DC_.wvu.Rows" localSheetId="16" hidden="1">'13.МП РЖС'!$122:$127</definedName>
    <definedName name="Z_7C130984_112A_4861_AA43_E2940708E3DC_.wvu.Rows" localSheetId="6" hidden="1">'6.Экстримизм'!$9:$23,'6.Экстримизм'!$30:$38,'6.Экстримизм'!$44:$49,'6.Экстримизм'!$65:$67,'6.Экстримизм'!$71:$76,'6.Экстримизм'!$86:$88,'6.Экстримизм'!$95:$97</definedName>
    <definedName name="Z_7CD24FD2_07C9_4FAA_B21A_20D64BFE57D0_.wvu.FilterData" localSheetId="13" hidden="1">'11.МП РО'!$A$4:$A$380</definedName>
    <definedName name="Z_7CD24FD2_07C9_4FAA_B21A_20D64BFE57D0_.wvu.FilterData" localSheetId="4" hidden="1">'4.УМИ'!$A$1:$AF$11</definedName>
    <definedName name="Z_7D151C70_775E_4CD8_97D9_12DE8F888BBD_.wvu.FilterData" localSheetId="2" hidden="1">'2.АПК'!$A$1:$AF$36</definedName>
    <definedName name="Z_7D151C70_775E_4CD8_97D9_12DE8F888BBD_.wvu.FilterData" localSheetId="4" hidden="1">'4.УМИ'!$A$1:$AF$11</definedName>
    <definedName name="Z_84867370_1F3E_4368_AF79_FBCE46FFFE92_.wvu.Cols" localSheetId="16" hidden="1">'13.МП РЖС'!$AG:$AG</definedName>
    <definedName name="Z_84867370_1F3E_4368_AF79_FBCE46FFFE92_.wvu.FilterData" localSheetId="1" hidden="1">'1.СЗН'!$A$1:$AF$63</definedName>
    <definedName name="Z_84867370_1F3E_4368_AF79_FBCE46FFFE92_.wvu.FilterData" localSheetId="13" hidden="1">'11.МП РО'!$A$4:$A$380</definedName>
    <definedName name="Z_84867370_1F3E_4368_AF79_FBCE46FFFE92_.wvu.FilterData" localSheetId="2" hidden="1">'2.АПК'!$A$1:$AF$36</definedName>
    <definedName name="Z_84867370_1F3E_4368_AF79_FBCE46FFFE92_.wvu.FilterData" localSheetId="3" hidden="1">'3.БЖД'!$A$1:$AF$17</definedName>
    <definedName name="Z_84867370_1F3E_4368_AF79_FBCE46FFFE92_.wvu.FilterData" localSheetId="4" hidden="1">'4.УМИ'!$A$1:$AF$11</definedName>
    <definedName name="Z_84867370_1F3E_4368_AF79_FBCE46FFFE92_.wvu.FilterData" localSheetId="5" hidden="1">'5.Проф. прав.'!$A$1:$AF$12</definedName>
    <definedName name="Z_84867370_1F3E_4368_AF79_FBCE46FFFE92_.wvu.FilterData" localSheetId="6" hidden="1">'6.Экстримизм'!$A$1:$AF$11</definedName>
    <definedName name="Z_84867370_1F3E_4368_AF79_FBCE46FFFE92_.wvu.Rows" localSheetId="1" hidden="1">'1.СЗН'!$69:$73</definedName>
    <definedName name="Z_84867370_1F3E_4368_AF79_FBCE46FFFE92_.wvu.Rows" localSheetId="16" hidden="1">'13.МП РЖС'!$122:$127</definedName>
    <definedName name="Z_84867370_1F3E_4368_AF79_FBCE46FFFE92_.wvu.Rows" localSheetId="6" hidden="1">'6.Экстримизм'!$9:$23,'6.Экстримизм'!$30:$38,'6.Экстримизм'!$44:$49,'6.Экстримизм'!$65:$67,'6.Экстримизм'!$71:$76,'6.Экстримизм'!$86:$88,'6.Экстримизм'!$95:$97</definedName>
    <definedName name="Z_85F4575B_DBC5_482A_9916_255D8F0BC94E_.wvu.Cols" localSheetId="16" hidden="1">'13.МП РЖС'!$AG:$AG</definedName>
    <definedName name="Z_85F4575B_DBC5_482A_9916_255D8F0BC94E_.wvu.FilterData" localSheetId="1" hidden="1">'1.СЗН'!$A$1:$AF$63</definedName>
    <definedName name="Z_85F4575B_DBC5_482A_9916_255D8F0BC94E_.wvu.FilterData" localSheetId="2" hidden="1">'2.АПК'!$A$1:$AF$36</definedName>
    <definedName name="Z_85F4575B_DBC5_482A_9916_255D8F0BC94E_.wvu.FilterData" localSheetId="3" hidden="1">'3.БЖД'!$A$1:$AF$17</definedName>
    <definedName name="Z_85F4575B_DBC5_482A_9916_255D8F0BC94E_.wvu.FilterData" localSheetId="4" hidden="1">'4.УМИ'!$A$1:$AF$11</definedName>
    <definedName name="Z_85F4575B_DBC5_482A_9916_255D8F0BC94E_.wvu.FilterData" localSheetId="5" hidden="1">'5.Проф. прав.'!$A$1:$AF$12</definedName>
    <definedName name="Z_85F4575B_DBC5_482A_9916_255D8F0BC94E_.wvu.FilterData" localSheetId="6" hidden="1">'6.Экстримизм'!$A$1:$AF$11</definedName>
    <definedName name="Z_85F4575B_DBC5_482A_9916_255D8F0BC94E_.wvu.Rows" localSheetId="1" hidden="1">'1.СЗН'!$69:$73</definedName>
    <definedName name="Z_85F4575B_DBC5_482A_9916_255D8F0BC94E_.wvu.Rows" localSheetId="16" hidden="1">'13.МП РЖС'!$122:$127</definedName>
    <definedName name="Z_85F4575B_DBC5_482A_9916_255D8F0BC94E_.wvu.Rows" localSheetId="6" hidden="1">'6.Экстримизм'!$9:$23,'6.Экстримизм'!$30:$38,'6.Экстримизм'!$44:$49,'6.Экстримизм'!$65:$67,'6.Экстримизм'!$71:$76,'6.Экстримизм'!$86:$88,'6.Экстримизм'!$95:$97</definedName>
    <definedName name="Z_87218168_6C8E_4D5B_A5E5_DCCC26803AA3_.wvu.Cols" localSheetId="16" hidden="1">'13.МП РЖС'!$AG:$AG</definedName>
    <definedName name="Z_87218168_6C8E_4D5B_A5E5_DCCC26803AA3_.wvu.FilterData" localSheetId="1" hidden="1">'1.СЗН'!$A$1:$AF$63</definedName>
    <definedName name="Z_87218168_6C8E_4D5B_A5E5_DCCC26803AA3_.wvu.FilterData" localSheetId="13" hidden="1">'11.МП РО'!$A$4:$A$380</definedName>
    <definedName name="Z_87218168_6C8E_4D5B_A5E5_DCCC26803AA3_.wvu.FilterData" localSheetId="2" hidden="1">'2.АПК'!$A$1:$AF$36</definedName>
    <definedName name="Z_87218168_6C8E_4D5B_A5E5_DCCC26803AA3_.wvu.FilterData" localSheetId="3" hidden="1">'3.БЖД'!$A$1:$AF$17</definedName>
    <definedName name="Z_87218168_6C8E_4D5B_A5E5_DCCC26803AA3_.wvu.FilterData" localSheetId="4" hidden="1">'4.УМИ'!$A$1:$AF$11</definedName>
    <definedName name="Z_87218168_6C8E_4D5B_A5E5_DCCC26803AA3_.wvu.FilterData" localSheetId="5" hidden="1">'5.Проф. прав.'!$A$1:$AF$12</definedName>
    <definedName name="Z_87218168_6C8E_4D5B_A5E5_DCCC26803AA3_.wvu.FilterData" localSheetId="6" hidden="1">'6.Экстримизм'!$A$1:$AF$11</definedName>
    <definedName name="Z_87218168_6C8E_4D5B_A5E5_DCCC26803AA3_.wvu.Rows" localSheetId="1" hidden="1">'1.СЗН'!$69:$73</definedName>
    <definedName name="Z_87218168_6C8E_4D5B_A5E5_DCCC26803AA3_.wvu.Rows" localSheetId="16" hidden="1">'13.МП РЖС'!$122:$127</definedName>
    <definedName name="Z_87218168_6C8E_4D5B_A5E5_DCCC26803AA3_.wvu.Rows" localSheetId="6" hidden="1">'6.Экстримизм'!$9:$23,'6.Экстримизм'!$30:$38,'6.Экстримизм'!$44:$49,'6.Экстримизм'!$65:$67,'6.Экстримизм'!$71:$76,'6.Экстримизм'!$86:$88,'6.Экстримизм'!$95:$97</definedName>
    <definedName name="Z_874882D1_E741_4CCA_BF0D_E72FA60B771D_.wvu.FilterData" localSheetId="1" hidden="1">'1.СЗН'!$A$1:$AF$63</definedName>
    <definedName name="Z_874882D1_E741_4CCA_BF0D_E72FA60B771D_.wvu.FilterData" localSheetId="2" hidden="1">'2.АПК'!$A$1:$AF$36</definedName>
    <definedName name="Z_874882D1_E741_4CCA_BF0D_E72FA60B771D_.wvu.FilterData" localSheetId="3" hidden="1">'3.БЖД'!$A$1:$AF$17</definedName>
    <definedName name="Z_874882D1_E741_4CCA_BF0D_E72FA60B771D_.wvu.FilterData" localSheetId="4" hidden="1">'4.УМИ'!$A$1:$AF$11</definedName>
    <definedName name="Z_874882D1_E741_4CCA_BF0D_E72FA60B771D_.wvu.FilterData" localSheetId="5" hidden="1">'5.Проф. прав.'!$A$1:$AF$12</definedName>
    <definedName name="Z_874882D1_E741_4CCA_BF0D_E72FA60B771D_.wvu.FilterData" localSheetId="6" hidden="1">'6.Экстримизм'!$A$1:$AF$11</definedName>
    <definedName name="Z_874882D1_E741_4CCA_BF0D_E72FA60B771D_.wvu.Rows" localSheetId="1" hidden="1">'1.СЗН'!$69:$73</definedName>
    <definedName name="Z_8795A258_FFD6_43A8_BF42_860FF53ACE92_.wvu.FilterData" localSheetId="4" hidden="1">'4.УМИ'!$A$1:$AF$11</definedName>
    <definedName name="Z_914142B1_FD5D_40FA_8DA2_036FB8A38D81_.wvu.FilterData" localSheetId="4" hidden="1">'4.УМИ'!$A$1:$AF$11</definedName>
    <definedName name="Z_93497ED3_E346_43BF_A10F_56A5EA743183_.wvu.FilterData" localSheetId="3" hidden="1">'3.БЖД'!$A$1:$AF$17</definedName>
    <definedName name="Z_93497ED3_E346_43BF_A10F_56A5EA743183_.wvu.FilterData" localSheetId="4" hidden="1">'4.УМИ'!$A$1:$AF$11</definedName>
    <definedName name="Z_959E901C_5DDE_42EE_AE94_AB8976B5E00B_.wvu.Cols" localSheetId="16" hidden="1">'13.МП РЖС'!$AG:$AG</definedName>
    <definedName name="Z_959E901C_5DDE_42EE_AE94_AB8976B5E00B_.wvu.FilterData" localSheetId="1" hidden="1">'1.СЗН'!$A$1:$AF$63</definedName>
    <definedName name="Z_959E901C_5DDE_42EE_AE94_AB8976B5E00B_.wvu.FilterData" localSheetId="2" hidden="1">'2.АПК'!$A$1:$AF$36</definedName>
    <definedName name="Z_959E901C_5DDE_42EE_AE94_AB8976B5E00B_.wvu.FilterData" localSheetId="3" hidden="1">'3.БЖД'!$A$1:$AF$17</definedName>
    <definedName name="Z_959E901C_5DDE_42EE_AE94_AB8976B5E00B_.wvu.FilterData" localSheetId="4" hidden="1">'4.УМИ'!$A$1:$AF$11</definedName>
    <definedName name="Z_959E901C_5DDE_42EE_AE94_AB8976B5E00B_.wvu.FilterData" localSheetId="5" hidden="1">'5.Проф. прав.'!$A$1:$AF$12</definedName>
    <definedName name="Z_959E901C_5DDE_42EE_AE94_AB8976B5E00B_.wvu.FilterData" localSheetId="6" hidden="1">'6.Экстримизм'!$A$1:$AF$11</definedName>
    <definedName name="Z_959E901C_5DDE_42EE_AE94_AB8976B5E00B_.wvu.Rows" localSheetId="1" hidden="1">'1.СЗН'!$69:$73</definedName>
    <definedName name="Z_959E901C_5DDE_42EE_AE94_AB8976B5E00B_.wvu.Rows" localSheetId="16" hidden="1">'13.МП РЖС'!$122:$127</definedName>
    <definedName name="Z_959E901C_5DDE_42EE_AE94_AB8976B5E00B_.wvu.Rows" localSheetId="6" hidden="1">'6.Экстримизм'!$9:$23,'6.Экстримизм'!$30:$38,'6.Экстримизм'!$44:$49,'6.Экстримизм'!$65:$67,'6.Экстримизм'!$71:$76,'6.Экстримизм'!$86:$88,'6.Экстримизм'!$95:$97</definedName>
    <definedName name="Z_96AAD949_FBDB_412F_ABD0_257B4F6B6642_.wvu.FilterData" localSheetId="3" hidden="1">'3.БЖД'!$A$1:$AF$17</definedName>
    <definedName name="Z_98850856_C09C_4036_9D8B_A5D35155891B_.wvu.FilterData" localSheetId="4" hidden="1">'4.УМИ'!$A$1:$AF$11</definedName>
    <definedName name="Z_9CA8AEDB_B446_4A7E_A5FF_3D96A2FCF0E9_.wvu.FilterData" localSheetId="1" hidden="1">'1.СЗН'!$A$1:$AF$63</definedName>
    <definedName name="Z_A8E27B0B_C059_4079_998C_DCFA718098A6_.wvu.FilterData" localSheetId="1" hidden="1">'1.СЗН'!$A$1:$AF$63</definedName>
    <definedName name="Z_A915DEAF_56CE_41F9_A2A7_4514A4E594A1_.wvu.FilterData" localSheetId="6" hidden="1">'6.Экстримизм'!$A$1:$AF$11</definedName>
    <definedName name="Z_AC2D5927_4079_4C74_AF69_1BFAC505648F_.wvu.Cols" localSheetId="16" hidden="1">'13.МП РЖС'!$AG:$AG</definedName>
    <definedName name="Z_AC2D5927_4079_4C74_AF69_1BFAC505648F_.wvu.FilterData" localSheetId="1" hidden="1">'1.СЗН'!$A$1:$AF$63</definedName>
    <definedName name="Z_AC2D5927_4079_4C74_AF69_1BFAC505648F_.wvu.FilterData" localSheetId="13" hidden="1">'11.МП РО'!$A$4:$A$380</definedName>
    <definedName name="Z_AC2D5927_4079_4C74_AF69_1BFAC505648F_.wvu.FilterData" localSheetId="2" hidden="1">'2.АПК'!$A$1:$AF$36</definedName>
    <definedName name="Z_AC2D5927_4079_4C74_AF69_1BFAC505648F_.wvu.FilterData" localSheetId="3" hidden="1">'3.БЖД'!$A$1:$AF$17</definedName>
    <definedName name="Z_AC2D5927_4079_4C74_AF69_1BFAC505648F_.wvu.FilterData" localSheetId="4" hidden="1">'4.УМИ'!$A$1:$AF$11</definedName>
    <definedName name="Z_AC2D5927_4079_4C74_AF69_1BFAC505648F_.wvu.FilterData" localSheetId="5" hidden="1">'5.Проф. прав.'!$A$1:$AF$12</definedName>
    <definedName name="Z_AC2D5927_4079_4C74_AF69_1BFAC505648F_.wvu.FilterData" localSheetId="6" hidden="1">'6.Экстримизм'!$A$1:$AF$11</definedName>
    <definedName name="Z_AC2D5927_4079_4C74_AF69_1BFAC505648F_.wvu.Rows" localSheetId="1" hidden="1">'1.СЗН'!$69:$73</definedName>
    <definedName name="Z_AC2D5927_4079_4C74_AF69_1BFAC505648F_.wvu.Rows" localSheetId="16" hidden="1">'13.МП РЖС'!$122:$127</definedName>
    <definedName name="Z_AC2D5927_4079_4C74_AF69_1BFAC505648F_.wvu.Rows" localSheetId="6" hidden="1">'6.Экстримизм'!$9:$23,'6.Экстримизм'!$30:$38,'6.Экстримизм'!$44:$49,'6.Экстримизм'!$65:$67,'6.Экстримизм'!$71:$76,'6.Экстримизм'!$86:$88,'6.Экстримизм'!$95:$97</definedName>
    <definedName name="Z_B05A9EE8_9269_4880_AD7F_693A0DFDCC46_.wvu.FilterData" localSheetId="5" hidden="1">'5.Проф. прав.'!$A$1:$AF$12</definedName>
    <definedName name="Z_B1BF08D1_D416_4B47_ADD0_4F59132DC9E8_.wvu.Cols" localSheetId="16" hidden="1">'13.МП РЖС'!$AG:$AG</definedName>
    <definedName name="Z_B1BF08D1_D416_4B47_ADD0_4F59132DC9E8_.wvu.FilterData" localSheetId="1" hidden="1">'1.СЗН'!$A$1:$AF$63</definedName>
    <definedName name="Z_B1BF08D1_D416_4B47_ADD0_4F59132DC9E8_.wvu.FilterData" localSheetId="2" hidden="1">'2.АПК'!$A$1:$AF$36</definedName>
    <definedName name="Z_B1BF08D1_D416_4B47_ADD0_4F59132DC9E8_.wvu.FilterData" localSheetId="3" hidden="1">'3.БЖД'!$A$1:$AF$17</definedName>
    <definedName name="Z_B1BF08D1_D416_4B47_ADD0_4F59132DC9E8_.wvu.FilterData" localSheetId="4" hidden="1">'4.УМИ'!$A$1:$AF$11</definedName>
    <definedName name="Z_B1BF08D1_D416_4B47_ADD0_4F59132DC9E8_.wvu.FilterData" localSheetId="5" hidden="1">'5.Проф. прав.'!$A$1:$AF$12</definedName>
    <definedName name="Z_B1BF08D1_D416_4B47_ADD0_4F59132DC9E8_.wvu.FilterData" localSheetId="6" hidden="1">'6.Экстримизм'!$A$1:$AF$11</definedName>
    <definedName name="Z_B1BF08D1_D416_4B47_ADD0_4F59132DC9E8_.wvu.Rows" localSheetId="1" hidden="1">'1.СЗН'!$69:$73</definedName>
    <definedName name="Z_B1BF08D1_D416_4B47_ADD0_4F59132DC9E8_.wvu.Rows" localSheetId="16" hidden="1">'13.МП РЖС'!$122:$127</definedName>
    <definedName name="Z_B1BF08D1_D416_4B47_ADD0_4F59132DC9E8_.wvu.Rows" localSheetId="6" hidden="1">'6.Экстримизм'!$9:$23,'6.Экстримизм'!$30:$38,'6.Экстримизм'!$44:$49,'6.Экстримизм'!$65:$67,'6.Экстримизм'!$71:$76,'6.Экстримизм'!$86:$88,'6.Экстримизм'!$95:$97</definedName>
    <definedName name="Z_B82BA08A_1A30_4F4D_A478_74A6BD09EA97_.wvu.FilterData" localSheetId="1" hidden="1">'1.СЗН'!$A$1:$AF$63</definedName>
    <definedName name="Z_B82BA08A_1A30_4F4D_A478_74A6BD09EA97_.wvu.FilterData" localSheetId="2" hidden="1">'2.АПК'!$A$1:$AF$36</definedName>
    <definedName name="Z_B82BA08A_1A30_4F4D_A478_74A6BD09EA97_.wvu.FilterData" localSheetId="3" hidden="1">'3.БЖД'!$A$1:$AF$17</definedName>
    <definedName name="Z_B82BA08A_1A30_4F4D_A478_74A6BD09EA97_.wvu.FilterData" localSheetId="4" hidden="1">'4.УМИ'!$A$1:$AF$11</definedName>
    <definedName name="Z_B82BA08A_1A30_4F4D_A478_74A6BD09EA97_.wvu.FilterData" localSheetId="5" hidden="1">'5.Проф. прав.'!$A$1:$AF$12</definedName>
    <definedName name="Z_B82BA08A_1A30_4F4D_A478_74A6BD09EA97_.wvu.FilterData" localSheetId="6" hidden="1">'6.Экстримизм'!$A$1:$AF$11</definedName>
    <definedName name="Z_B82BA08A_1A30_4F4D_A478_74A6BD09EA97_.wvu.Rows" localSheetId="1" hidden="1">'1.СЗН'!$69:$73</definedName>
    <definedName name="Z_B82BA08A_1A30_4F4D_A478_74A6BD09EA97_.wvu.Rows" localSheetId="6" hidden="1">'6.Экстримизм'!$9:$23,'6.Экстримизм'!$30:$38,'6.Экстримизм'!$44:$49,'6.Экстримизм'!$65:$67,'6.Экстримизм'!$71:$76,'6.Экстримизм'!$86:$88,'6.Экстримизм'!$95:$97</definedName>
    <definedName name="Z_BBEF1F7B_D9AB_4581_A2C3_2714FC8B8087_.wvu.FilterData" localSheetId="1" hidden="1">'1.СЗН'!$A$1:$AF$63</definedName>
    <definedName name="Z_BCD82A82_B724_4763_8580_D765356E09BA_.wvu.FilterData" localSheetId="1" hidden="1">'1.СЗН'!$A$1:$AF$63</definedName>
    <definedName name="Z_BCD82A82_B724_4763_8580_D765356E09BA_.wvu.FilterData" localSheetId="2" hidden="1">'2.АПК'!$A$1:$AF$36</definedName>
    <definedName name="Z_BCD82A82_B724_4763_8580_D765356E09BA_.wvu.FilterData" localSheetId="3" hidden="1">'3.БЖД'!$A$1:$AF$17</definedName>
    <definedName name="Z_BCD82A82_B724_4763_8580_D765356E09BA_.wvu.FilterData" localSheetId="4" hidden="1">'4.УМИ'!$A$1:$AF$11</definedName>
    <definedName name="Z_BCD82A82_B724_4763_8580_D765356E09BA_.wvu.FilterData" localSheetId="5" hidden="1">'5.Проф. прав.'!$A$1:$AF$12</definedName>
    <definedName name="Z_BCD82A82_B724_4763_8580_D765356E09BA_.wvu.FilterData" localSheetId="6" hidden="1">'6.Экстримизм'!$A$1:$AF$11</definedName>
    <definedName name="Z_C1161D56_B3D2_40B4_B546_1FC5139DD261_.wvu.FilterData" localSheetId="2" hidden="1">'2.АПК'!$A$1:$AF$36</definedName>
    <definedName name="Z_C236B307_BD63_48C4_A75F_B3F3717BF55C_.wvu.FilterData" localSheetId="1" hidden="1">'1.СЗН'!$A$1:$AF$63</definedName>
    <definedName name="Z_C236B307_BD63_48C4_A75F_B3F3717BF55C_.wvu.FilterData" localSheetId="2" hidden="1">'2.АПК'!$A$1:$AF$36</definedName>
    <definedName name="Z_C236B307_BD63_48C4_A75F_B3F3717BF55C_.wvu.FilterData" localSheetId="3" hidden="1">'3.БЖД'!$A$1:$AF$17</definedName>
    <definedName name="Z_C236B307_BD63_48C4_A75F_B3F3717BF55C_.wvu.FilterData" localSheetId="4" hidden="1">'4.УМИ'!$A$1:$AF$11</definedName>
    <definedName name="Z_C236B307_BD63_48C4_A75F_B3F3717BF55C_.wvu.FilterData" localSheetId="5" hidden="1">'5.Проф. прав.'!$A$1:$AF$12</definedName>
    <definedName name="Z_C236B307_BD63_48C4_A75F_B3F3717BF55C_.wvu.FilterData" localSheetId="6" hidden="1">'6.Экстримизм'!$A$1:$AF$11</definedName>
    <definedName name="Z_C236B307_BD63_48C4_A75F_B3F3717BF55C_.wvu.Rows" localSheetId="1" hidden="1">'1.СЗН'!$69:$73</definedName>
    <definedName name="Z_CA2BE1F2_B913_4CFF_9E8E_4555FD2D2B7E_.wvu.FilterData" localSheetId="4" hidden="1">'4.УМИ'!$A$1:$AF$11</definedName>
    <definedName name="Z_CB4792DB_A624_4844_AEB6_A6ADA80946BB_.wvu.Cols" localSheetId="16" hidden="1">'13.МП РЖС'!$AG:$AG</definedName>
    <definedName name="Z_CB4792DB_A624_4844_AEB6_A6ADA80946BB_.wvu.FilterData" localSheetId="1" hidden="1">'1.СЗН'!$A$1:$AF$63</definedName>
    <definedName name="Z_CB4792DB_A624_4844_AEB6_A6ADA80946BB_.wvu.FilterData" localSheetId="13" hidden="1">'11.МП РО'!$A$4:$A$380</definedName>
    <definedName name="Z_CB4792DB_A624_4844_AEB6_A6ADA80946BB_.wvu.FilterData" localSheetId="2" hidden="1">'2.АПК'!$A$1:$AF$36</definedName>
    <definedName name="Z_CB4792DB_A624_4844_AEB6_A6ADA80946BB_.wvu.FilterData" localSheetId="3" hidden="1">'3.БЖД'!$A$1:$AF$17</definedName>
    <definedName name="Z_CB4792DB_A624_4844_AEB6_A6ADA80946BB_.wvu.FilterData" localSheetId="4" hidden="1">'4.УМИ'!$A$1:$AF$11</definedName>
    <definedName name="Z_CB4792DB_A624_4844_AEB6_A6ADA80946BB_.wvu.FilterData" localSheetId="5" hidden="1">'5.Проф. прав.'!$A$1:$AF$12</definedName>
    <definedName name="Z_CB4792DB_A624_4844_AEB6_A6ADA80946BB_.wvu.FilterData" localSheetId="6" hidden="1">'6.Экстримизм'!$A$1:$AF$11</definedName>
    <definedName name="Z_CB4792DB_A624_4844_AEB6_A6ADA80946BB_.wvu.Rows" localSheetId="1" hidden="1">'1.СЗН'!$69:$73</definedName>
    <definedName name="Z_CB4792DB_A624_4844_AEB6_A6ADA80946BB_.wvu.Rows" localSheetId="16" hidden="1">'13.МП РЖС'!$122:$127</definedName>
    <definedName name="Z_CB4792DB_A624_4844_AEB6_A6ADA80946BB_.wvu.Rows" localSheetId="6" hidden="1">'6.Экстримизм'!$9:$23,'6.Экстримизм'!$30:$38,'6.Экстримизм'!$44:$49,'6.Экстримизм'!$65:$67,'6.Экстримизм'!$71:$76,'6.Экстримизм'!$86:$88,'6.Экстримизм'!$95:$97</definedName>
    <definedName name="Z_CBFBCA7F_56FD_45D6_9519_98FF92DE6720_.wvu.FilterData" localSheetId="3" hidden="1">'3.БЖД'!$A$1:$AF$17</definedName>
    <definedName name="Z_CE1CCA00_200D_4EAA_9FBE_F8EE7C5F82FE_.wvu.Cols" localSheetId="16" hidden="1">'13.МП РЖС'!$AG:$AG</definedName>
    <definedName name="Z_CE1CCA00_200D_4EAA_9FBE_F8EE7C5F82FE_.wvu.FilterData" localSheetId="1" hidden="1">'1.СЗН'!$A$1:$AF$63</definedName>
    <definedName name="Z_CE1CCA00_200D_4EAA_9FBE_F8EE7C5F82FE_.wvu.FilterData" localSheetId="13" hidden="1">'11.МП РО'!$A$4:$A$380</definedName>
    <definedName name="Z_CE1CCA00_200D_4EAA_9FBE_F8EE7C5F82FE_.wvu.FilterData" localSheetId="2" hidden="1">'2.АПК'!$A$1:$AF$36</definedName>
    <definedName name="Z_CE1CCA00_200D_4EAA_9FBE_F8EE7C5F82FE_.wvu.FilterData" localSheetId="3" hidden="1">'3.БЖД'!$A$1:$AF$17</definedName>
    <definedName name="Z_CE1CCA00_200D_4EAA_9FBE_F8EE7C5F82FE_.wvu.FilterData" localSheetId="4" hidden="1">'4.УМИ'!$A$1:$AF$11</definedName>
    <definedName name="Z_CE1CCA00_200D_4EAA_9FBE_F8EE7C5F82FE_.wvu.FilterData" localSheetId="5" hidden="1">'5.Проф. прав.'!$A$1:$AF$12</definedName>
    <definedName name="Z_CE1CCA00_200D_4EAA_9FBE_F8EE7C5F82FE_.wvu.FilterData" localSheetId="6" hidden="1">'6.Экстримизм'!$A$1:$AF$11</definedName>
    <definedName name="Z_CE1CCA00_200D_4EAA_9FBE_F8EE7C5F82FE_.wvu.Rows" localSheetId="1" hidden="1">'1.СЗН'!$69:$73</definedName>
    <definedName name="Z_CE1CCA00_200D_4EAA_9FBE_F8EE7C5F82FE_.wvu.Rows" localSheetId="16" hidden="1">'13.МП РЖС'!$122:$127</definedName>
    <definedName name="Z_CE1CCA00_200D_4EAA_9FBE_F8EE7C5F82FE_.wvu.Rows" localSheetId="6" hidden="1">'6.Экстримизм'!$9:$23,'6.Экстримизм'!$30:$38,'6.Экстримизм'!$44:$49,'6.Экстримизм'!$65:$67,'6.Экстримизм'!$71:$76,'6.Экстримизм'!$86:$88,'6.Экстримизм'!$95:$97</definedName>
    <definedName name="Z_D01FA037_9AEC_4167_ADB8_2F327C01ECE6_.wvu.Cols" localSheetId="16" hidden="1">'13.МП РЖС'!$AG:$AG</definedName>
    <definedName name="Z_D01FA037_9AEC_4167_ADB8_2F327C01ECE6_.wvu.FilterData" localSheetId="1" hidden="1">'1.СЗН'!$A$1:$AF$63</definedName>
    <definedName name="Z_D01FA037_9AEC_4167_ADB8_2F327C01ECE6_.wvu.FilterData" localSheetId="13" hidden="1">'11.МП РО'!$A$4:$A$380</definedName>
    <definedName name="Z_D01FA037_9AEC_4167_ADB8_2F327C01ECE6_.wvu.FilterData" localSheetId="2" hidden="1">'2.АПК'!$A$1:$AF$36</definedName>
    <definedName name="Z_D01FA037_9AEC_4167_ADB8_2F327C01ECE6_.wvu.FilterData" localSheetId="3" hidden="1">'3.БЖД'!$A$1:$AF$17</definedName>
    <definedName name="Z_D01FA037_9AEC_4167_ADB8_2F327C01ECE6_.wvu.FilterData" localSheetId="4" hidden="1">'4.УМИ'!$A$1:$AF$11</definedName>
    <definedName name="Z_D01FA037_9AEC_4167_ADB8_2F327C01ECE6_.wvu.FilterData" localSheetId="5" hidden="1">'5.Проф. прав.'!$A$1:$AF$12</definedName>
    <definedName name="Z_D01FA037_9AEC_4167_ADB8_2F327C01ECE6_.wvu.FilterData" localSheetId="6" hidden="1">'6.Экстримизм'!$A$1:$AF$11</definedName>
    <definedName name="Z_D01FA037_9AEC_4167_ADB8_2F327C01ECE6_.wvu.Rows" localSheetId="1" hidden="1">'1.СЗН'!$69:$73</definedName>
    <definedName name="Z_D01FA037_9AEC_4167_ADB8_2F327C01ECE6_.wvu.Rows" localSheetId="16" hidden="1">'13.МП РЖС'!$122:$127</definedName>
    <definedName name="Z_D01FA037_9AEC_4167_ADB8_2F327C01ECE6_.wvu.Rows" localSheetId="6" hidden="1">'6.Экстримизм'!$9:$23,'6.Экстримизм'!$30:$38,'6.Экстримизм'!$44:$49,'6.Экстримизм'!$65:$67,'6.Экстримизм'!$71:$76,'6.Экстримизм'!$86:$88,'6.Экстримизм'!$95:$97</definedName>
    <definedName name="Z_D131C00F_9BDA_43A0_BF73_917985003D17_.wvu.FilterData" localSheetId="6" hidden="1">'6.Экстримизм'!$A$1:$AF$11</definedName>
    <definedName name="Z_D9C8C987_8580_4630_B25D_27B2C5F59692_.wvu.FilterData" localSheetId="2" hidden="1">'2.АПК'!$A$1:$AF$36</definedName>
    <definedName name="Z_DAA8A688_7558_4B5B_8DBD_E2629BD9E9A8_.wvu.Cols" localSheetId="16" hidden="1">'13.МП РЖС'!$AG:$AG</definedName>
    <definedName name="Z_DAA8A688_7558_4B5B_8DBD_E2629BD9E9A8_.wvu.FilterData" localSheetId="1" hidden="1">'1.СЗН'!$A$1:$AF$63</definedName>
    <definedName name="Z_DAA8A688_7558_4B5B_8DBD_E2629BD9E9A8_.wvu.FilterData" localSheetId="13" hidden="1">'11.МП РО'!$A$4:$A$380</definedName>
    <definedName name="Z_DAA8A688_7558_4B5B_8DBD_E2629BD9E9A8_.wvu.FilterData" localSheetId="2" hidden="1">'2.АПК'!$A$1:$AF$36</definedName>
    <definedName name="Z_DAA8A688_7558_4B5B_8DBD_E2629BD9E9A8_.wvu.FilterData" localSheetId="3" hidden="1">'3.БЖД'!$A$1:$AF$17</definedName>
    <definedName name="Z_DAA8A688_7558_4B5B_8DBD_E2629BD9E9A8_.wvu.FilterData" localSheetId="4" hidden="1">'4.УМИ'!$A$1:$AF$11</definedName>
    <definedName name="Z_DAA8A688_7558_4B5B_8DBD_E2629BD9E9A8_.wvu.FilterData" localSheetId="5" hidden="1">'5.Проф. прав.'!$A$1:$AF$12</definedName>
    <definedName name="Z_DAA8A688_7558_4B5B_8DBD_E2629BD9E9A8_.wvu.FilterData" localSheetId="6" hidden="1">'6.Экстримизм'!$A$1:$AF$11</definedName>
    <definedName name="Z_DAA8A688_7558_4B5B_8DBD_E2629BD9E9A8_.wvu.Rows" localSheetId="1" hidden="1">'1.СЗН'!$69:$73</definedName>
    <definedName name="Z_DAA8A688_7558_4B5B_8DBD_E2629BD9E9A8_.wvu.Rows" localSheetId="16" hidden="1">'13.МП РЖС'!$122:$127</definedName>
    <definedName name="Z_DAA8A688_7558_4B5B_8DBD_E2629BD9E9A8_.wvu.Rows" localSheetId="6" hidden="1">'6.Экстримизм'!$9:$23,'6.Экстримизм'!$30:$38,'6.Экстримизм'!$44:$49,'6.Экстримизм'!$65:$67,'6.Экстримизм'!$71:$76,'6.Экстримизм'!$86:$88,'6.Экстримизм'!$95:$97</definedName>
    <definedName name="Z_DE3D13C4_7341_41B5_9139_A9C8E0C99898_.wvu.FilterData" localSheetId="3" hidden="1">'3.БЖД'!$A$1:$AF$17</definedName>
    <definedName name="Z_E508E171_4ED9_4B07_84DF_DA28C60E1969_.wvu.Cols" localSheetId="16" hidden="1">'13.МП РЖС'!$AG:$AG</definedName>
    <definedName name="Z_E508E171_4ED9_4B07_84DF_DA28C60E1969_.wvu.FilterData" localSheetId="1" hidden="1">'1.СЗН'!$A$1:$AF$63</definedName>
    <definedName name="Z_E508E171_4ED9_4B07_84DF_DA28C60E1969_.wvu.FilterData" localSheetId="13" hidden="1">'11.МП РО'!$A$4:$A$380</definedName>
    <definedName name="Z_E508E171_4ED9_4B07_84DF_DA28C60E1969_.wvu.FilterData" localSheetId="2" hidden="1">'2.АПК'!$A$1:$AF$36</definedName>
    <definedName name="Z_E508E171_4ED9_4B07_84DF_DA28C60E1969_.wvu.FilterData" localSheetId="3" hidden="1">'3.БЖД'!$A$1:$AF$17</definedName>
    <definedName name="Z_E508E171_4ED9_4B07_84DF_DA28C60E1969_.wvu.FilterData" localSheetId="4" hidden="1">'4.УМИ'!$A$1:$AF$11</definedName>
    <definedName name="Z_E508E171_4ED9_4B07_84DF_DA28C60E1969_.wvu.FilterData" localSheetId="5" hidden="1">'5.Проф. прав.'!$A$1:$AF$12</definedName>
    <definedName name="Z_E508E171_4ED9_4B07_84DF_DA28C60E1969_.wvu.FilterData" localSheetId="6" hidden="1">'6.Экстримизм'!$A$1:$AF$11</definedName>
    <definedName name="Z_E508E171_4ED9_4B07_84DF_DA28C60E1969_.wvu.Rows" localSheetId="1" hidden="1">'1.СЗН'!$69:$73</definedName>
    <definedName name="Z_E508E171_4ED9_4B07_84DF_DA28C60E1969_.wvu.Rows" localSheetId="16" hidden="1">'13.МП РЖС'!$122:$127</definedName>
    <definedName name="Z_E508E171_4ED9_4B07_84DF_DA28C60E1969_.wvu.Rows" localSheetId="6" hidden="1">'6.Экстримизм'!$9:$23,'6.Экстримизм'!$30:$38,'6.Экстримизм'!$44:$49,'6.Экстримизм'!$65:$67,'6.Экстримизм'!$71:$76,'6.Экстримизм'!$86:$88,'6.Экстримизм'!$95:$97</definedName>
    <definedName name="Z_E78997D0_B342_4B0F_924C_DFBC1377A883_.wvu.FilterData" localSheetId="5" hidden="1">'5.Проф. прав.'!$A$1:$AF$12</definedName>
    <definedName name="Z_EB3F7096_B579_4E53_8ADC_53C03933AE73_.wvu.FilterData" localSheetId="3" hidden="1">'3.БЖД'!$A$1:$AF$17</definedName>
    <definedName name="Z_EE4E416A_731C_4840_AAAF_B170B045E0A2_.wvu.FilterData" localSheetId="2" hidden="1">'2.АПК'!$A$1:$AF$36</definedName>
    <definedName name="Z_EE4E416A_731C_4840_AAAF_B170B045E0A2_.wvu.FilterData" localSheetId="5" hidden="1">'5.Проф. прав.'!$A$1:$AF$12</definedName>
    <definedName name="Z_F49D208F_4382_42DC_ACA2_06B435C9FB7A_.wvu.FilterData" localSheetId="13" hidden="1">'11.МП РО'!$A$4:$A$380</definedName>
    <definedName name="Z_F679EF4A_C5FD_4B86_B87B_D85968E0F2CA_.wvu.Cols" localSheetId="16" hidden="1">'13.МП РЖС'!$AG:$AG</definedName>
    <definedName name="Z_F679EF4A_C5FD_4B86_B87B_D85968E0F2CA_.wvu.FilterData" localSheetId="1" hidden="1">'1.СЗН'!$A$1:$AF$63</definedName>
    <definedName name="Z_F679EF4A_C5FD_4B86_B87B_D85968E0F2CA_.wvu.FilterData" localSheetId="2" hidden="1">'2.АПК'!$A$1:$AF$36</definedName>
    <definedName name="Z_F679EF4A_C5FD_4B86_B87B_D85968E0F2CA_.wvu.FilterData" localSheetId="3" hidden="1">'3.БЖД'!$A$1:$AF$17</definedName>
    <definedName name="Z_F679EF4A_C5FD_4B86_B87B_D85968E0F2CA_.wvu.FilterData" localSheetId="4" hidden="1">'4.УМИ'!$A$1:$AF$11</definedName>
    <definedName name="Z_F679EF4A_C5FD_4B86_B87B_D85968E0F2CA_.wvu.FilterData" localSheetId="5" hidden="1">'5.Проф. прав.'!$A$1:$AF$12</definedName>
    <definedName name="Z_F679EF4A_C5FD_4B86_B87B_D85968E0F2CA_.wvu.FilterData" localSheetId="6" hidden="1">'6.Экстримизм'!$A$1:$AF$11</definedName>
    <definedName name="Z_F679EF4A_C5FD_4B86_B87B_D85968E0F2CA_.wvu.Rows" localSheetId="1" hidden="1">'1.СЗН'!$69:$73</definedName>
    <definedName name="Z_F679EF4A_C5FD_4B86_B87B_D85968E0F2CA_.wvu.Rows" localSheetId="16" hidden="1">'13.МП РЖС'!$122:$127</definedName>
    <definedName name="Z_F679EF4A_C5FD_4B86_B87B_D85968E0F2CA_.wvu.Rows" localSheetId="6" hidden="1">'6.Экстримизм'!$9:$23,'6.Экстримизм'!$30:$38,'6.Экстримизм'!$44:$49,'6.Экстримизм'!$65:$67,'6.Экстримизм'!$71:$76,'6.Экстримизм'!$86:$88,'6.Экстримизм'!$95:$97</definedName>
    <definedName name="Z_F9B70720_F297_4239_9B4F_C1EB59A5C247_.wvu.FilterData" localSheetId="2" hidden="1">'2.АПК'!$A$1:$AF$36</definedName>
    <definedName name="Z_FB3C65CE_A6AE_4512_BF0D_063EB54C23BB_.wvu.FilterData" localSheetId="4" hidden="1">'4.УМИ'!$A$1:$AF$11</definedName>
  </definedNames>
  <calcPr calcId="162913"/>
  <customWorkbookViews>
    <customWorkbookView name="Тихонова Лариса Анатольевна - Личное представление" guid="{7C130984-112A-4861-AA43-E2940708E3DC}" mergeInterval="0" personalView="1" maximized="1" xWindow="-8" yWindow="-8" windowWidth="1936" windowHeight="1056" tabRatio="798" activeSheetId="8"/>
    <customWorkbookView name="Корнишина Марина Геннадьевна - Личное представление" guid="{3C3F523F-5F34-4CF7-831E-F1ABC4278CEB}" mergeInterval="0" personalView="1" xWindow="130" yWindow="130" windowWidth="1440" windowHeight="753" tabRatio="798" activeSheetId="6"/>
    <customWorkbookView name="Колесник Елена Николаевна - Личное представление" guid="{D01FA037-9AEC-4167-ADB8-2F327C01ECE6}" mergeInterval="0" personalView="1" maximized="1" xWindow="-4" yWindow="-4" windowWidth="1928" windowHeight="1048" tabRatio="798" activeSheetId="6"/>
    <customWorkbookView name="Митина Екатерина Сергеевна - Личное представление" guid="{602C8EDB-B9EF-4C85-B0D5-0558C3A0ABAB}" mergeInterval="0" personalView="1" maximized="1" xWindow="-8" yWindow="-8" windowWidth="1936" windowHeight="1056" tabRatio="798" activeSheetId="18"/>
    <customWorkbookView name="Смекалин Дмитрий Александрович - Личное представление" guid="{69DABE6F-6182-4403-A4A2-969F10F1C13A}" mergeInterval="0" personalView="1" xWindow="62" windowWidth="1858" windowHeight="1080" tabRatio="798" activeSheetId="4"/>
    <customWorkbookView name="Ларионова Галина Владимировна - Личное представление" guid="{E508E171-4ED9-4B07-84DF-DA28C60E1969}" mergeInterval="0" personalView="1" maximized="1" xWindow="-8" yWindow="-8" windowWidth="1696" windowHeight="1026" tabRatio="798" activeSheetId="23"/>
    <customWorkbookView name="Огиренко Ольга Ивановна - Личное представление" guid="{AC2D5927-4079-4C74-AF69-1BFAC505648F}" mergeInterval="0" personalView="1" maximized="1" xWindow="-8" yWindow="-8" windowWidth="1936" windowHeight="1056" tabRatio="798" activeSheetId="22"/>
    <customWorkbookView name="агомедов Алихан Магомедханович - Личное представление" guid="{442F2C94-DD1B-4A01-8694-513D4D6F3BD9}" mergeInterval="0" personalView="1" xWindow="220" yWindow="28" windowWidth="769" windowHeight="991" tabRatio="798" activeSheetId="22"/>
    <customWorkbookView name="Краева Ольга Витальевна - Личное представление" guid="{CE1CCA00-200D-4EAA-9FBE-F8EE7C5F82FE}" mergeInterval="0" personalView="1" xWindow="523" yWindow="38" windowWidth="1264" windowHeight="863" tabRatio="798" activeSheetId="17"/>
    <customWorkbookView name="Грязнова Екатерина Владимировна - Личное представление" guid="{4D0DFB57-2CBA-42F2-9A97-C453A6851FBA}" mergeInterval="0" personalView="1" maximized="1" xWindow="-8" yWindow="-8" windowWidth="1936" windowHeight="1056" tabRatio="798" activeSheetId="15"/>
    <customWorkbookView name="Терсин Роман Олегович - Личное представление" guid="{85F4575B-DBC5-482A-9916-255D8F0BC94E}" mergeInterval="0" personalView="1" maximized="1" xWindow="-8" yWindow="-8" windowWidth="1936" windowHeight="1056" tabRatio="798" activeSheetId="22"/>
    <customWorkbookView name="Мягкова Оксана Викторовна - Личное представление" guid="{B1BF08D1-D416-4B47-ADD0-4F59132DC9E8}" mergeInterval="0" personalView="1" maximized="1" xWindow="-8" yWindow="-8" windowWidth="1936" windowHeight="1056" tabRatio="798" activeSheetId="12"/>
    <customWorkbookView name="Бондарева Оксана Петровна - Личное представление" guid="{BCD82A82-B724-4763-8580-D765356E09BA}" mergeInterval="0" personalView="1" maximized="1" xWindow="-8" yWindow="-8" windowWidth="1936" windowHeight="1056" tabRatio="798" activeSheetId="1"/>
    <customWorkbookView name="Горохова Оксана Юсуповна - Личное представление" guid="{C236B307-BD63-48C4-A75F-B3F3717BF55C}" mergeInterval="0" personalView="1" maximized="1" xWindow="-8" yWindow="-8" windowWidth="1936" windowHeight="1056" tabRatio="798" activeSheetId="22"/>
    <customWorkbookView name="Титкова Наталья Ивановна - Личное представление" guid="{874882D1-E741-4CCA-BF0D-E72FA60B771D}" mergeInterval="0" personalView="1" maximized="1" xWindow="-8" yWindow="-8" windowWidth="1936" windowHeight="1056" tabRatio="798" activeSheetId="19"/>
    <customWorkbookView name="Шишкина Юлия Андреева - Личное представление" guid="{B82BA08A-1A30-4F4D-A478-74A6BD09EA97}" mergeInterval="0" personalView="1" xWindow="-15" yWindow="49" windowWidth="902" windowHeight="878" tabRatio="798" activeSheetId="5"/>
    <customWorkbookView name="Игошкина Марина Юрьевна - Личное представление" guid="{770624BF-07F3-44B6-94C3-4CC447CDD45C}" mergeInterval="0" personalView="1" maximized="1" xWindow="-8" yWindow="-8" windowWidth="1936" windowHeight="1056" tabRatio="798" activeSheetId="9"/>
    <customWorkbookView name="Сорокина Ольга Сергеевна - Личное представление" guid="{009B3074-D8EC-4952-BF50-43CD64449612}" mergeInterval="0" personalView="1" maximized="1" xWindow="-9" yWindow="-9" windowWidth="1938" windowHeight="1050" tabRatio="798" activeSheetId="15"/>
    <customWorkbookView name="Ватаву Рада Вячеславовна - Личное представление" guid="{F679EF4A-C5FD-4B86-B87B-D85968E0F2CA}" mergeInterval="0" personalView="1" maximized="1" xWindow="-8" yWindow="-8" windowWidth="1936" windowHeight="1056" tabRatio="798" activeSheetId="12"/>
    <customWorkbookView name="Крюков Сергей Александрович - Личное представление" guid="{959E901C-5DDE-42EE-AE94-AB8976B5E00B}" mergeInterval="0" personalView="1" maximized="1" xWindow="-8" yWindow="-8" windowWidth="1936" windowHeight="1056" tabRatio="775" activeSheetId="12"/>
    <customWorkbookView name="Степаненко Наталья Алексеевна - Личное представление" guid="{533DC55B-6AD4-4674-9488-685EF2039F3E}" mergeInterval="0" personalView="1" maximized="1" xWindow="-8" yWindow="-8" windowWidth="1936" windowHeight="1056" tabRatio="773" activeSheetId="7"/>
    <customWorkbookView name="Лукманова Эльвира Наильевна - Личное представление" guid="{87218168-6C8E-4D5B-A5E5-DCCC26803AA3}" mergeInterval="0" personalView="1" maximized="1" xWindow="-8" yWindow="-8" windowWidth="1296" windowHeight="1000" tabRatio="842" activeSheetId="7"/>
    <customWorkbookView name="Епифанова Елена Валерьевна - Личное представление" guid="{DAA8A688-7558-4B5B-8DBD-E2629BD9E9A8}" mergeInterval="0" personalView="1" maximized="1" xWindow="-8" yWindow="-8" windowWidth="1936" windowHeight="1056" tabRatio="842" activeSheetId="20"/>
    <customWorkbookView name="Чекменева Наталья Валерьевна - Личное представление" guid="{391AB76E-B386-49C1-800F-016A48AA1A46}" mergeInterval="0" personalView="1" maximized="1" xWindow="-8" yWindow="-8" windowWidth="1936" windowHeight="1056" tabRatio="798" activeSheetId="22"/>
    <customWorkbookView name="Харченко Ольга Владимировна - Личное представление" guid="{09C3E205-981E-4A4E-BE89-8B7044192060}" mergeInterval="0" personalView="1" maximized="1" xWindow="-8" yWindow="-8" windowWidth="1936" windowHeight="1056" tabRatio="798" activeSheetId="14"/>
    <customWorkbookView name="Мартынова Снежана Владимировна - Личное представление" guid="{84867370-1F3E-4368-AF79-FBCE46FFFE92}" mergeInterval="0" personalView="1" maximized="1" xWindow="-8" yWindow="-8" windowWidth="1936" windowHeight="1056" tabRatio="798" activeSheetId="2"/>
    <customWorkbookView name="Цыганкова Ирина Анатольевн - Личное представление" guid="{0C2B9C2A-7B94-41EF-A2E6-F8AC9A67DE25}" mergeInterval="0" personalView="1" maximized="1" xWindow="-8" yWindow="-8" windowWidth="1936" windowHeight="1056" tabRatio="798" activeSheetId="21"/>
    <customWorkbookView name="Кудла Александр Владимирович - Личное представление" guid="{CB4792DB-A624-4844-AEB6-A6ADA80946BB}" mergeInterval="0" personalView="1" maximized="1" xWindow="-8" yWindow="-8" windowWidth="1936" windowHeight="1048" tabRatio="798" activeSheetId="20"/>
    <customWorkbookView name="Хамадуллина Анастасия Олеговна - Личное представление" guid="{74870EE6-26B9-40F7-9DC9-260EF16D8959}" mergeInterval="0" personalView="1" maximized="1" xWindow="-8" yWindow="-8" windowWidth="1936" windowHeight="1056" tabRatio="798" activeSheetId="5"/>
    <customWorkbookView name="Цёвка Елена Александровна - Личное представление" guid="{6A602CB8-B24C-4ED4-B378-B27354BE0A1A}" mergeInterval="0" personalView="1" maximized="1" xWindow="-8" yWindow="-8" windowWidth="1936" windowHeight="1048" tabRatio="798" activeSheetId="15"/>
    <customWorkbookView name="Подворчан Оксана - Личное представление" guid="{4F41B9CC-959D-442C-80B0-1F0DB2C76D27}" mergeInterval="0" personalView="1" maximized="1" xWindow="-4" yWindow="-4" windowWidth="1928" windowHeight="1038" tabRatio="798" activeSheetId="11"/>
    <customWorkbookView name="Шамерзоева Татьяна Федоровна - Личное представление" guid="{47B983AB-FE5F-4725-860C-A2F29420596D}" mergeInterval="0" personalView="1" maximized="1" xWindow="-8" yWindow="-8" windowWidth="1936" windowHeight="1056" tabRatio="798" activeSheetId="3"/>
  </customWorkbookViews>
</workbook>
</file>

<file path=xl/calcChain.xml><?xml version="1.0" encoding="utf-8"?>
<calcChain xmlns="http://schemas.openxmlformats.org/spreadsheetml/2006/main">
  <c r="N40" i="3" l="1"/>
  <c r="P12" i="3"/>
  <c r="H12" i="3"/>
  <c r="J12" i="3"/>
  <c r="L12" i="3"/>
  <c r="N12" i="3"/>
  <c r="S27" i="3"/>
  <c r="E15" i="3"/>
  <c r="E31" i="3"/>
  <c r="E28" i="3"/>
  <c r="E24" i="3"/>
  <c r="D24" i="3"/>
  <c r="D32" i="3"/>
  <c r="D31" i="3"/>
  <c r="D28" i="3"/>
  <c r="D27" i="3"/>
  <c r="C28" i="3"/>
  <c r="C27" i="3"/>
  <c r="C26" i="3"/>
  <c r="C24" i="3"/>
  <c r="C23" i="3"/>
  <c r="G23" i="3" s="1"/>
  <c r="E23" i="3"/>
  <c r="E30" i="3"/>
  <c r="E34" i="3"/>
  <c r="D34" i="3"/>
  <c r="B34" i="3"/>
  <c r="B38" i="3"/>
  <c r="B39" i="3"/>
  <c r="B40" i="3"/>
  <c r="U23" i="3"/>
  <c r="AE12" i="3"/>
  <c r="AC12" i="3"/>
  <c r="AA12" i="3"/>
  <c r="Y12" i="3"/>
  <c r="W12" i="3"/>
  <c r="U12" i="3"/>
  <c r="S12" i="3"/>
  <c r="O12" i="3"/>
  <c r="Q12" i="3"/>
  <c r="U11" i="3"/>
  <c r="T11" i="3"/>
  <c r="S11" i="3"/>
  <c r="M12" i="3" l="1"/>
  <c r="K12" i="3"/>
  <c r="E12" i="3" s="1"/>
  <c r="D15" i="3"/>
  <c r="D14" i="3"/>
  <c r="C12" i="3"/>
  <c r="C11" i="3"/>
  <c r="B12" i="3"/>
  <c r="B11" i="3"/>
  <c r="N14" i="3"/>
  <c r="E14" i="3"/>
  <c r="C14" i="3"/>
  <c r="E11" i="3" l="1"/>
  <c r="D12" i="3"/>
  <c r="C49" i="19"/>
  <c r="C27" i="19"/>
  <c r="F27" i="19"/>
  <c r="E27" i="19"/>
  <c r="G27" i="19" s="1"/>
  <c r="E81" i="11" l="1"/>
  <c r="D81" i="11" s="1"/>
  <c r="D109" i="11" s="1"/>
  <c r="P81" i="11"/>
  <c r="P78" i="11" s="1"/>
  <c r="H81" i="11"/>
  <c r="O80" i="11"/>
  <c r="O78" i="11"/>
  <c r="Q80" i="11"/>
  <c r="X15" i="11"/>
  <c r="C33" i="11" l="1"/>
  <c r="B33" i="11"/>
  <c r="B103" i="11"/>
  <c r="D90" i="11"/>
  <c r="E90" i="11"/>
  <c r="E87" i="11"/>
  <c r="C75" i="18" l="1"/>
  <c r="C76" i="18"/>
  <c r="C74" i="18"/>
  <c r="C70" i="18"/>
  <c r="C71" i="18"/>
  <c r="C69" i="18"/>
  <c r="C55" i="18"/>
  <c r="C56" i="18"/>
  <c r="C54" i="18"/>
  <c r="C50" i="18"/>
  <c r="C51" i="18"/>
  <c r="C49" i="18"/>
  <c r="C45" i="18"/>
  <c r="C46" i="18"/>
  <c r="C44" i="18"/>
  <c r="C30" i="18"/>
  <c r="C29" i="18"/>
  <c r="C26" i="18"/>
  <c r="C25" i="18"/>
  <c r="C22" i="18"/>
  <c r="C21" i="18"/>
  <c r="C15" i="18"/>
  <c r="R33" i="22" l="1"/>
  <c r="R34" i="22"/>
  <c r="Q33" i="22"/>
  <c r="P33" i="22"/>
  <c r="P32" i="22"/>
  <c r="Q32" i="22"/>
  <c r="R32" i="22"/>
  <c r="R31" i="22"/>
  <c r="M31" i="22" s="1"/>
  <c r="H31" i="22" s="1"/>
  <c r="C31" i="22" s="1"/>
  <c r="Q31" i="22"/>
  <c r="P31" i="22"/>
  <c r="S33" i="22"/>
  <c r="S31" i="22"/>
  <c r="S32" i="22"/>
  <c r="T31" i="22"/>
  <c r="T32" i="22"/>
  <c r="U33" i="22"/>
  <c r="U32" i="22"/>
  <c r="U31" i="22"/>
  <c r="V31" i="22"/>
  <c r="V32" i="22"/>
  <c r="V33" i="22"/>
  <c r="W33" i="22"/>
  <c r="W32" i="22"/>
  <c r="W31" i="22"/>
  <c r="X31" i="22"/>
  <c r="X32" i="22"/>
  <c r="X33" i="22"/>
  <c r="Y32" i="22"/>
  <c r="Y31" i="22"/>
  <c r="Z31" i="22"/>
  <c r="Z32" i="22"/>
  <c r="Z33" i="22"/>
  <c r="AA33" i="22"/>
  <c r="AA32" i="22"/>
  <c r="AA31" i="22"/>
  <c r="AA30" i="22"/>
  <c r="Z30" i="22"/>
  <c r="U30" i="22" s="1"/>
  <c r="P30" i="22" s="1"/>
  <c r="K30" i="22" s="1"/>
  <c r="F30" i="22" s="1"/>
  <c r="Y30" i="22"/>
  <c r="T30" i="22" s="1"/>
  <c r="O30" i="22" s="1"/>
  <c r="J30" i="22" s="1"/>
  <c r="E30" i="22" s="1"/>
  <c r="X30" i="22"/>
  <c r="S30" i="22" s="1"/>
  <c r="N30" i="22" s="1"/>
  <c r="I30" i="22" s="1"/>
  <c r="D30" i="22" s="1"/>
  <c r="W30" i="22"/>
  <c r="R30" i="22" s="1"/>
  <c r="M30" i="22" s="1"/>
  <c r="H30" i="22" s="1"/>
  <c r="C30" i="22" s="1"/>
  <c r="V30" i="22"/>
  <c r="Q30" i="22" s="1"/>
  <c r="L30" i="22" s="1"/>
  <c r="G30" i="22" s="1"/>
  <c r="B30" i="22" s="1"/>
  <c r="P29" i="22"/>
  <c r="K29" i="22" s="1"/>
  <c r="F29" i="22" s="1"/>
  <c r="Q29" i="22"/>
  <c r="R29" i="22"/>
  <c r="M29" i="22" s="1"/>
  <c r="H29" i="22" s="1"/>
  <c r="C29" i="22" s="1"/>
  <c r="S29" i="22"/>
  <c r="T29" i="22"/>
  <c r="U29" i="22"/>
  <c r="V29" i="22"/>
  <c r="W29" i="22"/>
  <c r="X29" i="22"/>
  <c r="Y29" i="22"/>
  <c r="Z29" i="22"/>
  <c r="AA29" i="22"/>
  <c r="AA28" i="22"/>
  <c r="Z28" i="22"/>
  <c r="X28" i="22"/>
  <c r="S28" i="22" s="1"/>
  <c r="N28" i="22" s="1"/>
  <c r="I28" i="22" s="1"/>
  <c r="D28" i="22" s="1"/>
  <c r="W28" i="22"/>
  <c r="R28" i="22" s="1"/>
  <c r="M28" i="22" s="1"/>
  <c r="H28" i="22" s="1"/>
  <c r="C28" i="22" s="1"/>
  <c r="V28" i="22"/>
  <c r="Q28" i="22" s="1"/>
  <c r="L28" i="22" s="1"/>
  <c r="G28" i="22" s="1"/>
  <c r="U28" i="22"/>
  <c r="P28" i="22" s="1"/>
  <c r="K28" i="22" s="1"/>
  <c r="F28" i="22" s="1"/>
  <c r="AE33" i="22"/>
  <c r="AE32" i="22"/>
  <c r="AE31" i="22"/>
  <c r="AE30" i="22"/>
  <c r="AE29" i="22"/>
  <c r="AE28" i="22"/>
  <c r="AC28" i="22"/>
  <c r="AB28" i="22"/>
  <c r="AB29" i="22"/>
  <c r="AB31" i="22"/>
  <c r="AB30" i="22"/>
  <c r="AB32" i="22"/>
  <c r="AB33" i="22"/>
  <c r="AC33" i="22"/>
  <c r="AC32" i="22"/>
  <c r="AC31" i="22"/>
  <c r="AC30" i="22"/>
  <c r="AC29" i="22"/>
  <c r="AD29" i="22"/>
  <c r="AD30" i="22"/>
  <c r="AD31" i="22"/>
  <c r="AD32" i="22"/>
  <c r="J28" i="22"/>
  <c r="E28" i="22" s="1"/>
  <c r="N29" i="22"/>
  <c r="O29" i="22"/>
  <c r="J29" i="22" s="1"/>
  <c r="E29" i="22" s="1"/>
  <c r="O31" i="22"/>
  <c r="J31" i="22" s="1"/>
  <c r="E31" i="22" s="1"/>
  <c r="N31" i="22"/>
  <c r="I31" i="22" s="1"/>
  <c r="D31" i="22" s="1"/>
  <c r="N32" i="22"/>
  <c r="O32" i="22"/>
  <c r="N33" i="22"/>
  <c r="I33" i="22" s="1"/>
  <c r="D33" i="22" s="1"/>
  <c r="M33" i="22"/>
  <c r="H33" i="22" s="1"/>
  <c r="C33" i="22" s="1"/>
  <c r="M32" i="22"/>
  <c r="H32" i="22" s="1"/>
  <c r="C32" i="22" s="1"/>
  <c r="L33" i="22"/>
  <c r="L32" i="22"/>
  <c r="L31" i="22"/>
  <c r="G31" i="22" s="1"/>
  <c r="B31" i="22" s="1"/>
  <c r="L29" i="22"/>
  <c r="K31" i="22"/>
  <c r="F31" i="22" s="1"/>
  <c r="K32" i="22"/>
  <c r="F32" i="22" s="1"/>
  <c r="K33" i="22"/>
  <c r="F33" i="22" s="1"/>
  <c r="J33" i="22"/>
  <c r="E33" i="22" s="1"/>
  <c r="J32" i="22"/>
  <c r="E32" i="22" s="1"/>
  <c r="I32" i="22"/>
  <c r="D32" i="22" s="1"/>
  <c r="G33" i="22"/>
  <c r="G32" i="22"/>
  <c r="B32" i="22" s="1"/>
  <c r="G29" i="22"/>
  <c r="B29" i="22" s="1"/>
  <c r="I29" i="22"/>
  <c r="D29" i="22" s="1"/>
  <c r="AC62" i="22"/>
  <c r="AD62" i="22"/>
  <c r="AE62" i="22"/>
  <c r="Z62" i="22" s="1"/>
  <c r="U62" i="22" s="1"/>
  <c r="P62" i="22" s="1"/>
  <c r="K62" i="22" s="1"/>
  <c r="F62" i="22" s="1"/>
  <c r="AA62" i="22"/>
  <c r="V62" i="22" s="1"/>
  <c r="Q62" i="22" s="1"/>
  <c r="L62" i="22" s="1"/>
  <c r="G62" i="22" s="1"/>
  <c r="Y62" i="22"/>
  <c r="T62" i="22" s="1"/>
  <c r="O62" i="22" s="1"/>
  <c r="J62" i="22" s="1"/>
  <c r="E62" i="22" s="1"/>
  <c r="X62" i="22"/>
  <c r="S62" i="22" s="1"/>
  <c r="N62" i="22" s="1"/>
  <c r="I62" i="22" s="1"/>
  <c r="D62" i="22" s="1"/>
  <c r="R62" i="22"/>
  <c r="M62" i="22" s="1"/>
  <c r="H62" i="22" s="1"/>
  <c r="C62" i="22" s="1"/>
  <c r="R55" i="22"/>
  <c r="H55" i="22" s="1"/>
  <c r="C55" i="22" s="1"/>
  <c r="AA55" i="22"/>
  <c r="Z55" i="22"/>
  <c r="U55" i="22" s="1"/>
  <c r="P55" i="22" s="1"/>
  <c r="K55" i="22" s="1"/>
  <c r="F55" i="22" s="1"/>
  <c r="Y55" i="22"/>
  <c r="T55" i="22" s="1"/>
  <c r="O55" i="22" s="1"/>
  <c r="J55" i="22" s="1"/>
  <c r="E55" i="22" s="1"/>
  <c r="X55" i="22"/>
  <c r="S55" i="22" s="1"/>
  <c r="N55" i="22" s="1"/>
  <c r="I55" i="22" s="1"/>
  <c r="D55" i="22" s="1"/>
  <c r="V55" i="22"/>
  <c r="Q55" i="22" s="1"/>
  <c r="L55" i="22" s="1"/>
  <c r="G55" i="22" s="1"/>
  <c r="E14" i="4" l="1"/>
  <c r="D14" i="4"/>
  <c r="C14" i="4"/>
  <c r="E54" i="4"/>
  <c r="D54" i="4"/>
  <c r="C54" i="4"/>
  <c r="D50" i="4"/>
  <c r="C50" i="4"/>
  <c r="B34" i="4"/>
  <c r="C34" i="4"/>
  <c r="S33" i="4"/>
  <c r="S32" i="4" s="1"/>
  <c r="T33" i="4"/>
  <c r="T32" i="4" s="1"/>
  <c r="E34" i="4"/>
  <c r="U33" i="4"/>
  <c r="U32" i="4" s="1"/>
  <c r="E31" i="4"/>
  <c r="D31" i="4"/>
  <c r="C31" i="4"/>
  <c r="U13" i="4"/>
  <c r="E11" i="4"/>
  <c r="D11" i="4"/>
  <c r="C11" i="4"/>
  <c r="AE104" i="23" l="1"/>
  <c r="AD104" i="23"/>
  <c r="AC104" i="23"/>
  <c r="AB104" i="23"/>
  <c r="AA104" i="23"/>
  <c r="Z104" i="23"/>
  <c r="Y104" i="23"/>
  <c r="X104" i="23"/>
  <c r="W104" i="23"/>
  <c r="V104" i="23"/>
  <c r="U104" i="23"/>
  <c r="T104" i="23"/>
  <c r="S104" i="23"/>
  <c r="R104" i="23"/>
  <c r="Q104" i="23"/>
  <c r="P104" i="23"/>
  <c r="O104" i="23"/>
  <c r="N104" i="23"/>
  <c r="M104" i="23"/>
  <c r="L104" i="23"/>
  <c r="K104" i="23"/>
  <c r="J104" i="23"/>
  <c r="I104" i="23"/>
  <c r="H104" i="23"/>
  <c r="E103" i="23"/>
  <c r="C103" i="23"/>
  <c r="B103" i="23"/>
  <c r="AE102" i="23"/>
  <c r="AD102" i="23"/>
  <c r="AC102" i="23"/>
  <c r="AB102" i="23"/>
  <c r="AA102" i="23"/>
  <c r="Z102" i="23"/>
  <c r="Y102" i="23"/>
  <c r="X102" i="23"/>
  <c r="W102" i="23"/>
  <c r="V102" i="23"/>
  <c r="U102" i="23"/>
  <c r="T102" i="23"/>
  <c r="S102" i="23"/>
  <c r="R102" i="23"/>
  <c r="Q102" i="23"/>
  <c r="P102" i="23"/>
  <c r="O102" i="23"/>
  <c r="N102" i="23"/>
  <c r="M102" i="23"/>
  <c r="L102" i="23"/>
  <c r="K102" i="23"/>
  <c r="J102" i="23"/>
  <c r="I102" i="23"/>
  <c r="H102" i="23"/>
  <c r="AE101" i="23"/>
  <c r="AD101" i="23"/>
  <c r="AC101" i="23"/>
  <c r="AB101" i="23"/>
  <c r="AA101" i="23"/>
  <c r="Z101" i="23"/>
  <c r="Y101" i="23"/>
  <c r="X101" i="23"/>
  <c r="W101" i="23"/>
  <c r="V101" i="23"/>
  <c r="U101" i="23"/>
  <c r="T101" i="23"/>
  <c r="S101" i="23"/>
  <c r="R101" i="23"/>
  <c r="Q101" i="23"/>
  <c r="P101" i="23"/>
  <c r="O101" i="23"/>
  <c r="N101" i="23"/>
  <c r="M101" i="23"/>
  <c r="L101" i="23"/>
  <c r="K101" i="23"/>
  <c r="J101" i="23"/>
  <c r="J113" i="23" s="1"/>
  <c r="I101" i="23"/>
  <c r="H101" i="23"/>
  <c r="B101" i="23"/>
  <c r="AE100" i="23"/>
  <c r="AD100" i="23"/>
  <c r="AC100" i="23"/>
  <c r="AB100" i="23"/>
  <c r="AB106" i="23" s="1"/>
  <c r="AA100" i="23"/>
  <c r="Z100" i="23"/>
  <c r="Y100" i="23"/>
  <c r="X100" i="23"/>
  <c r="W100" i="23"/>
  <c r="V100" i="23"/>
  <c r="V99" i="23" s="1"/>
  <c r="U100" i="23"/>
  <c r="T100" i="23"/>
  <c r="C100" i="23" s="1"/>
  <c r="S100" i="23"/>
  <c r="R100" i="23"/>
  <c r="Q100" i="23"/>
  <c r="P100" i="23"/>
  <c r="O100" i="23"/>
  <c r="N100" i="23"/>
  <c r="N99" i="23" s="1"/>
  <c r="M100" i="23"/>
  <c r="L100" i="23"/>
  <c r="K100" i="23"/>
  <c r="J100" i="23"/>
  <c r="I100" i="23"/>
  <c r="H100" i="23"/>
  <c r="H112" i="23" s="1"/>
  <c r="AD99" i="23"/>
  <c r="Q99" i="23"/>
  <c r="G97" i="23"/>
  <c r="E97" i="23"/>
  <c r="D97" i="23"/>
  <c r="C97" i="23"/>
  <c r="B97" i="23"/>
  <c r="E96" i="23"/>
  <c r="C96" i="23"/>
  <c r="B96" i="23"/>
  <c r="F96" i="23" s="1"/>
  <c r="AE95" i="23"/>
  <c r="AE92" i="23" s="1"/>
  <c r="AD95" i="23"/>
  <c r="AC95" i="23"/>
  <c r="AC92" i="23" s="1"/>
  <c r="AB95" i="23"/>
  <c r="AB92" i="23" s="1"/>
  <c r="AA95" i="23"/>
  <c r="Z95" i="23"/>
  <c r="Y95" i="23"/>
  <c r="X95" i="23"/>
  <c r="X92" i="23" s="1"/>
  <c r="W95" i="23"/>
  <c r="W92" i="23" s="1"/>
  <c r="V95" i="23"/>
  <c r="U95" i="23"/>
  <c r="U92" i="23" s="1"/>
  <c r="T95" i="23"/>
  <c r="S95" i="23"/>
  <c r="S92" i="23" s="1"/>
  <c r="R95" i="23"/>
  <c r="Q95" i="23"/>
  <c r="Q92" i="23" s="1"/>
  <c r="P95" i="23"/>
  <c r="P92" i="23" s="1"/>
  <c r="O95" i="23"/>
  <c r="N95" i="23"/>
  <c r="M95" i="23"/>
  <c r="M92" i="23" s="1"/>
  <c r="L95" i="23"/>
  <c r="E94" i="23"/>
  <c r="C94" i="23"/>
  <c r="B94" i="23"/>
  <c r="E93" i="23"/>
  <c r="F93" i="23" s="1"/>
  <c r="C93" i="23"/>
  <c r="B93" i="23"/>
  <c r="AD92" i="23"/>
  <c r="AA92" i="23"/>
  <c r="Z92" i="23"/>
  <c r="Y92" i="23"/>
  <c r="V92" i="23"/>
  <c r="R92" i="23"/>
  <c r="N92" i="23"/>
  <c r="K92" i="23"/>
  <c r="J92" i="23"/>
  <c r="I92" i="23"/>
  <c r="H92" i="23"/>
  <c r="E90" i="23"/>
  <c r="C90" i="23"/>
  <c r="B90" i="23"/>
  <c r="E89" i="23"/>
  <c r="D89" i="23"/>
  <c r="C89" i="23"/>
  <c r="G89" i="23" s="1"/>
  <c r="B89" i="23"/>
  <c r="F89" i="23" s="1"/>
  <c r="AE88" i="23"/>
  <c r="AD88" i="23"/>
  <c r="AD85" i="23" s="1"/>
  <c r="AC88" i="23"/>
  <c r="AC85" i="23" s="1"/>
  <c r="AB88" i="23"/>
  <c r="AB85" i="23" s="1"/>
  <c r="AA88" i="23"/>
  <c r="Z88" i="23"/>
  <c r="Z85" i="23" s="1"/>
  <c r="Y88" i="23"/>
  <c r="Y85" i="23" s="1"/>
  <c r="X88" i="23"/>
  <c r="X85" i="23" s="1"/>
  <c r="W88" i="23"/>
  <c r="V88" i="23"/>
  <c r="V85" i="23" s="1"/>
  <c r="U88" i="23"/>
  <c r="U85" i="23" s="1"/>
  <c r="T88" i="23"/>
  <c r="T85" i="23" s="1"/>
  <c r="S88" i="23"/>
  <c r="R88" i="23"/>
  <c r="R85" i="23" s="1"/>
  <c r="Q88" i="23"/>
  <c r="P88" i="23"/>
  <c r="O88" i="23"/>
  <c r="N88" i="23"/>
  <c r="N85" i="23" s="1"/>
  <c r="M88" i="23"/>
  <c r="L88" i="23"/>
  <c r="B88" i="23" s="1"/>
  <c r="E87" i="23"/>
  <c r="D87" i="23" s="1"/>
  <c r="C87" i="23"/>
  <c r="G87" i="23" s="1"/>
  <c r="B87" i="23"/>
  <c r="E86" i="23"/>
  <c r="C86" i="23"/>
  <c r="B86" i="23"/>
  <c r="AE85" i="23"/>
  <c r="AA85" i="23"/>
  <c r="W85" i="23"/>
  <c r="S85" i="23"/>
  <c r="Q85" i="23"/>
  <c r="P85" i="23"/>
  <c r="O85" i="23"/>
  <c r="L85" i="23"/>
  <c r="K85" i="23"/>
  <c r="J85" i="23"/>
  <c r="I85" i="23"/>
  <c r="H85" i="23"/>
  <c r="E83" i="23"/>
  <c r="C83" i="23"/>
  <c r="B83" i="23"/>
  <c r="E82" i="23"/>
  <c r="D82" i="23" s="1"/>
  <c r="C82" i="23"/>
  <c r="B82" i="23"/>
  <c r="AE81" i="23"/>
  <c r="AD81" i="23"/>
  <c r="AC81" i="23"/>
  <c r="AB81" i="23"/>
  <c r="AA81" i="23"/>
  <c r="Z81" i="23"/>
  <c r="Y81" i="23"/>
  <c r="X81" i="23"/>
  <c r="W81" i="23"/>
  <c r="V81" i="23"/>
  <c r="U81" i="23"/>
  <c r="T81" i="23"/>
  <c r="S81" i="23"/>
  <c r="R81" i="23"/>
  <c r="Q81" i="23"/>
  <c r="P81" i="23"/>
  <c r="O81" i="23"/>
  <c r="N81" i="23"/>
  <c r="M81" i="23"/>
  <c r="L81" i="23"/>
  <c r="K81" i="23"/>
  <c r="J81" i="23"/>
  <c r="I81" i="23"/>
  <c r="H81" i="23"/>
  <c r="E81" i="23"/>
  <c r="D81" i="23" s="1"/>
  <c r="B81" i="23"/>
  <c r="AE80" i="23"/>
  <c r="AD80" i="23"/>
  <c r="AC80" i="23"/>
  <c r="AB80" i="23"/>
  <c r="AB78" i="23" s="1"/>
  <c r="AA80" i="23"/>
  <c r="Z80" i="23"/>
  <c r="Y80" i="23"/>
  <c r="Y78" i="23" s="1"/>
  <c r="X80" i="23"/>
  <c r="W80" i="23"/>
  <c r="V80" i="23"/>
  <c r="U80" i="23"/>
  <c r="U78" i="23" s="1"/>
  <c r="T80" i="23"/>
  <c r="S80" i="23"/>
  <c r="R80" i="23"/>
  <c r="Q80" i="23"/>
  <c r="P80" i="23"/>
  <c r="P78" i="23" s="1"/>
  <c r="O80" i="23"/>
  <c r="N80" i="23"/>
  <c r="M80" i="23"/>
  <c r="M78" i="23" s="1"/>
  <c r="L80" i="23"/>
  <c r="L78" i="23" s="1"/>
  <c r="K80" i="23"/>
  <c r="J80" i="23"/>
  <c r="I80" i="23"/>
  <c r="H80" i="23"/>
  <c r="B80" i="23" s="1"/>
  <c r="F79" i="23"/>
  <c r="E79" i="23"/>
  <c r="C79" i="23"/>
  <c r="B79" i="23"/>
  <c r="AC78" i="23"/>
  <c r="X78" i="23"/>
  <c r="Q78" i="23"/>
  <c r="I78" i="23"/>
  <c r="F76" i="23"/>
  <c r="E76" i="23"/>
  <c r="D76" i="23" s="1"/>
  <c r="C76" i="23"/>
  <c r="B76" i="23"/>
  <c r="E75" i="23"/>
  <c r="C75" i="23"/>
  <c r="B75" i="23"/>
  <c r="E74" i="23"/>
  <c r="D74" i="23" s="1"/>
  <c r="C74" i="23"/>
  <c r="B74" i="23"/>
  <c r="F74" i="23" s="1"/>
  <c r="AE73" i="23"/>
  <c r="AD73" i="23"/>
  <c r="AD71" i="23" s="1"/>
  <c r="AC73" i="23"/>
  <c r="AB73" i="23"/>
  <c r="AA73" i="23"/>
  <c r="Z73" i="23"/>
  <c r="Z71" i="23" s="1"/>
  <c r="C73" i="23"/>
  <c r="E72" i="23"/>
  <c r="D72" i="23" s="1"/>
  <c r="C72" i="23"/>
  <c r="B72" i="23"/>
  <c r="AE71" i="23"/>
  <c r="AA71" i="23"/>
  <c r="Y71" i="23"/>
  <c r="X71" i="23"/>
  <c r="W71" i="23"/>
  <c r="V71" i="23"/>
  <c r="U71" i="23"/>
  <c r="T71" i="23"/>
  <c r="S71" i="23"/>
  <c r="R71" i="23"/>
  <c r="Q71" i="23"/>
  <c r="P71" i="23"/>
  <c r="O71" i="23"/>
  <c r="N71" i="23"/>
  <c r="M71" i="23"/>
  <c r="L71" i="23"/>
  <c r="K71" i="23"/>
  <c r="J71" i="23"/>
  <c r="I71" i="23"/>
  <c r="H71" i="23"/>
  <c r="E69" i="23"/>
  <c r="C69" i="23"/>
  <c r="B69" i="23"/>
  <c r="E68" i="23"/>
  <c r="G68" i="23" s="1"/>
  <c r="C68" i="23"/>
  <c r="B68" i="23"/>
  <c r="AE67" i="23"/>
  <c r="AD67" i="23"/>
  <c r="AD64" i="23" s="1"/>
  <c r="AC67" i="23"/>
  <c r="AB67" i="23"/>
  <c r="AA67" i="23"/>
  <c r="Z67" i="23"/>
  <c r="Z64" i="23" s="1"/>
  <c r="Y67" i="23"/>
  <c r="X67" i="23"/>
  <c r="W67" i="23"/>
  <c r="V67" i="23"/>
  <c r="V64" i="23" s="1"/>
  <c r="U67" i="23"/>
  <c r="T67" i="23"/>
  <c r="S67" i="23"/>
  <c r="R67" i="23"/>
  <c r="Q67" i="23"/>
  <c r="P67" i="23"/>
  <c r="O67" i="23"/>
  <c r="N67" i="23"/>
  <c r="M67" i="23"/>
  <c r="E67" i="23" s="1"/>
  <c r="D67" i="23" s="1"/>
  <c r="L67" i="23"/>
  <c r="J67" i="23"/>
  <c r="E66" i="23"/>
  <c r="C66" i="23"/>
  <c r="B66" i="23"/>
  <c r="E65" i="23"/>
  <c r="D65" i="23" s="1"/>
  <c r="C65" i="23"/>
  <c r="G65" i="23" s="1"/>
  <c r="B65" i="23"/>
  <c r="F65" i="23" s="1"/>
  <c r="AE64" i="23"/>
  <c r="AC64" i="23"/>
  <c r="AB64" i="23"/>
  <c r="AA64" i="23"/>
  <c r="Y64" i="23"/>
  <c r="X64" i="23"/>
  <c r="W64" i="23"/>
  <c r="U64" i="23"/>
  <c r="T64" i="23"/>
  <c r="S64" i="23"/>
  <c r="Q64" i="23"/>
  <c r="P64" i="23"/>
  <c r="O64" i="23"/>
  <c r="M64" i="23"/>
  <c r="L64" i="23"/>
  <c r="K64" i="23"/>
  <c r="J64" i="23"/>
  <c r="I64" i="23"/>
  <c r="H64" i="23"/>
  <c r="E62" i="23"/>
  <c r="D62" i="23" s="1"/>
  <c r="C62" i="23"/>
  <c r="G62" i="23" s="1"/>
  <c r="B62" i="23"/>
  <c r="E61" i="23"/>
  <c r="C61" i="23"/>
  <c r="B61" i="23"/>
  <c r="AE60" i="23"/>
  <c r="AE57" i="23" s="1"/>
  <c r="AD60" i="23"/>
  <c r="AD57" i="23" s="1"/>
  <c r="AC60" i="23"/>
  <c r="AB60" i="23"/>
  <c r="AB57" i="23" s="1"/>
  <c r="AA60" i="23"/>
  <c r="AA57" i="23" s="1"/>
  <c r="Z60" i="23"/>
  <c r="Y60" i="23"/>
  <c r="X60" i="23"/>
  <c r="W60" i="23"/>
  <c r="W57" i="23" s="1"/>
  <c r="V60" i="23"/>
  <c r="V57" i="23" s="1"/>
  <c r="U60" i="23"/>
  <c r="T60" i="23"/>
  <c r="T57" i="23" s="1"/>
  <c r="S60" i="23"/>
  <c r="S57" i="23" s="1"/>
  <c r="R60" i="23"/>
  <c r="Q60" i="23"/>
  <c r="P60" i="23"/>
  <c r="O60" i="23"/>
  <c r="O57" i="23" s="1"/>
  <c r="N60" i="23"/>
  <c r="N57" i="23" s="1"/>
  <c r="M60" i="23"/>
  <c r="L60" i="23"/>
  <c r="L57" i="23" s="1"/>
  <c r="K60" i="23"/>
  <c r="K57" i="23" s="1"/>
  <c r="J60" i="23"/>
  <c r="B60" i="23" s="1"/>
  <c r="E60" i="23"/>
  <c r="G59" i="23"/>
  <c r="E59" i="23"/>
  <c r="D59" i="23"/>
  <c r="C59" i="23"/>
  <c r="B59" i="23"/>
  <c r="F59" i="23" s="1"/>
  <c r="E58" i="23"/>
  <c r="F58" i="23" s="1"/>
  <c r="C58" i="23"/>
  <c r="B58" i="23"/>
  <c r="AC57" i="23"/>
  <c r="Z57" i="23"/>
  <c r="Y57" i="23"/>
  <c r="X57" i="23"/>
  <c r="U57" i="23"/>
  <c r="R57" i="23"/>
  <c r="Q57" i="23"/>
  <c r="P57" i="23"/>
  <c r="M57" i="23"/>
  <c r="J57" i="23"/>
  <c r="I57" i="23"/>
  <c r="H57" i="23"/>
  <c r="E55" i="23"/>
  <c r="D55" i="23" s="1"/>
  <c r="C55" i="23"/>
  <c r="B55" i="23"/>
  <c r="F55" i="23" s="1"/>
  <c r="E54" i="23"/>
  <c r="D54" i="23"/>
  <c r="C54" i="23"/>
  <c r="B54" i="23"/>
  <c r="AE53" i="23"/>
  <c r="AE46" i="23" s="1"/>
  <c r="AD53" i="23"/>
  <c r="AD50" i="23" s="1"/>
  <c r="AC53" i="23"/>
  <c r="AB53" i="23"/>
  <c r="AB50" i="23" s="1"/>
  <c r="AA53" i="23"/>
  <c r="AA46" i="23" s="1"/>
  <c r="Z53" i="23"/>
  <c r="Z50" i="23" s="1"/>
  <c r="Y53" i="23"/>
  <c r="X53" i="23"/>
  <c r="W53" i="23"/>
  <c r="W46" i="23" s="1"/>
  <c r="V53" i="23"/>
  <c r="V50" i="23" s="1"/>
  <c r="U53" i="23"/>
  <c r="T53" i="23"/>
  <c r="T50" i="23" s="1"/>
  <c r="S53" i="23"/>
  <c r="S46" i="23" s="1"/>
  <c r="R53" i="23"/>
  <c r="Q53" i="23"/>
  <c r="P53" i="23"/>
  <c r="P50" i="23" s="1"/>
  <c r="O53" i="23"/>
  <c r="O46" i="23" s="1"/>
  <c r="N53" i="23"/>
  <c r="N50" i="23" s="1"/>
  <c r="M53" i="23"/>
  <c r="L53" i="23"/>
  <c r="L46" i="23" s="1"/>
  <c r="L43" i="23" s="1"/>
  <c r="K53" i="23"/>
  <c r="J53" i="23"/>
  <c r="J46" i="23" s="1"/>
  <c r="J43" i="23" s="1"/>
  <c r="E53" i="23"/>
  <c r="E52" i="23"/>
  <c r="D52" i="23" s="1"/>
  <c r="C52" i="23"/>
  <c r="B52" i="23"/>
  <c r="B45" i="23" s="1"/>
  <c r="E51" i="23"/>
  <c r="D51" i="23"/>
  <c r="C51" i="23"/>
  <c r="B51" i="23"/>
  <c r="B44" i="23" s="1"/>
  <c r="AE50" i="23"/>
  <c r="AC50" i="23"/>
  <c r="AA50" i="23"/>
  <c r="Y50" i="23"/>
  <c r="X50" i="23"/>
  <c r="W50" i="23"/>
  <c r="U50" i="23"/>
  <c r="Q50" i="23"/>
  <c r="O50" i="23"/>
  <c r="M50" i="23"/>
  <c r="L50" i="23"/>
  <c r="K50" i="23"/>
  <c r="I50" i="23"/>
  <c r="H50" i="23"/>
  <c r="AE48" i="23"/>
  <c r="AD48" i="23"/>
  <c r="AC48" i="23"/>
  <c r="AB48" i="23"/>
  <c r="AA48" i="23"/>
  <c r="Z48" i="23"/>
  <c r="Y48" i="23"/>
  <c r="X48" i="23"/>
  <c r="W48" i="23"/>
  <c r="V48" i="23"/>
  <c r="U48" i="23"/>
  <c r="T48" i="23"/>
  <c r="S48" i="23"/>
  <c r="R48" i="23"/>
  <c r="Q48" i="23"/>
  <c r="P48" i="23"/>
  <c r="O48" i="23"/>
  <c r="N48" i="23"/>
  <c r="M48" i="23"/>
  <c r="L48" i="23"/>
  <c r="K48" i="23"/>
  <c r="J48" i="23"/>
  <c r="I48" i="23"/>
  <c r="E48" i="23" s="1"/>
  <c r="H48" i="23"/>
  <c r="B48" i="23"/>
  <c r="AE47" i="23"/>
  <c r="AD47" i="23"/>
  <c r="AC47" i="23"/>
  <c r="AB47" i="23"/>
  <c r="AA47" i="23"/>
  <c r="Z47" i="23"/>
  <c r="Y47" i="23"/>
  <c r="X47" i="23"/>
  <c r="W47" i="23"/>
  <c r="V47" i="23"/>
  <c r="U47" i="23"/>
  <c r="T47" i="23"/>
  <c r="S47" i="23"/>
  <c r="R47" i="23"/>
  <c r="Q47" i="23"/>
  <c r="P47" i="23"/>
  <c r="O47" i="23"/>
  <c r="N47" i="23"/>
  <c r="M47" i="23"/>
  <c r="L47" i="23"/>
  <c r="K47" i="23"/>
  <c r="J47" i="23"/>
  <c r="I47" i="23"/>
  <c r="H47" i="23"/>
  <c r="C47" i="23"/>
  <c r="AC46" i="23"/>
  <c r="Y46" i="23"/>
  <c r="V46" i="23"/>
  <c r="V43" i="23" s="1"/>
  <c r="U46" i="23"/>
  <c r="Q46" i="23"/>
  <c r="M46" i="23"/>
  <c r="K46" i="23"/>
  <c r="I46" i="23"/>
  <c r="H46" i="23"/>
  <c r="AE45" i="23"/>
  <c r="AD45" i="23"/>
  <c r="AC45" i="23"/>
  <c r="AB45" i="23"/>
  <c r="AA45" i="23"/>
  <c r="Z45" i="23"/>
  <c r="Y45" i="23"/>
  <c r="X45" i="23"/>
  <c r="W45" i="23"/>
  <c r="V45" i="23"/>
  <c r="U45" i="23"/>
  <c r="T45" i="23"/>
  <c r="S45" i="23"/>
  <c r="S43" i="23" s="1"/>
  <c r="R45" i="23"/>
  <c r="Q45" i="23"/>
  <c r="P45" i="23"/>
  <c r="O45" i="23"/>
  <c r="O43" i="23" s="1"/>
  <c r="N45" i="23"/>
  <c r="M45" i="23"/>
  <c r="L45" i="23"/>
  <c r="K45" i="23"/>
  <c r="J45" i="23"/>
  <c r="I45" i="23"/>
  <c r="H45" i="23"/>
  <c r="C45" i="23"/>
  <c r="AE44" i="23"/>
  <c r="AD44" i="23"/>
  <c r="AC44" i="23"/>
  <c r="AB44" i="23"/>
  <c r="AA44" i="23"/>
  <c r="Z44" i="23"/>
  <c r="Y44" i="23"/>
  <c r="Y43" i="23" s="1"/>
  <c r="X44" i="23"/>
  <c r="W44" i="23"/>
  <c r="V44" i="23"/>
  <c r="U44" i="23"/>
  <c r="T44" i="23"/>
  <c r="S44" i="23"/>
  <c r="R44" i="23"/>
  <c r="Q44" i="23"/>
  <c r="Q43" i="23" s="1"/>
  <c r="P44" i="23"/>
  <c r="O44" i="23"/>
  <c r="N44" i="23"/>
  <c r="M44" i="23"/>
  <c r="L44" i="23"/>
  <c r="K44" i="23"/>
  <c r="J44" i="23"/>
  <c r="I44" i="23"/>
  <c r="E44" i="23" s="1"/>
  <c r="H44" i="23"/>
  <c r="C44" i="23"/>
  <c r="AE43" i="23"/>
  <c r="AA43" i="23"/>
  <c r="W43" i="23"/>
  <c r="H43" i="23"/>
  <c r="E41" i="23"/>
  <c r="C41" i="23"/>
  <c r="C13" i="23" s="1"/>
  <c r="B41" i="23"/>
  <c r="G40" i="23"/>
  <c r="E40" i="23"/>
  <c r="D40" i="23"/>
  <c r="C40" i="23"/>
  <c r="B40" i="23"/>
  <c r="AE39" i="23"/>
  <c r="AE36" i="23" s="1"/>
  <c r="AD39" i="23"/>
  <c r="AD36" i="23" s="1"/>
  <c r="AC39" i="23"/>
  <c r="AB39" i="23"/>
  <c r="AA39" i="23"/>
  <c r="AA36" i="23" s="1"/>
  <c r="Z39" i="23"/>
  <c r="Z36" i="23" s="1"/>
  <c r="Y39" i="23"/>
  <c r="X39" i="23"/>
  <c r="X36" i="23" s="1"/>
  <c r="W39" i="23"/>
  <c r="W36" i="23" s="1"/>
  <c r="V39" i="23"/>
  <c r="V36" i="23" s="1"/>
  <c r="U39" i="23"/>
  <c r="T39" i="23"/>
  <c r="S39" i="23"/>
  <c r="S36" i="23" s="1"/>
  <c r="R39" i="23"/>
  <c r="Q39" i="23"/>
  <c r="P39" i="23"/>
  <c r="P36" i="23" s="1"/>
  <c r="O39" i="23"/>
  <c r="O36" i="23" s="1"/>
  <c r="N39" i="23"/>
  <c r="N36" i="23" s="1"/>
  <c r="M39" i="23"/>
  <c r="L39" i="23"/>
  <c r="B39" i="23" s="1"/>
  <c r="G38" i="23"/>
  <c r="E38" i="23"/>
  <c r="D38" i="23"/>
  <c r="C38" i="23"/>
  <c r="B38" i="23"/>
  <c r="E37" i="23"/>
  <c r="C37" i="23"/>
  <c r="B37" i="23"/>
  <c r="AB36" i="23"/>
  <c r="T36" i="23"/>
  <c r="L36" i="23"/>
  <c r="K36" i="23"/>
  <c r="J36" i="23"/>
  <c r="I36" i="23"/>
  <c r="H36" i="23"/>
  <c r="E34" i="23"/>
  <c r="D34" i="23"/>
  <c r="C34" i="23"/>
  <c r="G34" i="23" s="1"/>
  <c r="B34" i="23"/>
  <c r="F34" i="23" s="1"/>
  <c r="E33" i="23"/>
  <c r="D33" i="23"/>
  <c r="C33" i="23"/>
  <c r="B33" i="23"/>
  <c r="AE32" i="23"/>
  <c r="AE29" i="23" s="1"/>
  <c r="AD32" i="23"/>
  <c r="AD29" i="23" s="1"/>
  <c r="AC32" i="23"/>
  <c r="AB32" i="23"/>
  <c r="AA32" i="23"/>
  <c r="AA29" i="23" s="1"/>
  <c r="Z32" i="23"/>
  <c r="Z29" i="23" s="1"/>
  <c r="Y32" i="23"/>
  <c r="X32" i="23"/>
  <c r="W32" i="23"/>
  <c r="W29" i="23" s="1"/>
  <c r="V32" i="23"/>
  <c r="V29" i="23" s="1"/>
  <c r="U32" i="23"/>
  <c r="T32" i="23"/>
  <c r="S32" i="23"/>
  <c r="S29" i="23" s="1"/>
  <c r="R32" i="23"/>
  <c r="Q32" i="23"/>
  <c r="P32" i="23"/>
  <c r="O32" i="23"/>
  <c r="O29" i="23" s="1"/>
  <c r="N32" i="23"/>
  <c r="N29" i="23" s="1"/>
  <c r="M32" i="23"/>
  <c r="L32" i="23"/>
  <c r="K32" i="23"/>
  <c r="J32" i="23"/>
  <c r="J29" i="23" s="1"/>
  <c r="I32" i="23"/>
  <c r="H32" i="23"/>
  <c r="E31" i="23"/>
  <c r="D31" i="23"/>
  <c r="C31" i="23"/>
  <c r="B31" i="23"/>
  <c r="E30" i="23"/>
  <c r="D30" i="23"/>
  <c r="C30" i="23"/>
  <c r="G30" i="23" s="1"/>
  <c r="B30" i="23"/>
  <c r="AC29" i="23"/>
  <c r="AB29" i="23"/>
  <c r="Y29" i="23"/>
  <c r="X29" i="23"/>
  <c r="U29" i="23"/>
  <c r="T29" i="23"/>
  <c r="Q29" i="23"/>
  <c r="P29" i="23"/>
  <c r="M29" i="23"/>
  <c r="L29" i="23"/>
  <c r="I29" i="23"/>
  <c r="H29" i="23"/>
  <c r="G27" i="23"/>
  <c r="E27" i="23"/>
  <c r="D27" i="23"/>
  <c r="C27" i="23"/>
  <c r="B27" i="23"/>
  <c r="F27" i="23" s="1"/>
  <c r="E26" i="23"/>
  <c r="C26" i="23"/>
  <c r="B26" i="23"/>
  <c r="G24" i="23"/>
  <c r="E24" i="23"/>
  <c r="D24" i="23"/>
  <c r="C24" i="23"/>
  <c r="B24" i="23"/>
  <c r="F24" i="23" s="1"/>
  <c r="E23" i="23"/>
  <c r="C23" i="23"/>
  <c r="B23" i="23"/>
  <c r="AE22" i="23"/>
  <c r="AD22" i="23"/>
  <c r="AC22" i="23"/>
  <c r="AB22" i="23"/>
  <c r="AA22" i="23"/>
  <c r="Z22" i="23"/>
  <c r="Y22" i="23"/>
  <c r="X22" i="23"/>
  <c r="W22" i="23"/>
  <c r="V22" i="23"/>
  <c r="U22" i="23"/>
  <c r="T22" i="23"/>
  <c r="S22" i="23"/>
  <c r="R22" i="23"/>
  <c r="Q22" i="23"/>
  <c r="P22" i="23"/>
  <c r="O22" i="23"/>
  <c r="N22" i="23"/>
  <c r="M22" i="23"/>
  <c r="L22" i="23"/>
  <c r="K22" i="23"/>
  <c r="J22" i="23"/>
  <c r="I22" i="23"/>
  <c r="H22" i="23"/>
  <c r="E20" i="23"/>
  <c r="D20" i="23" s="1"/>
  <c r="C20" i="23"/>
  <c r="B20" i="23"/>
  <c r="B13" i="23" s="1"/>
  <c r="E19" i="23"/>
  <c r="D19" i="23"/>
  <c r="C19" i="23"/>
  <c r="B19" i="23"/>
  <c r="B12" i="23" s="1"/>
  <c r="AE18" i="23"/>
  <c r="AE15" i="23" s="1"/>
  <c r="AD18" i="23"/>
  <c r="AC18" i="23"/>
  <c r="AB18" i="23"/>
  <c r="AB15" i="23" s="1"/>
  <c r="AA18" i="23"/>
  <c r="AA15" i="23" s="1"/>
  <c r="Z18" i="23"/>
  <c r="Y18" i="23"/>
  <c r="X18" i="23"/>
  <c r="X15" i="23" s="1"/>
  <c r="W18" i="23"/>
  <c r="W15" i="23" s="1"/>
  <c r="V18" i="23"/>
  <c r="U18" i="23"/>
  <c r="T18" i="23"/>
  <c r="T15" i="23" s="1"/>
  <c r="S18" i="23"/>
  <c r="S15" i="23" s="1"/>
  <c r="R18" i="23"/>
  <c r="Q18" i="23"/>
  <c r="P18" i="23"/>
  <c r="P15" i="23" s="1"/>
  <c r="O18" i="23"/>
  <c r="O15" i="23" s="1"/>
  <c r="N18" i="23"/>
  <c r="M18" i="23"/>
  <c r="L18" i="23"/>
  <c r="L15" i="23" s="1"/>
  <c r="K18" i="23"/>
  <c r="J18" i="23"/>
  <c r="I18" i="23"/>
  <c r="H18" i="23"/>
  <c r="B18" i="23" s="1"/>
  <c r="E17" i="23"/>
  <c r="G17" i="23" s="1"/>
  <c r="C17" i="23"/>
  <c r="B17" i="23"/>
  <c r="F16" i="23"/>
  <c r="E16" i="23"/>
  <c r="D16" i="23" s="1"/>
  <c r="C16" i="23"/>
  <c r="C9" i="23" s="1"/>
  <c r="B16" i="23"/>
  <c r="AC15" i="23"/>
  <c r="Y15" i="23"/>
  <c r="U15" i="23"/>
  <c r="Q15" i="23"/>
  <c r="M15" i="23"/>
  <c r="I15" i="23"/>
  <c r="AE13" i="23"/>
  <c r="AD13" i="23"/>
  <c r="AC13" i="23"/>
  <c r="AB13" i="23"/>
  <c r="AA13" i="23"/>
  <c r="Z13" i="23"/>
  <c r="Y13" i="23"/>
  <c r="X13" i="23"/>
  <c r="W13" i="23"/>
  <c r="V13" i="23"/>
  <c r="U13" i="23"/>
  <c r="T13" i="23"/>
  <c r="S13" i="23"/>
  <c r="R13" i="23"/>
  <c r="Q13" i="23"/>
  <c r="P13" i="23"/>
  <c r="O13" i="23"/>
  <c r="N13" i="23"/>
  <c r="M13" i="23"/>
  <c r="L13" i="23"/>
  <c r="K13" i="23"/>
  <c r="J13" i="23"/>
  <c r="I13" i="23"/>
  <c r="H13" i="23"/>
  <c r="AE12" i="23"/>
  <c r="AD12" i="23"/>
  <c r="AC12" i="23"/>
  <c r="AB12" i="23"/>
  <c r="AA12" i="23"/>
  <c r="Z12" i="23"/>
  <c r="Y12" i="23"/>
  <c r="X12" i="23"/>
  <c r="W12" i="23"/>
  <c r="V12" i="23"/>
  <c r="U12" i="23"/>
  <c r="T12" i="23"/>
  <c r="S12" i="23"/>
  <c r="R12" i="23"/>
  <c r="Q12" i="23"/>
  <c r="P12" i="23"/>
  <c r="O12" i="23"/>
  <c r="N12" i="23"/>
  <c r="M12" i="23"/>
  <c r="L12" i="23"/>
  <c r="K12" i="23"/>
  <c r="J12" i="23"/>
  <c r="I12" i="23"/>
  <c r="H12" i="23"/>
  <c r="E12" i="23"/>
  <c r="AE11" i="23"/>
  <c r="AA11" i="23"/>
  <c r="W11" i="23"/>
  <c r="S11" i="23"/>
  <c r="O11" i="23"/>
  <c r="K11" i="23"/>
  <c r="I11" i="23"/>
  <c r="H11" i="23"/>
  <c r="AE10" i="23"/>
  <c r="AD10" i="23"/>
  <c r="AC10" i="23"/>
  <c r="AB10" i="23"/>
  <c r="AA10" i="23"/>
  <c r="Z10" i="23"/>
  <c r="Y10" i="23"/>
  <c r="X10" i="23"/>
  <c r="W10" i="23"/>
  <c r="V10" i="23"/>
  <c r="U10" i="23"/>
  <c r="T10" i="23"/>
  <c r="S10" i="23"/>
  <c r="R10" i="23"/>
  <c r="Q10" i="23"/>
  <c r="P10" i="23"/>
  <c r="O10" i="23"/>
  <c r="N10" i="23"/>
  <c r="M10" i="23"/>
  <c r="L10" i="23"/>
  <c r="K10" i="23"/>
  <c r="J10" i="23"/>
  <c r="I10" i="23"/>
  <c r="H10" i="23"/>
  <c r="B10" i="23"/>
  <c r="AE9" i="23"/>
  <c r="AD9" i="23"/>
  <c r="AC9" i="23"/>
  <c r="AB9" i="23"/>
  <c r="AA9" i="23"/>
  <c r="Z9" i="23"/>
  <c r="Y9" i="23"/>
  <c r="X9" i="23"/>
  <c r="W9" i="23"/>
  <c r="V9" i="23"/>
  <c r="U9" i="23"/>
  <c r="T9" i="23"/>
  <c r="S9" i="23"/>
  <c r="R9" i="23"/>
  <c r="Q9" i="23"/>
  <c r="P9" i="23"/>
  <c r="O9" i="23"/>
  <c r="N9" i="23"/>
  <c r="M9" i="23"/>
  <c r="L9" i="23"/>
  <c r="K9" i="23"/>
  <c r="J9" i="23"/>
  <c r="I9" i="23"/>
  <c r="H9" i="23"/>
  <c r="H8" i="23" s="1"/>
  <c r="I8" i="23"/>
  <c r="F60" i="23" l="1"/>
  <c r="B32" i="23"/>
  <c r="C36" i="23"/>
  <c r="E45" i="23"/>
  <c r="G45" i="23" s="1"/>
  <c r="G52" i="23"/>
  <c r="W8" i="23"/>
  <c r="E10" i="23"/>
  <c r="L11" i="23"/>
  <c r="L108" i="23" s="1"/>
  <c r="P11" i="23"/>
  <c r="T11" i="23"/>
  <c r="T8" i="23" s="1"/>
  <c r="X11" i="23"/>
  <c r="AB11" i="23"/>
  <c r="AB114" i="23" s="1"/>
  <c r="R115" i="23"/>
  <c r="AD109" i="23"/>
  <c r="H15" i="23"/>
  <c r="D17" i="23"/>
  <c r="E18" i="23"/>
  <c r="E15" i="23" s="1"/>
  <c r="G19" i="23"/>
  <c r="G20" i="23"/>
  <c r="B22" i="23"/>
  <c r="G31" i="23"/>
  <c r="E32" i="23"/>
  <c r="E29" i="23" s="1"/>
  <c r="G33" i="23"/>
  <c r="B36" i="23"/>
  <c r="F38" i="23"/>
  <c r="C12" i="23"/>
  <c r="F40" i="23"/>
  <c r="K43" i="23"/>
  <c r="N46" i="23"/>
  <c r="N43" i="23" s="1"/>
  <c r="U43" i="23"/>
  <c r="AD46" i="23"/>
  <c r="AD43" i="23" s="1"/>
  <c r="E47" i="23"/>
  <c r="G47" i="23" s="1"/>
  <c r="F52" i="23"/>
  <c r="E57" i="23"/>
  <c r="F57" i="23" s="1"/>
  <c r="F62" i="23"/>
  <c r="G86" i="23"/>
  <c r="T110" i="23"/>
  <c r="L8" i="23"/>
  <c r="X8" i="23"/>
  <c r="C39" i="23"/>
  <c r="P46" i="23"/>
  <c r="P43" i="23" s="1"/>
  <c r="X46" i="23"/>
  <c r="X43" i="23" s="1"/>
  <c r="AB46" i="23"/>
  <c r="AB43" i="23" s="1"/>
  <c r="B47" i="23"/>
  <c r="B115" i="23" s="1"/>
  <c r="B109" i="23" s="1"/>
  <c r="F68" i="23"/>
  <c r="D68" i="23"/>
  <c r="C71" i="23"/>
  <c r="G74" i="23"/>
  <c r="G76" i="23"/>
  <c r="B78" i="23"/>
  <c r="F86" i="23"/>
  <c r="D86" i="23"/>
  <c r="D93" i="23"/>
  <c r="G93" i="23"/>
  <c r="F97" i="23"/>
  <c r="AD113" i="23"/>
  <c r="AD107" i="23"/>
  <c r="D44" i="23"/>
  <c r="F44" i="23"/>
  <c r="G44" i="23"/>
  <c r="D12" i="23"/>
  <c r="F12" i="23"/>
  <c r="G12" i="23"/>
  <c r="D37" i="23"/>
  <c r="F37" i="23"/>
  <c r="G37" i="23"/>
  <c r="E50" i="23"/>
  <c r="D53" i="23"/>
  <c r="C48" i="23"/>
  <c r="G48" i="23" s="1"/>
  <c r="G55" i="23"/>
  <c r="B67" i="23"/>
  <c r="N64" i="23"/>
  <c r="R64" i="23"/>
  <c r="C67" i="23"/>
  <c r="G75" i="23"/>
  <c r="F75" i="23"/>
  <c r="D75" i="23"/>
  <c r="K8" i="23"/>
  <c r="K112" i="23"/>
  <c r="AE8" i="23"/>
  <c r="AE106" i="23"/>
  <c r="B11" i="23"/>
  <c r="N11" i="23"/>
  <c r="N8" i="23" s="1"/>
  <c r="N15" i="23"/>
  <c r="V11" i="23"/>
  <c r="V8" i="23" s="1"/>
  <c r="V15" i="23"/>
  <c r="AD11" i="23"/>
  <c r="AD8" i="23" s="1"/>
  <c r="AD15" i="23"/>
  <c r="C22" i="23"/>
  <c r="C10" i="23"/>
  <c r="D32" i="23"/>
  <c r="M11" i="23"/>
  <c r="M8" i="23" s="1"/>
  <c r="M36" i="23"/>
  <c r="U36" i="23"/>
  <c r="U11" i="23"/>
  <c r="U114" i="23" s="1"/>
  <c r="Y11" i="23"/>
  <c r="Y8" i="23" s="1"/>
  <c r="Y36" i="23"/>
  <c r="AC11" i="23"/>
  <c r="AC8" i="23" s="1"/>
  <c r="AC36" i="23"/>
  <c r="M43" i="23"/>
  <c r="D48" i="23"/>
  <c r="F48" i="23"/>
  <c r="D103" i="23"/>
  <c r="G103" i="23"/>
  <c r="F103" i="23"/>
  <c r="I115" i="23"/>
  <c r="I109" i="23"/>
  <c r="M115" i="23"/>
  <c r="M109" i="23"/>
  <c r="Q115" i="23"/>
  <c r="Q109" i="23"/>
  <c r="U115" i="23"/>
  <c r="U109" i="23"/>
  <c r="Y115" i="23"/>
  <c r="Y109" i="23"/>
  <c r="AC115" i="23"/>
  <c r="AC109" i="23"/>
  <c r="F18" i="23"/>
  <c r="D18" i="23"/>
  <c r="D15" i="23" s="1"/>
  <c r="F20" i="23"/>
  <c r="D29" i="23"/>
  <c r="D45" i="23"/>
  <c r="D47" i="23"/>
  <c r="B73" i="23"/>
  <c r="B71" i="23" s="1"/>
  <c r="AB71" i="23"/>
  <c r="H78" i="23"/>
  <c r="C32" i="23"/>
  <c r="G32" i="23" s="1"/>
  <c r="R29" i="23"/>
  <c r="C80" i="23"/>
  <c r="T78" i="23"/>
  <c r="O106" i="23"/>
  <c r="O8" i="23"/>
  <c r="S8" i="23"/>
  <c r="AA112" i="23"/>
  <c r="AA8" i="23"/>
  <c r="B9" i="23"/>
  <c r="B15" i="23"/>
  <c r="F15" i="23" s="1"/>
  <c r="J11" i="23"/>
  <c r="J8" i="23" s="1"/>
  <c r="J15" i="23"/>
  <c r="R11" i="23"/>
  <c r="R8" i="23" s="1"/>
  <c r="C18" i="23"/>
  <c r="R15" i="23"/>
  <c r="Z11" i="23"/>
  <c r="Z15" i="23"/>
  <c r="F32" i="23"/>
  <c r="Q11" i="23"/>
  <c r="Q8" i="23" s="1"/>
  <c r="Q36" i="23"/>
  <c r="I43" i="23"/>
  <c r="D50" i="23"/>
  <c r="D10" i="23"/>
  <c r="F10" i="23"/>
  <c r="D23" i="23"/>
  <c r="D22" i="23" s="1"/>
  <c r="F23" i="23"/>
  <c r="E22" i="23"/>
  <c r="G23" i="23"/>
  <c r="E9" i="23"/>
  <c r="D26" i="23"/>
  <c r="F26" i="23"/>
  <c r="G26" i="23"/>
  <c r="B29" i="23"/>
  <c r="F29" i="23" s="1"/>
  <c r="F30" i="23"/>
  <c r="E39" i="23"/>
  <c r="E11" i="23" s="1"/>
  <c r="D41" i="23"/>
  <c r="F41" i="23"/>
  <c r="G41" i="23"/>
  <c r="E13" i="23"/>
  <c r="E46" i="23"/>
  <c r="AC43" i="23"/>
  <c r="G66" i="23"/>
  <c r="F66" i="23"/>
  <c r="D66" i="23"/>
  <c r="E64" i="23"/>
  <c r="M85" i="23"/>
  <c r="E88" i="23"/>
  <c r="B95" i="23"/>
  <c r="B92" i="23" s="1"/>
  <c r="L92" i="23"/>
  <c r="T92" i="23"/>
  <c r="C95" i="23"/>
  <c r="C92" i="23" s="1"/>
  <c r="V115" i="23"/>
  <c r="V109" i="23"/>
  <c r="Z115" i="23"/>
  <c r="Z109" i="23"/>
  <c r="G16" i="23"/>
  <c r="G51" i="23"/>
  <c r="F51" i="23"/>
  <c r="C53" i="23"/>
  <c r="G53" i="23" s="1"/>
  <c r="R50" i="23"/>
  <c r="D61" i="23"/>
  <c r="G61" i="23"/>
  <c r="D69" i="23"/>
  <c r="G69" i="23"/>
  <c r="G72" i="23"/>
  <c r="F72" i="23"/>
  <c r="C81" i="23"/>
  <c r="D94" i="23"/>
  <c r="G94" i="23"/>
  <c r="C112" i="23"/>
  <c r="I113" i="23"/>
  <c r="I107" i="23"/>
  <c r="M107" i="23"/>
  <c r="M99" i="23"/>
  <c r="Q113" i="23"/>
  <c r="U107" i="23"/>
  <c r="U113" i="23"/>
  <c r="U99" i="23"/>
  <c r="Y113" i="23"/>
  <c r="Y107" i="23"/>
  <c r="AC113" i="23"/>
  <c r="AC107" i="23"/>
  <c r="AC99" i="23"/>
  <c r="K114" i="23"/>
  <c r="E102" i="23"/>
  <c r="K108" i="23"/>
  <c r="O114" i="23"/>
  <c r="O108" i="23"/>
  <c r="S114" i="23"/>
  <c r="W114" i="23"/>
  <c r="W108" i="23"/>
  <c r="AA114" i="23"/>
  <c r="AA108" i="23"/>
  <c r="AE114" i="23"/>
  <c r="AE108" i="23"/>
  <c r="M113" i="23"/>
  <c r="K115" i="23"/>
  <c r="K109" i="23"/>
  <c r="O115" i="23"/>
  <c r="O109" i="23"/>
  <c r="S115" i="23"/>
  <c r="S109" i="23"/>
  <c r="W115" i="23"/>
  <c r="W109" i="23"/>
  <c r="AA115" i="23"/>
  <c r="AA109" i="23"/>
  <c r="AE115" i="23"/>
  <c r="AE109" i="23"/>
  <c r="K15" i="23"/>
  <c r="F17" i="23"/>
  <c r="F19" i="23"/>
  <c r="C29" i="23"/>
  <c r="G29" i="23" s="1"/>
  <c r="K29" i="23"/>
  <c r="F31" i="23"/>
  <c r="F33" i="23"/>
  <c r="R36" i="23"/>
  <c r="G54" i="23"/>
  <c r="F54" i="23"/>
  <c r="B57" i="23"/>
  <c r="F61" i="23"/>
  <c r="F69" i="23"/>
  <c r="J78" i="23"/>
  <c r="N78" i="23"/>
  <c r="R78" i="23"/>
  <c r="V78" i="23"/>
  <c r="Z78" i="23"/>
  <c r="AD78" i="23"/>
  <c r="F81" i="23"/>
  <c r="F82" i="23"/>
  <c r="G82" i="23"/>
  <c r="G90" i="23"/>
  <c r="F90" i="23"/>
  <c r="D90" i="23"/>
  <c r="F94" i="23"/>
  <c r="B100" i="23"/>
  <c r="B112" i="23" s="1"/>
  <c r="H106" i="23"/>
  <c r="L99" i="23"/>
  <c r="L112" i="23"/>
  <c r="P99" i="23"/>
  <c r="P106" i="23"/>
  <c r="P112" i="23"/>
  <c r="T99" i="23"/>
  <c r="T112" i="23"/>
  <c r="T106" i="23"/>
  <c r="X99" i="23"/>
  <c r="X106" i="23"/>
  <c r="AB99" i="23"/>
  <c r="AB112" i="23"/>
  <c r="B113" i="23"/>
  <c r="B107" i="23" s="1"/>
  <c r="J107" i="23"/>
  <c r="J99" i="23"/>
  <c r="N113" i="23"/>
  <c r="R107" i="23"/>
  <c r="C101" i="23"/>
  <c r="R113" i="23"/>
  <c r="R99" i="23"/>
  <c r="V113" i="23"/>
  <c r="V107" i="23"/>
  <c r="Z107" i="23"/>
  <c r="Z99" i="23"/>
  <c r="P114" i="23"/>
  <c r="K116" i="23"/>
  <c r="K110" i="23"/>
  <c r="E104" i="23"/>
  <c r="O116" i="23"/>
  <c r="O110" i="23"/>
  <c r="S116" i="23"/>
  <c r="S110" i="23"/>
  <c r="W116" i="23"/>
  <c r="AA116" i="23"/>
  <c r="AA110" i="23"/>
  <c r="AE116" i="23"/>
  <c r="AE110" i="23"/>
  <c r="L106" i="23"/>
  <c r="N107" i="23"/>
  <c r="R109" i="23"/>
  <c r="X112" i="23"/>
  <c r="Z113" i="23"/>
  <c r="AD115" i="23"/>
  <c r="J115" i="23"/>
  <c r="J109" i="23"/>
  <c r="N109" i="23"/>
  <c r="N115" i="23"/>
  <c r="J50" i="23"/>
  <c r="B53" i="23"/>
  <c r="B46" i="23" s="1"/>
  <c r="B43" i="23" s="1"/>
  <c r="E73" i="23"/>
  <c r="AC71" i="23"/>
  <c r="D83" i="23"/>
  <c r="G83" i="23"/>
  <c r="F83" i="23"/>
  <c r="H115" i="23"/>
  <c r="H109" i="23"/>
  <c r="L115" i="23"/>
  <c r="L109" i="23"/>
  <c r="P115" i="23"/>
  <c r="P109" i="23"/>
  <c r="T115" i="23"/>
  <c r="T109" i="23"/>
  <c r="X115" i="23"/>
  <c r="X109" i="23"/>
  <c r="AB115" i="23"/>
  <c r="AB109" i="23"/>
  <c r="R46" i="23"/>
  <c r="R43" i="23" s="1"/>
  <c r="Z46" i="23"/>
  <c r="Z43" i="23" s="1"/>
  <c r="S50" i="23"/>
  <c r="D58" i="23"/>
  <c r="G58" i="23"/>
  <c r="D60" i="23"/>
  <c r="T46" i="23"/>
  <c r="T43" i="23" s="1"/>
  <c r="C60" i="23"/>
  <c r="C57" i="23" s="1"/>
  <c r="G57" i="23" s="1"/>
  <c r="D79" i="23"/>
  <c r="G79" i="23"/>
  <c r="K78" i="23"/>
  <c r="E80" i="23"/>
  <c r="O78" i="23"/>
  <c r="S78" i="23"/>
  <c r="W78" i="23"/>
  <c r="AA78" i="23"/>
  <c r="AE78" i="23"/>
  <c r="B85" i="23"/>
  <c r="F87" i="23"/>
  <c r="E95" i="23"/>
  <c r="E92" i="23" s="1"/>
  <c r="O92" i="23"/>
  <c r="H99" i="23"/>
  <c r="Y99" i="23"/>
  <c r="E101" i="23"/>
  <c r="B104" i="23"/>
  <c r="B116" i="23" s="1"/>
  <c r="B110" i="23" s="1"/>
  <c r="H116" i="23"/>
  <c r="H110" i="23"/>
  <c r="L116" i="23"/>
  <c r="L110" i="23"/>
  <c r="P110" i="23"/>
  <c r="P116" i="23"/>
  <c r="T116" i="23"/>
  <c r="C104" i="23"/>
  <c r="X116" i="23"/>
  <c r="X110" i="23"/>
  <c r="AB116" i="23"/>
  <c r="AB110" i="23"/>
  <c r="Q107" i="23"/>
  <c r="S108" i="23"/>
  <c r="W110" i="23"/>
  <c r="H114" i="23"/>
  <c r="B102" i="23"/>
  <c r="B99" i="23" s="1"/>
  <c r="T114" i="23"/>
  <c r="X114" i="23"/>
  <c r="AB108" i="23"/>
  <c r="H108" i="23"/>
  <c r="X108" i="23"/>
  <c r="C88" i="23"/>
  <c r="C85" i="23" s="1"/>
  <c r="D96" i="23"/>
  <c r="G96" i="23"/>
  <c r="K106" i="23"/>
  <c r="E100" i="23"/>
  <c r="K99" i="23"/>
  <c r="O112" i="23"/>
  <c r="O99" i="23"/>
  <c r="S106" i="23"/>
  <c r="S99" i="23"/>
  <c r="W112" i="23"/>
  <c r="W99" i="23"/>
  <c r="AA106" i="23"/>
  <c r="AA99" i="23"/>
  <c r="AE112" i="23"/>
  <c r="AE99" i="23"/>
  <c r="C102" i="23"/>
  <c r="W106" i="23"/>
  <c r="S112" i="23"/>
  <c r="I112" i="23"/>
  <c r="I106" i="23"/>
  <c r="M112" i="23"/>
  <c r="M106" i="23"/>
  <c r="Q112" i="23"/>
  <c r="Q106" i="23"/>
  <c r="U112" i="23"/>
  <c r="U106" i="23"/>
  <c r="Y112" i="23"/>
  <c r="Y106" i="23"/>
  <c r="AC112" i="23"/>
  <c r="AC106" i="23"/>
  <c r="K113" i="23"/>
  <c r="K107" i="23"/>
  <c r="K105" i="23" s="1"/>
  <c r="O113" i="23"/>
  <c r="O107" i="23"/>
  <c r="S113" i="23"/>
  <c r="S107" i="23"/>
  <c r="S105" i="23" s="1"/>
  <c r="W113" i="23"/>
  <c r="W107" i="23"/>
  <c r="AA113" i="23"/>
  <c r="AA107" i="23"/>
  <c r="AA105" i="23" s="1"/>
  <c r="AE113" i="23"/>
  <c r="AE107" i="23"/>
  <c r="I114" i="23"/>
  <c r="I108" i="23"/>
  <c r="Q114" i="23"/>
  <c r="Q108" i="23"/>
  <c r="Y108" i="23"/>
  <c r="AC114" i="23"/>
  <c r="AC108" i="23"/>
  <c r="C115" i="23"/>
  <c r="C109" i="23" s="1"/>
  <c r="I116" i="23"/>
  <c r="I110" i="23"/>
  <c r="M116" i="23"/>
  <c r="M110" i="23"/>
  <c r="Q116" i="23"/>
  <c r="Q110" i="23"/>
  <c r="U116" i="23"/>
  <c r="U110" i="23"/>
  <c r="Y116" i="23"/>
  <c r="Y110" i="23"/>
  <c r="AC116" i="23"/>
  <c r="AC110" i="23"/>
  <c r="J112" i="23"/>
  <c r="J106" i="23"/>
  <c r="N112" i="23"/>
  <c r="N106" i="23"/>
  <c r="R112" i="23"/>
  <c r="R106" i="23"/>
  <c r="V112" i="23"/>
  <c r="V106" i="23"/>
  <c r="Z112" i="23"/>
  <c r="Z106" i="23"/>
  <c r="AD112" i="23"/>
  <c r="AD106" i="23"/>
  <c r="H113" i="23"/>
  <c r="H107" i="23"/>
  <c r="L113" i="23"/>
  <c r="L107" i="23"/>
  <c r="L105" i="23" s="1"/>
  <c r="P113" i="23"/>
  <c r="P107" i="23"/>
  <c r="T113" i="23"/>
  <c r="T107" i="23"/>
  <c r="X113" i="23"/>
  <c r="X107" i="23"/>
  <c r="X105" i="23" s="1"/>
  <c r="AB113" i="23"/>
  <c r="AB107" i="23"/>
  <c r="AB105" i="23" s="1"/>
  <c r="J114" i="23"/>
  <c r="R114" i="23"/>
  <c r="V108" i="23"/>
  <c r="J116" i="23"/>
  <c r="J110" i="23"/>
  <c r="N116" i="23"/>
  <c r="N110" i="23"/>
  <c r="R116" i="23"/>
  <c r="R110" i="23"/>
  <c r="V116" i="23"/>
  <c r="V110" i="23"/>
  <c r="Z116" i="23"/>
  <c r="Z110" i="23"/>
  <c r="AD116" i="23"/>
  <c r="AD110" i="23"/>
  <c r="C51" i="5"/>
  <c r="E51" i="5"/>
  <c r="E40" i="5"/>
  <c r="C40" i="5"/>
  <c r="E37" i="5"/>
  <c r="C37" i="5"/>
  <c r="E31" i="5"/>
  <c r="D31" i="5"/>
  <c r="C31" i="5"/>
  <c r="E25" i="5"/>
  <c r="D25" i="5"/>
  <c r="C25" i="5"/>
  <c r="E11" i="5"/>
  <c r="D11" i="5"/>
  <c r="C11" i="5"/>
  <c r="Z75" i="20"/>
  <c r="Z81" i="20" s="1"/>
  <c r="S70" i="20"/>
  <c r="L69" i="20"/>
  <c r="S68" i="20"/>
  <c r="H68" i="20"/>
  <c r="R67" i="20"/>
  <c r="B62" i="20"/>
  <c r="X60" i="20"/>
  <c r="B60" i="20"/>
  <c r="B59" i="20" s="1"/>
  <c r="X59" i="20"/>
  <c r="AD57" i="20"/>
  <c r="AD45" i="20" s="1"/>
  <c r="AD69" i="20" s="1"/>
  <c r="T57" i="20"/>
  <c r="E57" i="20"/>
  <c r="C57" i="20"/>
  <c r="G57" i="20" s="1"/>
  <c r="E56" i="20"/>
  <c r="C56" i="20"/>
  <c r="B56" i="20"/>
  <c r="E55" i="20"/>
  <c r="C55" i="20"/>
  <c r="B55" i="20"/>
  <c r="AE54" i="20"/>
  <c r="AD54" i="20"/>
  <c r="AC54" i="20"/>
  <c r="AB54" i="20"/>
  <c r="AA54" i="20"/>
  <c r="Z54" i="20"/>
  <c r="Y54" i="20"/>
  <c r="X54" i="20"/>
  <c r="W54" i="20"/>
  <c r="V54" i="20"/>
  <c r="U54" i="20"/>
  <c r="T54" i="20"/>
  <c r="S54" i="20"/>
  <c r="R54" i="20"/>
  <c r="Q54" i="20"/>
  <c r="P54" i="20"/>
  <c r="O54" i="20"/>
  <c r="N54" i="20"/>
  <c r="M54" i="20"/>
  <c r="L54" i="20"/>
  <c r="K54" i="20"/>
  <c r="J54" i="20"/>
  <c r="I54" i="20"/>
  <c r="H54" i="20"/>
  <c r="D54" i="20"/>
  <c r="AB53" i="20"/>
  <c r="T53" i="20"/>
  <c r="E53" i="20"/>
  <c r="C53" i="20"/>
  <c r="E52" i="20"/>
  <c r="D52" i="20" s="1"/>
  <c r="C52" i="20"/>
  <c r="B52" i="20"/>
  <c r="E51" i="20"/>
  <c r="C51" i="20"/>
  <c r="B51" i="20"/>
  <c r="E50" i="20"/>
  <c r="G50" i="20" s="1"/>
  <c r="C50" i="20"/>
  <c r="B50" i="20"/>
  <c r="F50" i="20" s="1"/>
  <c r="E49" i="20"/>
  <c r="C49" i="20"/>
  <c r="B49" i="20"/>
  <c r="AE48" i="20"/>
  <c r="AD48" i="20"/>
  <c r="AC48" i="20"/>
  <c r="AB48" i="20"/>
  <c r="AA48" i="20"/>
  <c r="Z48" i="20"/>
  <c r="Y48" i="20"/>
  <c r="X48" i="20"/>
  <c r="W48" i="20"/>
  <c r="V48" i="20"/>
  <c r="U48" i="20"/>
  <c r="T48" i="20"/>
  <c r="S48" i="20"/>
  <c r="R48" i="20"/>
  <c r="Q48" i="20"/>
  <c r="P48" i="20"/>
  <c r="O48" i="20"/>
  <c r="N48" i="20"/>
  <c r="M48" i="20"/>
  <c r="L48" i="20"/>
  <c r="K48" i="20"/>
  <c r="J48" i="20"/>
  <c r="I48" i="20"/>
  <c r="H48" i="20"/>
  <c r="B48" i="20"/>
  <c r="AE46" i="20"/>
  <c r="AE70" i="20" s="1"/>
  <c r="AD46" i="20"/>
  <c r="AD70" i="20" s="1"/>
  <c r="AC46" i="20"/>
  <c r="AC70" i="20" s="1"/>
  <c r="AB46" i="20"/>
  <c r="AB70" i="20" s="1"/>
  <c r="AA46" i="20"/>
  <c r="AA70" i="20" s="1"/>
  <c r="Z46" i="20"/>
  <c r="Z70" i="20" s="1"/>
  <c r="Y46" i="20"/>
  <c r="Y70" i="20" s="1"/>
  <c r="X46" i="20"/>
  <c r="X70" i="20" s="1"/>
  <c r="W46" i="20"/>
  <c r="W70" i="20" s="1"/>
  <c r="V46" i="20"/>
  <c r="V70" i="20" s="1"/>
  <c r="U46" i="20"/>
  <c r="U70" i="20" s="1"/>
  <c r="T46" i="20"/>
  <c r="T70" i="20" s="1"/>
  <c r="S46" i="20"/>
  <c r="R46" i="20"/>
  <c r="R70" i="20" s="1"/>
  <c r="Q46" i="20"/>
  <c r="Q70" i="20" s="1"/>
  <c r="P46" i="20"/>
  <c r="P70" i="20" s="1"/>
  <c r="O46" i="20"/>
  <c r="O70" i="20" s="1"/>
  <c r="N46" i="20"/>
  <c r="N70" i="20" s="1"/>
  <c r="M46" i="20"/>
  <c r="M70" i="20" s="1"/>
  <c r="L46" i="20"/>
  <c r="L70" i="20" s="1"/>
  <c r="K46" i="20"/>
  <c r="K70" i="20" s="1"/>
  <c r="J46" i="20"/>
  <c r="J70" i="20" s="1"/>
  <c r="I46" i="20"/>
  <c r="I70" i="20" s="1"/>
  <c r="H46" i="20"/>
  <c r="AE45" i="20"/>
  <c r="AE69" i="20" s="1"/>
  <c r="AC45" i="20"/>
  <c r="AC69" i="20" s="1"/>
  <c r="AB45" i="20"/>
  <c r="AB69" i="20" s="1"/>
  <c r="AA45" i="20"/>
  <c r="AA69" i="20" s="1"/>
  <c r="Z45" i="20"/>
  <c r="Z69" i="20" s="1"/>
  <c r="Y45" i="20"/>
  <c r="Y69" i="20" s="1"/>
  <c r="X45" i="20"/>
  <c r="X69" i="20" s="1"/>
  <c r="W45" i="20"/>
  <c r="W69" i="20" s="1"/>
  <c r="V45" i="20"/>
  <c r="V69" i="20" s="1"/>
  <c r="U45" i="20"/>
  <c r="U69" i="20" s="1"/>
  <c r="T45" i="20"/>
  <c r="T69" i="20" s="1"/>
  <c r="S45" i="20"/>
  <c r="S69" i="20" s="1"/>
  <c r="R45" i="20"/>
  <c r="R69" i="20" s="1"/>
  <c r="Q45" i="20"/>
  <c r="Q69" i="20" s="1"/>
  <c r="P45" i="20"/>
  <c r="P69" i="20" s="1"/>
  <c r="O45" i="20"/>
  <c r="O69" i="20" s="1"/>
  <c r="N45" i="20"/>
  <c r="N69" i="20" s="1"/>
  <c r="M45" i="20"/>
  <c r="M69" i="20" s="1"/>
  <c r="L45" i="20"/>
  <c r="K45" i="20"/>
  <c r="K69" i="20" s="1"/>
  <c r="J45" i="20"/>
  <c r="I45" i="20"/>
  <c r="I69" i="20" s="1"/>
  <c r="H45" i="20"/>
  <c r="D45" i="20"/>
  <c r="D69" i="20" s="1"/>
  <c r="AE44" i="20"/>
  <c r="AE68" i="20" s="1"/>
  <c r="AD44" i="20"/>
  <c r="AD68" i="20" s="1"/>
  <c r="AC44" i="20"/>
  <c r="AC68" i="20" s="1"/>
  <c r="AB44" i="20"/>
  <c r="AB68" i="20" s="1"/>
  <c r="AA44" i="20"/>
  <c r="AA68" i="20" s="1"/>
  <c r="Z44" i="20"/>
  <c r="Z68" i="20" s="1"/>
  <c r="Y44" i="20"/>
  <c r="Y68" i="20" s="1"/>
  <c r="X44" i="20"/>
  <c r="X68" i="20" s="1"/>
  <c r="W44" i="20"/>
  <c r="W68" i="20" s="1"/>
  <c r="V44" i="20"/>
  <c r="V68" i="20" s="1"/>
  <c r="U44" i="20"/>
  <c r="U68" i="20" s="1"/>
  <c r="T44" i="20"/>
  <c r="T68" i="20" s="1"/>
  <c r="S44" i="20"/>
  <c r="R44" i="20"/>
  <c r="R68" i="20" s="1"/>
  <c r="Q44" i="20"/>
  <c r="Q68" i="20" s="1"/>
  <c r="P44" i="20"/>
  <c r="P68" i="20" s="1"/>
  <c r="O44" i="20"/>
  <c r="O68" i="20" s="1"/>
  <c r="N44" i="20"/>
  <c r="N68" i="20" s="1"/>
  <c r="M44" i="20"/>
  <c r="M68" i="20" s="1"/>
  <c r="L44" i="20"/>
  <c r="L68" i="20" s="1"/>
  <c r="K44" i="20"/>
  <c r="K68" i="20" s="1"/>
  <c r="J44" i="20"/>
  <c r="J68" i="20" s="1"/>
  <c r="I44" i="20"/>
  <c r="H44" i="20"/>
  <c r="C44" i="20" s="1"/>
  <c r="C68" i="20" s="1"/>
  <c r="AE43" i="20"/>
  <c r="AD43" i="20"/>
  <c r="AD67" i="20" s="1"/>
  <c r="AC43" i="20"/>
  <c r="AB43" i="20"/>
  <c r="AA43" i="20"/>
  <c r="Z43" i="20"/>
  <c r="Z67" i="20" s="1"/>
  <c r="Z66" i="20" s="1"/>
  <c r="Y43" i="20"/>
  <c r="X43" i="20"/>
  <c r="W43" i="20"/>
  <c r="V43" i="20"/>
  <c r="V67" i="20" s="1"/>
  <c r="U43" i="20"/>
  <c r="U42" i="20" s="1"/>
  <c r="T43" i="20"/>
  <c r="S43" i="20"/>
  <c r="R43" i="20"/>
  <c r="Q43" i="20"/>
  <c r="P43" i="20"/>
  <c r="O43" i="20"/>
  <c r="N43" i="20"/>
  <c r="N67" i="20" s="1"/>
  <c r="M43" i="20"/>
  <c r="M42" i="20" s="1"/>
  <c r="L43" i="20"/>
  <c r="K43" i="20"/>
  <c r="J43" i="20"/>
  <c r="J67" i="20" s="1"/>
  <c r="I43" i="20"/>
  <c r="H43" i="20"/>
  <c r="D43" i="20"/>
  <c r="C43" i="20"/>
  <c r="AD42" i="20"/>
  <c r="Z42" i="20"/>
  <c r="V42" i="20"/>
  <c r="R42" i="20"/>
  <c r="N42" i="20"/>
  <c r="J42" i="20"/>
  <c r="K38" i="20"/>
  <c r="D38" i="20"/>
  <c r="AD37" i="20"/>
  <c r="N37" i="20"/>
  <c r="D37" i="20"/>
  <c r="W36" i="20"/>
  <c r="D36" i="20"/>
  <c r="U35" i="20"/>
  <c r="E32" i="20"/>
  <c r="G32" i="20" s="1"/>
  <c r="C32" i="20"/>
  <c r="B32" i="20"/>
  <c r="F32" i="20" s="1"/>
  <c r="E31" i="20"/>
  <c r="C31" i="20"/>
  <c r="G31" i="20" s="1"/>
  <c r="B31" i="20"/>
  <c r="F31" i="20" s="1"/>
  <c r="E30" i="20"/>
  <c r="D30" i="20"/>
  <c r="C30" i="20"/>
  <c r="B30" i="20"/>
  <c r="E29" i="20"/>
  <c r="C29" i="20"/>
  <c r="B29" i="20"/>
  <c r="AE28" i="20"/>
  <c r="AD28" i="20"/>
  <c r="AC28" i="20"/>
  <c r="AB28" i="20"/>
  <c r="AA28" i="20"/>
  <c r="Z28" i="20"/>
  <c r="Y28" i="20"/>
  <c r="X28" i="20"/>
  <c r="W28" i="20"/>
  <c r="V28" i="20"/>
  <c r="U28" i="20"/>
  <c r="T28" i="20"/>
  <c r="S28" i="20"/>
  <c r="R28" i="20"/>
  <c r="Q28" i="20"/>
  <c r="P28" i="20"/>
  <c r="O28" i="20"/>
  <c r="N28" i="20"/>
  <c r="M28" i="20"/>
  <c r="L28" i="20"/>
  <c r="K28" i="20"/>
  <c r="J28" i="20"/>
  <c r="I28" i="20"/>
  <c r="H28" i="20"/>
  <c r="AE26" i="20"/>
  <c r="AE38" i="20" s="1"/>
  <c r="AD26" i="20"/>
  <c r="AD38" i="20" s="1"/>
  <c r="AC26" i="20"/>
  <c r="AC38" i="20" s="1"/>
  <c r="AB26" i="20"/>
  <c r="AA26" i="20"/>
  <c r="AA38" i="20" s="1"/>
  <c r="Z26" i="20"/>
  <c r="Z38" i="20" s="1"/>
  <c r="Y26" i="20"/>
  <c r="Y38" i="20" s="1"/>
  <c r="X26" i="20"/>
  <c r="X38" i="20" s="1"/>
  <c r="W26" i="20"/>
  <c r="W38" i="20" s="1"/>
  <c r="V26" i="20"/>
  <c r="V38" i="20" s="1"/>
  <c r="U26" i="20"/>
  <c r="U38" i="20" s="1"/>
  <c r="U75" i="20" s="1"/>
  <c r="U81" i="20" s="1"/>
  <c r="T26" i="20"/>
  <c r="S26" i="20"/>
  <c r="S38" i="20" s="1"/>
  <c r="R26" i="20"/>
  <c r="R38" i="20" s="1"/>
  <c r="Q26" i="20"/>
  <c r="Q38" i="20" s="1"/>
  <c r="P26" i="20"/>
  <c r="P38" i="20" s="1"/>
  <c r="O26" i="20"/>
  <c r="O38" i="20" s="1"/>
  <c r="N26" i="20"/>
  <c r="N38" i="20" s="1"/>
  <c r="M26" i="20"/>
  <c r="M38" i="20" s="1"/>
  <c r="M75" i="20" s="1"/>
  <c r="M81" i="20" s="1"/>
  <c r="L26" i="20"/>
  <c r="K26" i="20"/>
  <c r="J26" i="20"/>
  <c r="J38" i="20" s="1"/>
  <c r="I26" i="20"/>
  <c r="I38" i="20" s="1"/>
  <c r="H26" i="20"/>
  <c r="H38" i="20" s="1"/>
  <c r="D26" i="20"/>
  <c r="C26" i="20"/>
  <c r="AE25" i="20"/>
  <c r="AE37" i="20" s="1"/>
  <c r="AD25" i="20"/>
  <c r="AC25" i="20"/>
  <c r="AC37" i="20" s="1"/>
  <c r="AB25" i="20"/>
  <c r="AB37" i="20" s="1"/>
  <c r="AA25" i="20"/>
  <c r="AA37" i="20" s="1"/>
  <c r="AA74" i="20" s="1"/>
  <c r="AA80" i="20" s="1"/>
  <c r="Z25" i="20"/>
  <c r="Z37" i="20" s="1"/>
  <c r="Y25" i="20"/>
  <c r="Y37" i="20" s="1"/>
  <c r="X25" i="20"/>
  <c r="X37" i="20" s="1"/>
  <c r="W25" i="20"/>
  <c r="W37" i="20" s="1"/>
  <c r="V25" i="20"/>
  <c r="V37" i="20" s="1"/>
  <c r="U25" i="20"/>
  <c r="U37" i="20" s="1"/>
  <c r="T25" i="20"/>
  <c r="T37" i="20" s="1"/>
  <c r="S25" i="20"/>
  <c r="S37" i="20" s="1"/>
  <c r="R25" i="20"/>
  <c r="R37" i="20" s="1"/>
  <c r="Q25" i="20"/>
  <c r="Q37" i="20" s="1"/>
  <c r="P25" i="20"/>
  <c r="P37" i="20" s="1"/>
  <c r="O25" i="20"/>
  <c r="O37" i="20" s="1"/>
  <c r="N25" i="20"/>
  <c r="M25" i="20"/>
  <c r="M37" i="20" s="1"/>
  <c r="L25" i="20"/>
  <c r="L37" i="20" s="1"/>
  <c r="K25" i="20"/>
  <c r="K37" i="20" s="1"/>
  <c r="J25" i="20"/>
  <c r="J37" i="20" s="1"/>
  <c r="I25" i="20"/>
  <c r="I37" i="20" s="1"/>
  <c r="H25" i="20"/>
  <c r="D25" i="20"/>
  <c r="B25" i="20"/>
  <c r="AE24" i="20"/>
  <c r="AE22" i="20" s="1"/>
  <c r="AD24" i="20"/>
  <c r="AD36" i="20" s="1"/>
  <c r="AC24" i="20"/>
  <c r="AC36" i="20" s="1"/>
  <c r="AB24" i="20"/>
  <c r="AB36" i="20" s="1"/>
  <c r="AA24" i="20"/>
  <c r="Z24" i="20"/>
  <c r="Z36" i="20" s="1"/>
  <c r="Y24" i="20"/>
  <c r="Y36" i="20" s="1"/>
  <c r="X24" i="20"/>
  <c r="X36" i="20" s="1"/>
  <c r="W24" i="20"/>
  <c r="W22" i="20" s="1"/>
  <c r="V24" i="20"/>
  <c r="V36" i="20" s="1"/>
  <c r="U24" i="20"/>
  <c r="U36" i="20" s="1"/>
  <c r="T24" i="20"/>
  <c r="T36" i="20" s="1"/>
  <c r="S24" i="20"/>
  <c r="S36" i="20" s="1"/>
  <c r="S34" i="20" s="1"/>
  <c r="R24" i="20"/>
  <c r="R36" i="20" s="1"/>
  <c r="Q24" i="20"/>
  <c r="Q36" i="20" s="1"/>
  <c r="P24" i="20"/>
  <c r="P36" i="20" s="1"/>
  <c r="O24" i="20"/>
  <c r="O22" i="20" s="1"/>
  <c r="N24" i="20"/>
  <c r="N36" i="20" s="1"/>
  <c r="M24" i="20"/>
  <c r="M36" i="20" s="1"/>
  <c r="L24" i="20"/>
  <c r="L36" i="20" s="1"/>
  <c r="K24" i="20"/>
  <c r="J24" i="20"/>
  <c r="J36" i="20" s="1"/>
  <c r="I24" i="20"/>
  <c r="H24" i="20"/>
  <c r="H36" i="20" s="1"/>
  <c r="C36" i="20" s="1"/>
  <c r="B24" i="20"/>
  <c r="AE23" i="20"/>
  <c r="AE35" i="20" s="1"/>
  <c r="AD23" i="20"/>
  <c r="AD35" i="20" s="1"/>
  <c r="AD34" i="20" s="1"/>
  <c r="AC23" i="20"/>
  <c r="AB23" i="20"/>
  <c r="AB35" i="20" s="1"/>
  <c r="AA23" i="20"/>
  <c r="AA35" i="20" s="1"/>
  <c r="Z23" i="20"/>
  <c r="Z35" i="20" s="1"/>
  <c r="Z34" i="20" s="1"/>
  <c r="Y23" i="20"/>
  <c r="X23" i="20"/>
  <c r="X35" i="20" s="1"/>
  <c r="W23" i="20"/>
  <c r="W35" i="20" s="1"/>
  <c r="V23" i="20"/>
  <c r="V22" i="20" s="1"/>
  <c r="U23" i="20"/>
  <c r="T23" i="20"/>
  <c r="T35" i="20" s="1"/>
  <c r="S23" i="20"/>
  <c r="S35" i="20" s="1"/>
  <c r="R23" i="20"/>
  <c r="R35" i="20" s="1"/>
  <c r="R34" i="20" s="1"/>
  <c r="Q23" i="20"/>
  <c r="P23" i="20"/>
  <c r="P35" i="20" s="1"/>
  <c r="O23" i="20"/>
  <c r="O35" i="20" s="1"/>
  <c r="N23" i="20"/>
  <c r="N35" i="20" s="1"/>
  <c r="N34" i="20" s="1"/>
  <c r="M23" i="20"/>
  <c r="L23" i="20"/>
  <c r="L35" i="20" s="1"/>
  <c r="K23" i="20"/>
  <c r="K35" i="20" s="1"/>
  <c r="J23" i="20"/>
  <c r="J35" i="20" s="1"/>
  <c r="J34" i="20" s="1"/>
  <c r="I23" i="20"/>
  <c r="H23" i="20"/>
  <c r="H22" i="20" s="1"/>
  <c r="E23" i="20"/>
  <c r="E35" i="20" s="1"/>
  <c r="D23" i="20"/>
  <c r="X22" i="20"/>
  <c r="S22" i="20"/>
  <c r="N22" i="20"/>
  <c r="Q18" i="20"/>
  <c r="Q17" i="20" s="1"/>
  <c r="AE17" i="20"/>
  <c r="E15" i="20"/>
  <c r="C15" i="20"/>
  <c r="B15" i="20"/>
  <c r="AE14" i="20"/>
  <c r="AD14" i="20"/>
  <c r="AC14" i="20"/>
  <c r="AB14" i="20"/>
  <c r="AA14" i="20"/>
  <c r="Z14" i="20"/>
  <c r="Y14" i="20"/>
  <c r="X14" i="20"/>
  <c r="W14" i="20"/>
  <c r="V14" i="20"/>
  <c r="U14" i="20"/>
  <c r="T14" i="20"/>
  <c r="S14" i="20"/>
  <c r="R14" i="20"/>
  <c r="Q14" i="20"/>
  <c r="P14" i="20"/>
  <c r="O14" i="20"/>
  <c r="N14" i="20"/>
  <c r="M14" i="20"/>
  <c r="L14" i="20"/>
  <c r="K14" i="20"/>
  <c r="J14" i="20"/>
  <c r="I14" i="20"/>
  <c r="H14" i="20"/>
  <c r="C14" i="20"/>
  <c r="B14" i="20"/>
  <c r="E12" i="20"/>
  <c r="C12" i="20"/>
  <c r="B12" i="20"/>
  <c r="F12" i="20" s="1"/>
  <c r="AE11" i="20"/>
  <c r="AD11" i="20"/>
  <c r="AC11" i="20"/>
  <c r="AB11" i="20"/>
  <c r="AA11" i="20"/>
  <c r="Z11" i="20"/>
  <c r="Y11" i="20"/>
  <c r="X11" i="20"/>
  <c r="W11" i="20"/>
  <c r="V11" i="20"/>
  <c r="U11" i="20"/>
  <c r="T11" i="20"/>
  <c r="S11" i="20"/>
  <c r="R11" i="20"/>
  <c r="Q11" i="20"/>
  <c r="P11" i="20"/>
  <c r="O11" i="20"/>
  <c r="N11" i="20"/>
  <c r="M11" i="20"/>
  <c r="L11" i="20"/>
  <c r="K11" i="20"/>
  <c r="J11" i="20"/>
  <c r="I11" i="20"/>
  <c r="H11" i="20"/>
  <c r="C11" i="20"/>
  <c r="AE9" i="20"/>
  <c r="AE18" i="20" s="1"/>
  <c r="AD9" i="20"/>
  <c r="AD8" i="20" s="1"/>
  <c r="AC9" i="20"/>
  <c r="AC8" i="20" s="1"/>
  <c r="AB9" i="20"/>
  <c r="AB18" i="20" s="1"/>
  <c r="AB17" i="20" s="1"/>
  <c r="AA9" i="20"/>
  <c r="AA18" i="20" s="1"/>
  <c r="AA17" i="20" s="1"/>
  <c r="Z9" i="20"/>
  <c r="Z18" i="20" s="1"/>
  <c r="Z17" i="20" s="1"/>
  <c r="Y9" i="20"/>
  <c r="Y8" i="20" s="1"/>
  <c r="X9" i="20"/>
  <c r="W9" i="20"/>
  <c r="W18" i="20" s="1"/>
  <c r="W17" i="20" s="1"/>
  <c r="V9" i="20"/>
  <c r="V8" i="20" s="1"/>
  <c r="U9" i="20"/>
  <c r="U8" i="20" s="1"/>
  <c r="T9" i="20"/>
  <c r="S9" i="20"/>
  <c r="S18" i="20" s="1"/>
  <c r="S17" i="20" s="1"/>
  <c r="R9" i="20"/>
  <c r="R18" i="20" s="1"/>
  <c r="R17" i="20" s="1"/>
  <c r="Q9" i="20"/>
  <c r="Q8" i="20" s="1"/>
  <c r="P9" i="20"/>
  <c r="O9" i="20"/>
  <c r="O18" i="20" s="1"/>
  <c r="O17" i="20" s="1"/>
  <c r="N9" i="20"/>
  <c r="N8" i="20" s="1"/>
  <c r="M9" i="20"/>
  <c r="M8" i="20" s="1"/>
  <c r="L9" i="20"/>
  <c r="L18" i="20" s="1"/>
  <c r="L17" i="20" s="1"/>
  <c r="K9" i="20"/>
  <c r="K18" i="20" s="1"/>
  <c r="K17" i="20" s="1"/>
  <c r="J9" i="20"/>
  <c r="J18" i="20" s="1"/>
  <c r="I9" i="20"/>
  <c r="I8" i="20" s="1"/>
  <c r="H9" i="20"/>
  <c r="H18" i="20" s="1"/>
  <c r="E9" i="20"/>
  <c r="C9" i="20"/>
  <c r="AE8" i="20"/>
  <c r="AB8" i="20"/>
  <c r="AA8" i="20"/>
  <c r="Z8" i="20"/>
  <c r="W8" i="20"/>
  <c r="S8" i="20"/>
  <c r="O8" i="20"/>
  <c r="L8" i="20"/>
  <c r="K8" i="20"/>
  <c r="J8" i="20"/>
  <c r="C8" i="20"/>
  <c r="P18" i="20" l="1"/>
  <c r="P17" i="20" s="1"/>
  <c r="P8" i="20"/>
  <c r="T18" i="20"/>
  <c r="T17" i="20" s="1"/>
  <c r="T8" i="20"/>
  <c r="F51" i="20"/>
  <c r="H8" i="20"/>
  <c r="AD22" i="20"/>
  <c r="I36" i="20"/>
  <c r="D24" i="20"/>
  <c r="D22" i="20" s="1"/>
  <c r="E24" i="20"/>
  <c r="K22" i="20"/>
  <c r="AA36" i="20"/>
  <c r="AA34" i="20" s="1"/>
  <c r="AA22" i="20"/>
  <c r="E26" i="20"/>
  <c r="E38" i="20" s="1"/>
  <c r="O36" i="20"/>
  <c r="AE36" i="20"/>
  <c r="I67" i="20"/>
  <c r="I42" i="20"/>
  <c r="Q67" i="20"/>
  <c r="Q42" i="20"/>
  <c r="Y67" i="20"/>
  <c r="Y42" i="20"/>
  <c r="AC67" i="20"/>
  <c r="AC42" i="20"/>
  <c r="E45" i="20"/>
  <c r="G51" i="20"/>
  <c r="B57" i="20"/>
  <c r="B54" i="20"/>
  <c r="M67" i="20"/>
  <c r="X18" i="20"/>
  <c r="X17" i="20" s="1"/>
  <c r="X8" i="20"/>
  <c r="F29" i="20"/>
  <c r="B28" i="20"/>
  <c r="G30" i="20"/>
  <c r="D48" i="20"/>
  <c r="D46" i="20"/>
  <c r="D70" i="20" s="1"/>
  <c r="D75" i="20" s="1"/>
  <c r="Z8" i="23"/>
  <c r="Z114" i="23"/>
  <c r="AB8" i="23"/>
  <c r="M18" i="20"/>
  <c r="M17" i="20" s="1"/>
  <c r="AC18" i="20"/>
  <c r="AC17" i="20" s="1"/>
  <c r="I22" i="20"/>
  <c r="M22" i="20"/>
  <c r="O34" i="20"/>
  <c r="Q22" i="20"/>
  <c r="U22" i="20"/>
  <c r="W34" i="20"/>
  <c r="Y22" i="20"/>
  <c r="AC22" i="20"/>
  <c r="AE34" i="20"/>
  <c r="G26" i="20"/>
  <c r="L22" i="20"/>
  <c r="T22" i="20"/>
  <c r="AB22" i="20"/>
  <c r="C28" i="20"/>
  <c r="M35" i="20"/>
  <c r="AC35" i="20"/>
  <c r="N66" i="20"/>
  <c r="R66" i="20"/>
  <c r="B45" i="20"/>
  <c r="B69" i="20" s="1"/>
  <c r="AA75" i="20"/>
  <c r="AA81" i="20" s="1"/>
  <c r="G53" i="20"/>
  <c r="B53" i="20"/>
  <c r="F53" i="20" s="1"/>
  <c r="C54" i="20"/>
  <c r="F57" i="20"/>
  <c r="J69" i="20"/>
  <c r="V114" i="23"/>
  <c r="H111" i="23"/>
  <c r="L114" i="23"/>
  <c r="C116" i="23"/>
  <c r="C110" i="23" s="1"/>
  <c r="F47" i="23"/>
  <c r="F45" i="23"/>
  <c r="E115" i="23"/>
  <c r="E109" i="23" s="1"/>
  <c r="B8" i="23"/>
  <c r="P108" i="23"/>
  <c r="P105" i="23" s="1"/>
  <c r="P8" i="23"/>
  <c r="F92" i="23"/>
  <c r="G92" i="23"/>
  <c r="F11" i="23"/>
  <c r="D11" i="23"/>
  <c r="E8" i="23"/>
  <c r="R111" i="23"/>
  <c r="E112" i="23"/>
  <c r="F100" i="23"/>
  <c r="G100" i="23"/>
  <c r="D100" i="23"/>
  <c r="D101" i="23"/>
  <c r="G101" i="23"/>
  <c r="E113" i="23"/>
  <c r="E107" i="23" s="1"/>
  <c r="F101" i="23"/>
  <c r="F80" i="23"/>
  <c r="G80" i="23"/>
  <c r="E78" i="23"/>
  <c r="D80" i="23"/>
  <c r="D78" i="23" s="1"/>
  <c r="X111" i="23"/>
  <c r="L111" i="23"/>
  <c r="F13" i="23"/>
  <c r="D13" i="23"/>
  <c r="G13" i="23"/>
  <c r="G109" i="23"/>
  <c r="F109" i="23"/>
  <c r="K111" i="23"/>
  <c r="AD108" i="23"/>
  <c r="AD105" i="23" s="1"/>
  <c r="I111" i="23"/>
  <c r="E116" i="23"/>
  <c r="E110" i="23" s="1"/>
  <c r="F104" i="23"/>
  <c r="F116" i="23" s="1"/>
  <c r="D104" i="23"/>
  <c r="D116" i="23" s="1"/>
  <c r="D110" i="23" s="1"/>
  <c r="G104" i="23"/>
  <c r="G116" i="23" s="1"/>
  <c r="P111" i="23"/>
  <c r="AA111" i="23"/>
  <c r="C64" i="23"/>
  <c r="G67" i="23"/>
  <c r="F53" i="23"/>
  <c r="U8" i="23"/>
  <c r="AD114" i="23"/>
  <c r="N114" i="23"/>
  <c r="N111" i="23" s="1"/>
  <c r="AD111" i="23"/>
  <c r="V111" i="23"/>
  <c r="U108" i="23"/>
  <c r="U105" i="23" s="1"/>
  <c r="M108" i="23"/>
  <c r="M105" i="23" s="1"/>
  <c r="AE105" i="23"/>
  <c r="W105" i="23"/>
  <c r="O105" i="23"/>
  <c r="S111" i="23"/>
  <c r="AE111" i="23"/>
  <c r="W111" i="23"/>
  <c r="O111" i="23"/>
  <c r="B114" i="23"/>
  <c r="B108" i="23" s="1"/>
  <c r="Q105" i="23"/>
  <c r="G60" i="23"/>
  <c r="AB111" i="23"/>
  <c r="AC105" i="23"/>
  <c r="C106" i="23"/>
  <c r="G64" i="23"/>
  <c r="F9" i="23"/>
  <c r="D9" i="23"/>
  <c r="G9" i="23"/>
  <c r="C11" i="23"/>
  <c r="G11" i="23" s="1"/>
  <c r="C78" i="23"/>
  <c r="G115" i="23"/>
  <c r="Z111" i="23"/>
  <c r="J111" i="23"/>
  <c r="F95" i="23"/>
  <c r="D95" i="23"/>
  <c r="D92" i="23" s="1"/>
  <c r="G95" i="23"/>
  <c r="Y105" i="23"/>
  <c r="I105" i="23"/>
  <c r="G88" i="23"/>
  <c r="F88" i="23"/>
  <c r="E85" i="23"/>
  <c r="D88" i="23"/>
  <c r="D85" i="23" s="1"/>
  <c r="D39" i="23"/>
  <c r="D36" i="23" s="1"/>
  <c r="F39" i="23"/>
  <c r="G39" i="23"/>
  <c r="G22" i="23"/>
  <c r="F22" i="23"/>
  <c r="D8" i="23"/>
  <c r="F67" i="23"/>
  <c r="B64" i="23"/>
  <c r="F64" i="23" s="1"/>
  <c r="N108" i="23"/>
  <c r="N105" i="23" s="1"/>
  <c r="Y114" i="23"/>
  <c r="Y111" i="23" s="1"/>
  <c r="Q111" i="23"/>
  <c r="D73" i="23"/>
  <c r="D71" i="23" s="1"/>
  <c r="E71" i="23"/>
  <c r="G73" i="23"/>
  <c r="F73" i="23"/>
  <c r="F115" i="23"/>
  <c r="C8" i="23"/>
  <c r="Z108" i="23"/>
  <c r="Z105" i="23" s="1"/>
  <c r="R108" i="23"/>
  <c r="R105" i="23" s="1"/>
  <c r="J108" i="23"/>
  <c r="J105" i="23" s="1"/>
  <c r="H105" i="23"/>
  <c r="M114" i="23"/>
  <c r="M111" i="23" s="1"/>
  <c r="AC111" i="23"/>
  <c r="U111" i="23"/>
  <c r="E99" i="23"/>
  <c r="T108" i="23"/>
  <c r="T105" i="23" s="1"/>
  <c r="D57" i="23"/>
  <c r="V105" i="23"/>
  <c r="C113" i="23"/>
  <c r="C107" i="23" s="1"/>
  <c r="T111" i="23"/>
  <c r="B106" i="23"/>
  <c r="B50" i="23"/>
  <c r="F50" i="23" s="1"/>
  <c r="E114" i="23"/>
  <c r="E108" i="23" s="1"/>
  <c r="F102" i="23"/>
  <c r="G102" i="23"/>
  <c r="D102" i="23"/>
  <c r="C99" i="23"/>
  <c r="C46" i="23"/>
  <c r="C43" i="23" s="1"/>
  <c r="C50" i="23"/>
  <c r="G50" i="23" s="1"/>
  <c r="D64" i="23"/>
  <c r="D46" i="23"/>
  <c r="D43" i="23" s="1"/>
  <c r="F46" i="23"/>
  <c r="G10" i="23"/>
  <c r="E43" i="23"/>
  <c r="G18" i="23"/>
  <c r="C15" i="23"/>
  <c r="G15" i="23" s="1"/>
  <c r="D115" i="23"/>
  <c r="D109" i="23" s="1"/>
  <c r="E36" i="23"/>
  <c r="P34" i="20"/>
  <c r="C38" i="20"/>
  <c r="G38" i="20" s="1"/>
  <c r="J73" i="20"/>
  <c r="J79" i="20" s="1"/>
  <c r="J66" i="20"/>
  <c r="J17" i="20"/>
  <c r="X34" i="20"/>
  <c r="G9" i="20"/>
  <c r="E8" i="20"/>
  <c r="V18" i="20"/>
  <c r="V17" i="20" s="1"/>
  <c r="U34" i="20"/>
  <c r="E25" i="20"/>
  <c r="V35" i="20"/>
  <c r="V34" i="20" s="1"/>
  <c r="O67" i="20"/>
  <c r="O42" i="20"/>
  <c r="R74" i="20"/>
  <c r="R80" i="20" s="1"/>
  <c r="Z74" i="20"/>
  <c r="Z80" i="20" s="1"/>
  <c r="X75" i="20"/>
  <c r="X81" i="20" s="1"/>
  <c r="Q66" i="20"/>
  <c r="H73" i="20"/>
  <c r="H79" i="20" s="1"/>
  <c r="R8" i="20"/>
  <c r="B11" i="20"/>
  <c r="G12" i="20"/>
  <c r="E11" i="20"/>
  <c r="I18" i="20"/>
  <c r="N18" i="20"/>
  <c r="Y18" i="20"/>
  <c r="Y17" i="20" s="1"/>
  <c r="AD18" i="20"/>
  <c r="AD17" i="20" s="1"/>
  <c r="P22" i="20"/>
  <c r="B23" i="20"/>
  <c r="F23" i="20" s="1"/>
  <c r="H35" i="20"/>
  <c r="C23" i="20"/>
  <c r="O74" i="20"/>
  <c r="O80" i="20" s="1"/>
  <c r="E28" i="20"/>
  <c r="F30" i="20"/>
  <c r="I35" i="20"/>
  <c r="I34" i="20" s="1"/>
  <c r="Q35" i="20"/>
  <c r="Q34" i="20" s="1"/>
  <c r="Y35" i="20"/>
  <c r="Y34" i="20" s="1"/>
  <c r="K36" i="20"/>
  <c r="K34" i="20" s="1"/>
  <c r="D35" i="20"/>
  <c r="L38" i="20"/>
  <c r="L75" i="20" s="1"/>
  <c r="L81" i="20" s="1"/>
  <c r="T38" i="20"/>
  <c r="T34" i="20" s="1"/>
  <c r="AB38" i="20"/>
  <c r="AB34" i="20" s="1"/>
  <c r="B43" i="20"/>
  <c r="H42" i="20"/>
  <c r="L42" i="20"/>
  <c r="L67" i="20"/>
  <c r="P67" i="20"/>
  <c r="P42" i="20"/>
  <c r="U67" i="20"/>
  <c r="T67" i="20"/>
  <c r="T42" i="20"/>
  <c r="X67" i="20"/>
  <c r="X42" i="20"/>
  <c r="AB42" i="20"/>
  <c r="B44" i="20"/>
  <c r="B68" i="20" s="1"/>
  <c r="I68" i="20"/>
  <c r="I73" i="20" s="1"/>
  <c r="I79" i="20" s="1"/>
  <c r="D44" i="20"/>
  <c r="M73" i="20"/>
  <c r="M79" i="20" s="1"/>
  <c r="Q73" i="20"/>
  <c r="Q79" i="20" s="1"/>
  <c r="Y73" i="20"/>
  <c r="Y79" i="20" s="1"/>
  <c r="E69" i="20"/>
  <c r="F45" i="20"/>
  <c r="F69" i="20" s="1"/>
  <c r="Q75" i="20"/>
  <c r="Q81" i="20" s="1"/>
  <c r="AC75" i="20"/>
  <c r="AC81" i="20" s="1"/>
  <c r="F52" i="20"/>
  <c r="E46" i="20"/>
  <c r="G52" i="20"/>
  <c r="E48" i="20"/>
  <c r="R72" i="20"/>
  <c r="G15" i="20"/>
  <c r="E14" i="20"/>
  <c r="G23" i="20"/>
  <c r="E22" i="20"/>
  <c r="M34" i="20"/>
  <c r="AC34" i="20"/>
  <c r="D67" i="20"/>
  <c r="D42" i="20"/>
  <c r="E43" i="20"/>
  <c r="J72" i="20"/>
  <c r="V66" i="20"/>
  <c r="Z72" i="20"/>
  <c r="I74" i="20"/>
  <c r="I80" i="20" s="1"/>
  <c r="M74" i="20"/>
  <c r="M80" i="20" s="1"/>
  <c r="Q74" i="20"/>
  <c r="Q80" i="20" s="1"/>
  <c r="Y74" i="20"/>
  <c r="Y80" i="20" s="1"/>
  <c r="AC74" i="20"/>
  <c r="AC80" i="20" s="1"/>
  <c r="C48" i="20"/>
  <c r="G49" i="20"/>
  <c r="E54" i="20"/>
  <c r="G55" i="20"/>
  <c r="G54" i="20" s="1"/>
  <c r="F55" i="20"/>
  <c r="AC72" i="20"/>
  <c r="AC66" i="20"/>
  <c r="S73" i="20"/>
  <c r="S79" i="20" s="1"/>
  <c r="J74" i="20"/>
  <c r="J80" i="20" s="1"/>
  <c r="B9" i="20"/>
  <c r="B8" i="20" s="1"/>
  <c r="F15" i="20"/>
  <c r="J22" i="20"/>
  <c r="Z22" i="20"/>
  <c r="G29" i="20"/>
  <c r="B36" i="20"/>
  <c r="K67" i="20"/>
  <c r="K42" i="20"/>
  <c r="S67" i="20"/>
  <c r="S42" i="20"/>
  <c r="W67" i="20"/>
  <c r="W42" i="20"/>
  <c r="AA67" i="20"/>
  <c r="AA42" i="20"/>
  <c r="AE67" i="20"/>
  <c r="AE42" i="20"/>
  <c r="X73" i="20"/>
  <c r="X79" i="20" s="1"/>
  <c r="H70" i="20"/>
  <c r="H75" i="20" s="1"/>
  <c r="H81" i="20" s="1"/>
  <c r="B46" i="20"/>
  <c r="B70" i="20" s="1"/>
  <c r="P75" i="20"/>
  <c r="P81" i="20" s="1"/>
  <c r="S75" i="20"/>
  <c r="S81" i="20" s="1"/>
  <c r="H17" i="20"/>
  <c r="U18" i="20"/>
  <c r="U17" i="20" s="1"/>
  <c r="R22" i="20"/>
  <c r="C24" i="20"/>
  <c r="G24" i="20" s="1"/>
  <c r="H37" i="20"/>
  <c r="C25" i="20"/>
  <c r="B26" i="20"/>
  <c r="F26" i="20" s="1"/>
  <c r="C67" i="20"/>
  <c r="R73" i="20"/>
  <c r="R79" i="20" s="1"/>
  <c r="Z73" i="20"/>
  <c r="Z79" i="20" s="1"/>
  <c r="P74" i="20"/>
  <c r="P80" i="20" s="1"/>
  <c r="T74" i="20"/>
  <c r="T80" i="20" s="1"/>
  <c r="AB74" i="20"/>
  <c r="AB80" i="20" s="1"/>
  <c r="C46" i="20"/>
  <c r="C70" i="20" s="1"/>
  <c r="R75" i="20"/>
  <c r="R81" i="20" s="1"/>
  <c r="G56" i="20"/>
  <c r="F56" i="20"/>
  <c r="H67" i="20"/>
  <c r="AB67" i="20"/>
  <c r="T73" i="20"/>
  <c r="T79" i="20" s="1"/>
  <c r="AE73" i="20"/>
  <c r="AE79" i="20" s="1"/>
  <c r="L74" i="20"/>
  <c r="L80" i="20" s="1"/>
  <c r="V75" i="20"/>
  <c r="V81" i="20" s="1"/>
  <c r="Y72" i="20"/>
  <c r="Y66" i="20"/>
  <c r="W73" i="20"/>
  <c r="W79" i="20" s="1"/>
  <c r="AA73" i="20"/>
  <c r="AA79" i="20" s="1"/>
  <c r="K74" i="20"/>
  <c r="K80" i="20" s="1"/>
  <c r="S74" i="20"/>
  <c r="S80" i="20" s="1"/>
  <c r="AE74" i="20"/>
  <c r="AE80" i="20" s="1"/>
  <c r="J75" i="20"/>
  <c r="J81" i="20" s="1"/>
  <c r="AD75" i="20"/>
  <c r="AD81" i="20" s="1"/>
  <c r="F49" i="20"/>
  <c r="N72" i="20"/>
  <c r="AD72" i="20"/>
  <c r="AD66" i="20"/>
  <c r="L73" i="20"/>
  <c r="L79" i="20" s="1"/>
  <c r="P73" i="20"/>
  <c r="P79" i="20" s="1"/>
  <c r="AB73" i="20"/>
  <c r="AB79" i="20" s="1"/>
  <c r="C45" i="20"/>
  <c r="C69" i="20" s="1"/>
  <c r="H69" i="20"/>
  <c r="H74" i="20" s="1"/>
  <c r="H80" i="20" s="1"/>
  <c r="X74" i="20"/>
  <c r="X80" i="20" s="1"/>
  <c r="K75" i="20"/>
  <c r="K81" i="20" s="1"/>
  <c r="O75" i="20"/>
  <c r="O81" i="20" s="1"/>
  <c r="W75" i="20"/>
  <c r="W81" i="20" s="1"/>
  <c r="AE75" i="20"/>
  <c r="AE81" i="20" s="1"/>
  <c r="M72" i="20"/>
  <c r="M66" i="20"/>
  <c r="O73" i="20"/>
  <c r="O79" i="20" s="1"/>
  <c r="N75" i="20"/>
  <c r="N81" i="20" s="1"/>
  <c r="W74" i="20"/>
  <c r="W80" i="20" s="1"/>
  <c r="I75" i="20"/>
  <c r="I81" i="20" s="1"/>
  <c r="Y75" i="20"/>
  <c r="Y81" i="20" s="1"/>
  <c r="B105" i="23" l="1"/>
  <c r="F113" i="23"/>
  <c r="C114" i="23"/>
  <c r="C108" i="23" s="1"/>
  <c r="U73" i="20"/>
  <c r="U79" i="20" s="1"/>
  <c r="K73" i="20"/>
  <c r="K79" i="20" s="1"/>
  <c r="C42" i="20"/>
  <c r="AB75" i="20"/>
  <c r="AB81" i="20" s="1"/>
  <c r="AD74" i="20"/>
  <c r="AD80" i="20" s="1"/>
  <c r="F9" i="20"/>
  <c r="U74" i="20"/>
  <c r="U80" i="20" s="1"/>
  <c r="F114" i="23"/>
  <c r="AC73" i="20"/>
  <c r="AC79" i="20" s="1"/>
  <c r="E36" i="20"/>
  <c r="F24" i="20"/>
  <c r="G36" i="23"/>
  <c r="F36" i="23"/>
  <c r="F71" i="23"/>
  <c r="G71" i="23"/>
  <c r="F110" i="23"/>
  <c r="G110" i="23"/>
  <c r="D112" i="23"/>
  <c r="C111" i="23"/>
  <c r="G78" i="23"/>
  <c r="F78" i="23"/>
  <c r="G107" i="23"/>
  <c r="F107" i="23"/>
  <c r="G112" i="23"/>
  <c r="F108" i="23"/>
  <c r="G108" i="23"/>
  <c r="G46" i="23"/>
  <c r="D114" i="23"/>
  <c r="D108" i="23" s="1"/>
  <c r="G113" i="23"/>
  <c r="F112" i="23"/>
  <c r="F43" i="23"/>
  <c r="G43" i="23"/>
  <c r="G114" i="23"/>
  <c r="B111" i="23"/>
  <c r="C105" i="23"/>
  <c r="G99" i="23"/>
  <c r="F99" i="23"/>
  <c r="D99" i="23"/>
  <c r="F85" i="23"/>
  <c r="G85" i="23"/>
  <c r="D113" i="23"/>
  <c r="D107" i="23" s="1"/>
  <c r="E106" i="23"/>
  <c r="E111" i="23"/>
  <c r="G8" i="23"/>
  <c r="F8" i="23"/>
  <c r="AB72" i="20"/>
  <c r="AB66" i="20"/>
  <c r="J71" i="20"/>
  <c r="J78" i="20"/>
  <c r="J77" i="20" s="1"/>
  <c r="E79" i="20"/>
  <c r="N17" i="20"/>
  <c r="N73" i="20"/>
  <c r="N79" i="20" s="1"/>
  <c r="Q72" i="20"/>
  <c r="O72" i="20"/>
  <c r="O66" i="20"/>
  <c r="Y71" i="20"/>
  <c r="Y78" i="20"/>
  <c r="Y77" i="20" s="1"/>
  <c r="C75" i="20"/>
  <c r="AE66" i="20"/>
  <c r="AE72" i="20"/>
  <c r="K72" i="20"/>
  <c r="K66" i="20"/>
  <c r="Z78" i="20"/>
  <c r="Z77" i="20" s="1"/>
  <c r="Z71" i="20"/>
  <c r="E70" i="20"/>
  <c r="E75" i="20" s="1"/>
  <c r="G46" i="20"/>
  <c r="G70" i="20" s="1"/>
  <c r="F46" i="20"/>
  <c r="F70" i="20" s="1"/>
  <c r="B67" i="20"/>
  <c r="B42" i="20"/>
  <c r="F8" i="20"/>
  <c r="G8" i="20"/>
  <c r="B18" i="20"/>
  <c r="B17" i="20" s="1"/>
  <c r="B38" i="20"/>
  <c r="F38" i="20" s="1"/>
  <c r="N78" i="20"/>
  <c r="N71" i="20"/>
  <c r="I66" i="20"/>
  <c r="V73" i="20"/>
  <c r="V79" i="20" s="1"/>
  <c r="C37" i="20"/>
  <c r="B37" i="20"/>
  <c r="AC78" i="20"/>
  <c r="AC77" i="20" s="1"/>
  <c r="AC71" i="20"/>
  <c r="R78" i="20"/>
  <c r="R77" i="20" s="1"/>
  <c r="R71" i="20"/>
  <c r="T72" i="20"/>
  <c r="T66" i="20"/>
  <c r="L72" i="20"/>
  <c r="L66" i="20"/>
  <c r="C22" i="20"/>
  <c r="G22" i="20" s="1"/>
  <c r="F11" i="20"/>
  <c r="G11" i="20"/>
  <c r="C79" i="20"/>
  <c r="B79" i="20"/>
  <c r="T75" i="20"/>
  <c r="T81" i="20" s="1"/>
  <c r="G25" i="20"/>
  <c r="E37" i="20"/>
  <c r="F25" i="20"/>
  <c r="AD73" i="20"/>
  <c r="AD79" i="20" s="1"/>
  <c r="E80" i="20"/>
  <c r="F14" i="20"/>
  <c r="G14" i="20"/>
  <c r="X72" i="20"/>
  <c r="X66" i="20"/>
  <c r="B22" i="20"/>
  <c r="F22" i="20" s="1"/>
  <c r="M78" i="20"/>
  <c r="M77" i="20" s="1"/>
  <c r="M71" i="20"/>
  <c r="AD71" i="20"/>
  <c r="AD78" i="20"/>
  <c r="AD77" i="20" s="1"/>
  <c r="H72" i="20"/>
  <c r="H66" i="20"/>
  <c r="C66" i="20"/>
  <c r="V74" i="20"/>
  <c r="V80" i="20" s="1"/>
  <c r="W66" i="20"/>
  <c r="W72" i="20"/>
  <c r="E67" i="20"/>
  <c r="F43" i="20"/>
  <c r="F67" i="20" s="1"/>
  <c r="G43" i="20"/>
  <c r="G67" i="20" s="1"/>
  <c r="P66" i="20"/>
  <c r="P72" i="20"/>
  <c r="D32" i="20"/>
  <c r="D29" i="20" s="1"/>
  <c r="D28" i="20" s="1"/>
  <c r="D34" i="20"/>
  <c r="D31" i="20" s="1"/>
  <c r="I17" i="20"/>
  <c r="E18" i="20"/>
  <c r="D18" i="20"/>
  <c r="E81" i="20"/>
  <c r="I72" i="20"/>
  <c r="C81" i="20"/>
  <c r="B81" i="20"/>
  <c r="AA72" i="20"/>
  <c r="AA66" i="20"/>
  <c r="S72" i="20"/>
  <c r="S66" i="20"/>
  <c r="C18" i="20"/>
  <c r="F54" i="20"/>
  <c r="V72" i="20"/>
  <c r="D72" i="20"/>
  <c r="G48" i="20"/>
  <c r="F48" i="20"/>
  <c r="G45" i="20"/>
  <c r="G69" i="20" s="1"/>
  <c r="D68" i="20"/>
  <c r="D73" i="20" s="1"/>
  <c r="E44" i="20"/>
  <c r="E42" i="20" s="1"/>
  <c r="U72" i="20"/>
  <c r="U66" i="20"/>
  <c r="G28" i="20"/>
  <c r="F28" i="20"/>
  <c r="C35" i="20"/>
  <c r="C72" i="20" s="1"/>
  <c r="B35" i="20"/>
  <c r="H34" i="20"/>
  <c r="L34" i="20"/>
  <c r="N74" i="20"/>
  <c r="N80" i="20" s="1"/>
  <c r="B80" i="20" s="1"/>
  <c r="C80" i="20" l="1"/>
  <c r="B75" i="20"/>
  <c r="F36" i="20"/>
  <c r="E34" i="20"/>
  <c r="G36" i="20"/>
  <c r="D111" i="23"/>
  <c r="D106" i="23"/>
  <c r="D105" i="23" s="1"/>
  <c r="F106" i="23"/>
  <c r="G106" i="23"/>
  <c r="G111" i="23"/>
  <c r="F111" i="23"/>
  <c r="E105" i="23"/>
  <c r="G42" i="20"/>
  <c r="F42" i="20"/>
  <c r="C17" i="20"/>
  <c r="C73" i="20"/>
  <c r="C71" i="20" s="1"/>
  <c r="AA78" i="20"/>
  <c r="AA77" i="20" s="1"/>
  <c r="AA71" i="20"/>
  <c r="E72" i="20"/>
  <c r="T78" i="20"/>
  <c r="T77" i="20" s="1"/>
  <c r="T71" i="20"/>
  <c r="G75" i="20"/>
  <c r="F75" i="20"/>
  <c r="Q71" i="20"/>
  <c r="Q78" i="20"/>
  <c r="Q77" i="20" s="1"/>
  <c r="B34" i="20"/>
  <c r="F34" i="20" s="1"/>
  <c r="F35" i="20"/>
  <c r="D66" i="20"/>
  <c r="G37" i="20"/>
  <c r="F37" i="20"/>
  <c r="B74" i="20"/>
  <c r="C34" i="20"/>
  <c r="G34" i="20" s="1"/>
  <c r="G35" i="20"/>
  <c r="U78" i="20"/>
  <c r="U77" i="20" s="1"/>
  <c r="U71" i="20"/>
  <c r="V71" i="20"/>
  <c r="V78" i="20"/>
  <c r="V77" i="20" s="1"/>
  <c r="S78" i="20"/>
  <c r="S77" i="20" s="1"/>
  <c r="S71" i="20"/>
  <c r="F81" i="20"/>
  <c r="G81" i="20" s="1"/>
  <c r="D81" i="20"/>
  <c r="G18" i="20"/>
  <c r="E17" i="20"/>
  <c r="F18" i="20"/>
  <c r="P71" i="20"/>
  <c r="P78" i="20"/>
  <c r="P77" i="20" s="1"/>
  <c r="X78" i="20"/>
  <c r="X77" i="20" s="1"/>
  <c r="X71" i="20"/>
  <c r="C74" i="20"/>
  <c r="L71" i="20"/>
  <c r="L78" i="20"/>
  <c r="L77" i="20" s="1"/>
  <c r="N77" i="20"/>
  <c r="D71" i="20"/>
  <c r="B66" i="20"/>
  <c r="B72" i="20"/>
  <c r="K78" i="20"/>
  <c r="K77" i="20" s="1"/>
  <c r="K71" i="20"/>
  <c r="G74" i="20"/>
  <c r="D15" i="20"/>
  <c r="D17" i="20"/>
  <c r="D74" i="20"/>
  <c r="W78" i="20"/>
  <c r="W77" i="20" s="1"/>
  <c r="W71" i="20"/>
  <c r="F80" i="20"/>
  <c r="G80" i="20" s="1"/>
  <c r="D80" i="20"/>
  <c r="E74" i="20"/>
  <c r="B73" i="20"/>
  <c r="AE78" i="20"/>
  <c r="AE77" i="20" s="1"/>
  <c r="AE71" i="20"/>
  <c r="E68" i="20"/>
  <c r="E73" i="20" s="1"/>
  <c r="G44" i="20"/>
  <c r="G68" i="20" s="1"/>
  <c r="F44" i="20"/>
  <c r="F68" i="20" s="1"/>
  <c r="F73" i="20" s="1"/>
  <c r="I71" i="20"/>
  <c r="I78" i="20"/>
  <c r="H78" i="20"/>
  <c r="H71" i="20"/>
  <c r="O78" i="20"/>
  <c r="O77" i="20" s="1"/>
  <c r="O71" i="20"/>
  <c r="D79" i="20"/>
  <c r="F79" i="20"/>
  <c r="G79" i="20" s="1"/>
  <c r="AB71" i="20"/>
  <c r="AB78" i="20"/>
  <c r="AB77" i="20" s="1"/>
  <c r="F74" i="20" l="1"/>
  <c r="G105" i="23"/>
  <c r="F105" i="23"/>
  <c r="I77" i="20"/>
  <c r="E78" i="20"/>
  <c r="E66" i="20"/>
  <c r="G72" i="20"/>
  <c r="F72" i="20"/>
  <c r="E71" i="20"/>
  <c r="C78" i="20"/>
  <c r="C77" i="20" s="1"/>
  <c r="B78" i="20"/>
  <c r="B77" i="20" s="1"/>
  <c r="H77" i="20"/>
  <c r="G73" i="20"/>
  <c r="D12" i="20"/>
  <c r="D14" i="20"/>
  <c r="B71" i="20"/>
  <c r="F17" i="20"/>
  <c r="G17" i="20"/>
  <c r="D9" i="20" l="1"/>
  <c r="D8" i="20" s="1"/>
  <c r="D11" i="20"/>
  <c r="G66" i="20"/>
  <c r="F66" i="20"/>
  <c r="G71" i="20"/>
  <c r="F71" i="20"/>
  <c r="E77" i="20"/>
  <c r="F77" i="20" s="1"/>
  <c r="G77" i="20" s="1"/>
  <c r="F78" i="20"/>
  <c r="G78" i="20" s="1"/>
  <c r="D78" i="20"/>
  <c r="D77" i="20" s="1"/>
  <c r="E14" i="15" l="1"/>
  <c r="D14" i="15"/>
  <c r="C14" i="15"/>
  <c r="U90" i="11" l="1"/>
  <c r="S90" i="11"/>
  <c r="P80" i="11"/>
  <c r="C80" i="11" s="1"/>
  <c r="E80" i="11"/>
  <c r="U50" i="11"/>
  <c r="U49" i="11"/>
  <c r="C145" i="21"/>
  <c r="C139" i="21"/>
  <c r="C133" i="21"/>
  <c r="C114" i="21"/>
  <c r="C96" i="21"/>
  <c r="C90" i="21"/>
  <c r="C102" i="21"/>
  <c r="C84" i="21"/>
  <c r="C78" i="21"/>
  <c r="C72" i="21"/>
  <c r="C66" i="21"/>
  <c r="C48" i="21"/>
  <c r="C49" i="21"/>
  <c r="C50" i="21"/>
  <c r="C47" i="21"/>
  <c r="C42" i="21"/>
  <c r="C43" i="21"/>
  <c r="C44" i="21"/>
  <c r="C41" i="21"/>
  <c r="C36" i="21"/>
  <c r="C38" i="21"/>
  <c r="C35" i="21"/>
  <c r="C30" i="21"/>
  <c r="C24" i="21"/>
  <c r="C26" i="21"/>
  <c r="C23" i="21"/>
  <c r="C12" i="21"/>
  <c r="E99" i="11" l="1"/>
  <c r="U96" i="11"/>
  <c r="E93" i="11"/>
  <c r="W90" i="11"/>
  <c r="C67" i="11"/>
  <c r="E67" i="11"/>
  <c r="U64" i="11" l="1"/>
  <c r="C73" i="11"/>
  <c r="E73" i="11"/>
  <c r="U70" i="11"/>
  <c r="S96" i="11"/>
  <c r="C98" i="11"/>
  <c r="E98" i="11"/>
  <c r="B98" i="11"/>
  <c r="Q84" i="11"/>
  <c r="P84" i="11"/>
  <c r="E86" i="11"/>
  <c r="C86" i="11"/>
  <c r="C85" i="11"/>
  <c r="D80" i="11"/>
  <c r="C99" i="11"/>
  <c r="C92" i="11"/>
  <c r="C93" i="11"/>
  <c r="C87" i="11"/>
  <c r="B27" i="11"/>
  <c r="C27" i="11"/>
  <c r="C61" i="11" l="1"/>
  <c r="C48" i="2" l="1"/>
  <c r="C34" i="2" l="1"/>
  <c r="C51" i="2"/>
  <c r="C31" i="2"/>
  <c r="C28" i="2"/>
  <c r="C27" i="2"/>
  <c r="C24" i="2"/>
  <c r="C23" i="2"/>
  <c r="C16" i="2"/>
  <c r="C15" i="2"/>
  <c r="C19" i="2" l="1"/>
  <c r="AD53" i="9"/>
  <c r="S50" i="8"/>
  <c r="C121" i="6"/>
  <c r="C117" i="6"/>
  <c r="C93" i="6"/>
  <c r="X183" i="14"/>
  <c r="R183" i="14"/>
  <c r="C87" i="6"/>
  <c r="C69" i="6"/>
  <c r="C50" i="6"/>
  <c r="C47" i="6"/>
  <c r="C35" i="6"/>
  <c r="C32" i="6"/>
  <c r="C20" i="6"/>
  <c r="C16" i="6"/>
  <c r="C13" i="6"/>
  <c r="C78" i="9" l="1"/>
  <c r="B78" i="9"/>
  <c r="C77" i="9"/>
  <c r="B77" i="9"/>
  <c r="E76" i="9"/>
  <c r="D76" i="9" s="1"/>
  <c r="C76" i="9"/>
  <c r="B76" i="9"/>
  <c r="K75" i="9"/>
  <c r="E75" i="9" s="1"/>
  <c r="E74" i="9" s="1"/>
  <c r="E73" i="9" s="1"/>
  <c r="C75" i="9"/>
  <c r="B75" i="9"/>
  <c r="AD74" i="9"/>
  <c r="AD73" i="9" s="1"/>
  <c r="AB74" i="9"/>
  <c r="AB73" i="9" s="1"/>
  <c r="Z74" i="9"/>
  <c r="X74" i="9"/>
  <c r="X73" i="9" s="1"/>
  <c r="V74" i="9"/>
  <c r="V73" i="9" s="1"/>
  <c r="T74" i="9"/>
  <c r="T73" i="9" s="1"/>
  <c r="S74" i="9"/>
  <c r="R74" i="9"/>
  <c r="R73" i="9" s="1"/>
  <c r="Q74" i="9"/>
  <c r="Q73" i="9" s="1"/>
  <c r="P74" i="9"/>
  <c r="P73" i="9" s="1"/>
  <c r="O74" i="9"/>
  <c r="N74" i="9"/>
  <c r="N73" i="9" s="1"/>
  <c r="M74" i="9"/>
  <c r="M73" i="9" s="1"/>
  <c r="L74" i="9"/>
  <c r="L73" i="9" s="1"/>
  <c r="J74" i="9"/>
  <c r="I74" i="9"/>
  <c r="I73" i="9" s="1"/>
  <c r="H74" i="9"/>
  <c r="H73" i="9" s="1"/>
  <c r="Z73" i="9"/>
  <c r="S73" i="9"/>
  <c r="O73" i="9"/>
  <c r="J73" i="9"/>
  <c r="D72" i="9"/>
  <c r="C72" i="9"/>
  <c r="B72" i="9"/>
  <c r="E71" i="9"/>
  <c r="C71" i="9"/>
  <c r="B71" i="9"/>
  <c r="E70" i="9"/>
  <c r="D70" i="9"/>
  <c r="C70" i="9"/>
  <c r="B70" i="9"/>
  <c r="D69" i="9"/>
  <c r="C69" i="9"/>
  <c r="B69" i="9"/>
  <c r="AD68" i="9"/>
  <c r="AD67" i="9" s="1"/>
  <c r="AB68" i="9"/>
  <c r="AB67" i="9" s="1"/>
  <c r="Z68" i="9"/>
  <c r="X68" i="9"/>
  <c r="X67" i="9" s="1"/>
  <c r="V68" i="9"/>
  <c r="V67" i="9" s="1"/>
  <c r="T68" i="9"/>
  <c r="T67" i="9" s="1"/>
  <c r="S68" i="9"/>
  <c r="R68" i="9"/>
  <c r="R67" i="9" s="1"/>
  <c r="Q68" i="9"/>
  <c r="Q67" i="9" s="1"/>
  <c r="P68" i="9"/>
  <c r="P67" i="9" s="1"/>
  <c r="O68" i="9"/>
  <c r="O67" i="9" s="1"/>
  <c r="N68" i="9"/>
  <c r="N67" i="9" s="1"/>
  <c r="M68" i="9"/>
  <c r="L68" i="9"/>
  <c r="L67" i="9" s="1"/>
  <c r="K68" i="9"/>
  <c r="K67" i="9" s="1"/>
  <c r="J68" i="9"/>
  <c r="J67" i="9" s="1"/>
  <c r="I68" i="9"/>
  <c r="I67" i="9" s="1"/>
  <c r="H68" i="9"/>
  <c r="H67" i="9" s="1"/>
  <c r="Z67" i="9"/>
  <c r="S67" i="9"/>
  <c r="M67" i="9"/>
  <c r="D66" i="9"/>
  <c r="C66" i="9"/>
  <c r="B66" i="9"/>
  <c r="E65" i="9"/>
  <c r="D65" i="9" s="1"/>
  <c r="C65" i="9"/>
  <c r="B65" i="9"/>
  <c r="F65" i="9" s="1"/>
  <c r="F62" i="9" s="1"/>
  <c r="D64" i="9"/>
  <c r="C64" i="9"/>
  <c r="B64" i="9"/>
  <c r="D63" i="9"/>
  <c r="C63" i="9"/>
  <c r="B63" i="9"/>
  <c r="AD62" i="9"/>
  <c r="AD61" i="9" s="1"/>
  <c r="AB62" i="9"/>
  <c r="AB61" i="9" s="1"/>
  <c r="Z62" i="9"/>
  <c r="Z61" i="9" s="1"/>
  <c r="X62" i="9"/>
  <c r="V62" i="9"/>
  <c r="V61" i="9" s="1"/>
  <c r="T62" i="9"/>
  <c r="S62" i="9"/>
  <c r="S61" i="9" s="1"/>
  <c r="R62" i="9"/>
  <c r="Q62" i="9"/>
  <c r="Q61" i="9" s="1"/>
  <c r="P62" i="9"/>
  <c r="P61" i="9" s="1"/>
  <c r="O62" i="9"/>
  <c r="O61" i="9" s="1"/>
  <c r="N62" i="9"/>
  <c r="M62" i="9"/>
  <c r="M61" i="9" s="1"/>
  <c r="L62" i="9"/>
  <c r="K62" i="9"/>
  <c r="K61" i="9" s="1"/>
  <c r="J62" i="9"/>
  <c r="I62" i="9"/>
  <c r="I61" i="9" s="1"/>
  <c r="H62" i="9"/>
  <c r="H61" i="9" s="1"/>
  <c r="E62" i="9"/>
  <c r="D62" i="9" s="1"/>
  <c r="X61" i="9"/>
  <c r="T61" i="9"/>
  <c r="R61" i="9"/>
  <c r="N61" i="9"/>
  <c r="L61" i="9"/>
  <c r="J61" i="9"/>
  <c r="D60" i="9"/>
  <c r="C60" i="9"/>
  <c r="B60" i="9"/>
  <c r="E59" i="9"/>
  <c r="E56" i="9" s="1"/>
  <c r="D56" i="9" s="1"/>
  <c r="C59" i="9"/>
  <c r="B59" i="9"/>
  <c r="D58" i="9"/>
  <c r="C58" i="9"/>
  <c r="B58" i="9"/>
  <c r="D57" i="9"/>
  <c r="C57" i="9"/>
  <c r="B57" i="9"/>
  <c r="AD56" i="9"/>
  <c r="AD55" i="9" s="1"/>
  <c r="AB56" i="9"/>
  <c r="AB55" i="9" s="1"/>
  <c r="Z56" i="9"/>
  <c r="Z55" i="9" s="1"/>
  <c r="X56" i="9"/>
  <c r="V56" i="9"/>
  <c r="V55" i="9" s="1"/>
  <c r="T56" i="9"/>
  <c r="T55" i="9" s="1"/>
  <c r="S56" i="9"/>
  <c r="S55" i="9" s="1"/>
  <c r="R56" i="9"/>
  <c r="R55" i="9" s="1"/>
  <c r="Q56" i="9"/>
  <c r="Q55" i="9" s="1"/>
  <c r="P56" i="9"/>
  <c r="P55" i="9" s="1"/>
  <c r="O56" i="9"/>
  <c r="O55" i="9" s="1"/>
  <c r="N56" i="9"/>
  <c r="M56" i="9"/>
  <c r="M55" i="9" s="1"/>
  <c r="L56" i="9"/>
  <c r="L55" i="9" s="1"/>
  <c r="K56" i="9"/>
  <c r="K55" i="9" s="1"/>
  <c r="J56" i="9"/>
  <c r="J55" i="9" s="1"/>
  <c r="I56" i="9"/>
  <c r="I55" i="9" s="1"/>
  <c r="H56" i="9"/>
  <c r="H55" i="9" s="1"/>
  <c r="X55" i="9"/>
  <c r="N55" i="9"/>
  <c r="D54" i="9"/>
  <c r="C54" i="9"/>
  <c r="B54" i="9"/>
  <c r="B36" i="9" s="1"/>
  <c r="AD50" i="9"/>
  <c r="AD49" i="9" s="1"/>
  <c r="E53" i="9"/>
  <c r="E50" i="9" s="1"/>
  <c r="D50" i="9" s="1"/>
  <c r="C53" i="9"/>
  <c r="D52" i="9"/>
  <c r="C52" i="9"/>
  <c r="B52" i="9"/>
  <c r="D51" i="9"/>
  <c r="C51" i="9"/>
  <c r="C50" i="9" s="1"/>
  <c r="C49" i="9" s="1"/>
  <c r="B51" i="9"/>
  <c r="AB50" i="9"/>
  <c r="AB49" i="9" s="1"/>
  <c r="Z50" i="9"/>
  <c r="Z49" i="9" s="1"/>
  <c r="X50" i="9"/>
  <c r="X49" i="9" s="1"/>
  <c r="V50" i="9"/>
  <c r="V49" i="9" s="1"/>
  <c r="T50" i="9"/>
  <c r="T49" i="9" s="1"/>
  <c r="S50" i="9"/>
  <c r="S49" i="9" s="1"/>
  <c r="R50" i="9"/>
  <c r="R49" i="9" s="1"/>
  <c r="Q50" i="9"/>
  <c r="Q49" i="9" s="1"/>
  <c r="P50" i="9"/>
  <c r="P49" i="9" s="1"/>
  <c r="O50" i="9"/>
  <c r="O49" i="9" s="1"/>
  <c r="N50" i="9"/>
  <c r="N49" i="9" s="1"/>
  <c r="M50" i="9"/>
  <c r="M49" i="9" s="1"/>
  <c r="L50" i="9"/>
  <c r="K50" i="9"/>
  <c r="K49" i="9" s="1"/>
  <c r="J50" i="9"/>
  <c r="J49" i="9" s="1"/>
  <c r="I50" i="9"/>
  <c r="I49" i="9" s="1"/>
  <c r="H50" i="9"/>
  <c r="H49" i="9" s="1"/>
  <c r="L49" i="9"/>
  <c r="D48" i="9"/>
  <c r="C48" i="9"/>
  <c r="B48" i="9"/>
  <c r="E47" i="9"/>
  <c r="D47" i="9" s="1"/>
  <c r="C47" i="9"/>
  <c r="B47" i="9"/>
  <c r="D46" i="9"/>
  <c r="C46" i="9"/>
  <c r="B46" i="9"/>
  <c r="D45" i="9"/>
  <c r="C45" i="9"/>
  <c r="B45" i="9"/>
  <c r="AD44" i="9"/>
  <c r="AB44" i="9"/>
  <c r="Z44" i="9"/>
  <c r="X44" i="9"/>
  <c r="V44" i="9"/>
  <c r="T44" i="9"/>
  <c r="S44" i="9"/>
  <c r="R44" i="9"/>
  <c r="Q44" i="9"/>
  <c r="P44" i="9"/>
  <c r="O44" i="9"/>
  <c r="N44" i="9"/>
  <c r="M44" i="9"/>
  <c r="L44" i="9"/>
  <c r="K44" i="9"/>
  <c r="J44" i="9"/>
  <c r="I44" i="9"/>
  <c r="H44" i="9"/>
  <c r="AD43" i="9"/>
  <c r="AB43" i="9"/>
  <c r="Z43" i="9"/>
  <c r="X43" i="9"/>
  <c r="V43" i="9"/>
  <c r="T43" i="9"/>
  <c r="S43" i="9"/>
  <c r="R43" i="9"/>
  <c r="Q43" i="9"/>
  <c r="P43" i="9"/>
  <c r="O43" i="9"/>
  <c r="N43" i="9"/>
  <c r="M43" i="9"/>
  <c r="L43" i="9"/>
  <c r="K43" i="9"/>
  <c r="J43" i="9"/>
  <c r="I43" i="9"/>
  <c r="H43" i="9"/>
  <c r="D42" i="9"/>
  <c r="C42" i="9"/>
  <c r="B42" i="9"/>
  <c r="E41" i="9"/>
  <c r="E38" i="9" s="1"/>
  <c r="C41" i="9"/>
  <c r="B41" i="9"/>
  <c r="D40" i="9"/>
  <c r="C40" i="9"/>
  <c r="B40" i="9"/>
  <c r="D39" i="9"/>
  <c r="C39" i="9"/>
  <c r="B39" i="9"/>
  <c r="B33" i="9" s="1"/>
  <c r="AD38" i="9"/>
  <c r="AD37" i="9" s="1"/>
  <c r="AB38" i="9"/>
  <c r="AB37" i="9" s="1"/>
  <c r="Z38" i="9"/>
  <c r="X38" i="9"/>
  <c r="X37" i="9" s="1"/>
  <c r="V38" i="9"/>
  <c r="T38" i="9"/>
  <c r="T37" i="9" s="1"/>
  <c r="S38" i="9"/>
  <c r="R38" i="9"/>
  <c r="R37" i="9" s="1"/>
  <c r="Q38" i="9"/>
  <c r="Q37" i="9" s="1"/>
  <c r="P38" i="9"/>
  <c r="P37" i="9" s="1"/>
  <c r="O38" i="9"/>
  <c r="N38" i="9"/>
  <c r="N37" i="9" s="1"/>
  <c r="M38" i="9"/>
  <c r="L38" i="9"/>
  <c r="L37" i="9" s="1"/>
  <c r="K38" i="9"/>
  <c r="J38" i="9"/>
  <c r="J37" i="9" s="1"/>
  <c r="I38" i="9"/>
  <c r="I37" i="9" s="1"/>
  <c r="H38" i="9"/>
  <c r="H37" i="9" s="1"/>
  <c r="Z37" i="9"/>
  <c r="V37" i="9"/>
  <c r="S37" i="9"/>
  <c r="O37" i="9"/>
  <c r="M37" i="9"/>
  <c r="K37" i="9"/>
  <c r="AD36" i="9"/>
  <c r="AB36" i="9"/>
  <c r="Z36" i="9"/>
  <c r="X36" i="9"/>
  <c r="V36" i="9"/>
  <c r="T36" i="9"/>
  <c r="S36" i="9"/>
  <c r="R36" i="9"/>
  <c r="P36" i="9"/>
  <c r="O36" i="9"/>
  <c r="N36" i="9"/>
  <c r="M36" i="9"/>
  <c r="L36" i="9"/>
  <c r="K36" i="9"/>
  <c r="J36" i="9"/>
  <c r="I36" i="9"/>
  <c r="H36" i="9"/>
  <c r="E36" i="9"/>
  <c r="D36" i="9" s="1"/>
  <c r="AD35" i="9"/>
  <c r="AB35" i="9"/>
  <c r="Z35" i="9"/>
  <c r="X35" i="9"/>
  <c r="V35" i="9"/>
  <c r="T35" i="9"/>
  <c r="S35" i="9"/>
  <c r="R35" i="9"/>
  <c r="Q35" i="9"/>
  <c r="P35" i="9"/>
  <c r="O35" i="9"/>
  <c r="N35" i="9"/>
  <c r="M35" i="9"/>
  <c r="L35" i="9"/>
  <c r="K35" i="9"/>
  <c r="J35" i="9"/>
  <c r="I35" i="9"/>
  <c r="H35" i="9"/>
  <c r="AD34" i="9"/>
  <c r="AB34" i="9"/>
  <c r="Z34" i="9"/>
  <c r="X34" i="9"/>
  <c r="V34" i="9"/>
  <c r="T34" i="9"/>
  <c r="S34" i="9"/>
  <c r="R34" i="9"/>
  <c r="Q34" i="9"/>
  <c r="P34" i="9"/>
  <c r="O34" i="9"/>
  <c r="O32" i="9" s="1"/>
  <c r="O31" i="9" s="1"/>
  <c r="N34" i="9"/>
  <c r="M34" i="9"/>
  <c r="L34" i="9"/>
  <c r="K34" i="9"/>
  <c r="J34" i="9"/>
  <c r="I34" i="9"/>
  <c r="H34" i="9"/>
  <c r="E34" i="9"/>
  <c r="D34" i="9" s="1"/>
  <c r="AD33" i="9"/>
  <c r="AB33" i="9"/>
  <c r="Z33" i="9"/>
  <c r="X33" i="9"/>
  <c r="V33" i="9"/>
  <c r="T33" i="9"/>
  <c r="T32" i="9" s="1"/>
  <c r="T31" i="9" s="1"/>
  <c r="S33" i="9"/>
  <c r="R33" i="9"/>
  <c r="Q33" i="9"/>
  <c r="P33" i="9"/>
  <c r="O33" i="9"/>
  <c r="N33" i="9"/>
  <c r="M33" i="9"/>
  <c r="L33" i="9"/>
  <c r="K33" i="9"/>
  <c r="J33" i="9"/>
  <c r="I33" i="9"/>
  <c r="H33" i="9"/>
  <c r="E33" i="9"/>
  <c r="D33" i="9"/>
  <c r="D30" i="9"/>
  <c r="B30" i="9"/>
  <c r="E29" i="9"/>
  <c r="D29" i="9" s="1"/>
  <c r="C29" i="9"/>
  <c r="C26" i="9" s="1"/>
  <c r="C25" i="9" s="1"/>
  <c r="B29" i="9"/>
  <c r="D28" i="9"/>
  <c r="B28" i="9"/>
  <c r="D27" i="9"/>
  <c r="B27" i="9"/>
  <c r="B26" i="9" s="1"/>
  <c r="B25" i="9" s="1"/>
  <c r="AD26" i="9"/>
  <c r="AD25" i="9" s="1"/>
  <c r="AB26" i="9"/>
  <c r="AB25" i="9" s="1"/>
  <c r="Z26" i="9"/>
  <c r="Z25" i="9" s="1"/>
  <c r="X26" i="9"/>
  <c r="V26" i="9"/>
  <c r="V25" i="9" s="1"/>
  <c r="T26" i="9"/>
  <c r="T25" i="9" s="1"/>
  <c r="S26" i="9"/>
  <c r="S25" i="9" s="1"/>
  <c r="R26" i="9"/>
  <c r="R25" i="9" s="1"/>
  <c r="Q26" i="9"/>
  <c r="Q25" i="9" s="1"/>
  <c r="P26" i="9"/>
  <c r="P25" i="9" s="1"/>
  <c r="O26" i="9"/>
  <c r="O25" i="9" s="1"/>
  <c r="N26" i="9"/>
  <c r="M26" i="9"/>
  <c r="M25" i="9" s="1"/>
  <c r="L26" i="9"/>
  <c r="L25" i="9" s="1"/>
  <c r="K26" i="9"/>
  <c r="K25" i="9" s="1"/>
  <c r="J26" i="9"/>
  <c r="J25" i="9" s="1"/>
  <c r="I26" i="9"/>
  <c r="I25" i="9" s="1"/>
  <c r="H26" i="9"/>
  <c r="H25" i="9" s="1"/>
  <c r="G26" i="9"/>
  <c r="F26" i="9"/>
  <c r="F25" i="9" s="1"/>
  <c r="X25" i="9"/>
  <c r="N25" i="9"/>
  <c r="D24" i="9"/>
  <c r="B24" i="9"/>
  <c r="E23" i="9"/>
  <c r="D23" i="9" s="1"/>
  <c r="C23" i="9"/>
  <c r="C20" i="9" s="1"/>
  <c r="C19" i="9" s="1"/>
  <c r="B23" i="9"/>
  <c r="D22" i="9"/>
  <c r="B22" i="9"/>
  <c r="D21" i="9"/>
  <c r="B21" i="9"/>
  <c r="B20" i="9" s="1"/>
  <c r="B19" i="9" s="1"/>
  <c r="AD20" i="9"/>
  <c r="AB20" i="9"/>
  <c r="Z20" i="9"/>
  <c r="Z19" i="9" s="1"/>
  <c r="X20" i="9"/>
  <c r="X19" i="9" s="1"/>
  <c r="V20" i="9"/>
  <c r="T20" i="9"/>
  <c r="S20" i="9"/>
  <c r="S19" i="9" s="1"/>
  <c r="R20" i="9"/>
  <c r="R19" i="9" s="1"/>
  <c r="Q20" i="9"/>
  <c r="P20" i="9"/>
  <c r="O20" i="9"/>
  <c r="O19" i="9" s="1"/>
  <c r="N20" i="9"/>
  <c r="N19" i="9" s="1"/>
  <c r="M20" i="9"/>
  <c r="L20" i="9"/>
  <c r="K20" i="9"/>
  <c r="K19" i="9" s="1"/>
  <c r="J20" i="9"/>
  <c r="J19" i="9" s="1"/>
  <c r="I20" i="9"/>
  <c r="H20" i="9"/>
  <c r="H19" i="9" s="1"/>
  <c r="G20" i="9"/>
  <c r="G19" i="9" s="1"/>
  <c r="F20" i="9"/>
  <c r="F19" i="9" s="1"/>
  <c r="AD19" i="9"/>
  <c r="AB19" i="9"/>
  <c r="V19" i="9"/>
  <c r="T19" i="9"/>
  <c r="Q19" i="9"/>
  <c r="P19" i="9"/>
  <c r="M19" i="9"/>
  <c r="L19" i="9"/>
  <c r="I19" i="9"/>
  <c r="D16" i="9"/>
  <c r="C16" i="9"/>
  <c r="B16" i="9"/>
  <c r="E15" i="9"/>
  <c r="E12" i="9" s="1"/>
  <c r="E11" i="9" s="1"/>
  <c r="C15" i="9"/>
  <c r="B15" i="9"/>
  <c r="D14" i="9"/>
  <c r="C14" i="9"/>
  <c r="B14" i="9"/>
  <c r="D13" i="9"/>
  <c r="C13" i="9"/>
  <c r="B13" i="9"/>
  <c r="AD12" i="9"/>
  <c r="AB12" i="9"/>
  <c r="Z12" i="9"/>
  <c r="Z11" i="9" s="1"/>
  <c r="X12" i="9"/>
  <c r="X11" i="9" s="1"/>
  <c r="V12" i="9"/>
  <c r="V11" i="9" s="1"/>
  <c r="T12" i="9"/>
  <c r="T11" i="9" s="1"/>
  <c r="S12" i="9"/>
  <c r="S11" i="9" s="1"/>
  <c r="R12" i="9"/>
  <c r="R11" i="9" s="1"/>
  <c r="Q12" i="9"/>
  <c r="P12" i="9"/>
  <c r="O12" i="9"/>
  <c r="O11" i="9" s="1"/>
  <c r="N12" i="9"/>
  <c r="N11" i="9" s="1"/>
  <c r="M12" i="9"/>
  <c r="M11" i="9" s="1"/>
  <c r="L12" i="9"/>
  <c r="L11" i="9" s="1"/>
  <c r="K12" i="9"/>
  <c r="K11" i="9" s="1"/>
  <c r="J12" i="9"/>
  <c r="J11" i="9" s="1"/>
  <c r="I12" i="9"/>
  <c r="H12" i="9"/>
  <c r="H11" i="9" s="1"/>
  <c r="G12" i="9"/>
  <c r="G11" i="9" s="1"/>
  <c r="F12" i="9"/>
  <c r="F11" i="9" s="1"/>
  <c r="AD11" i="9"/>
  <c r="AB11" i="9"/>
  <c r="Q11" i="9"/>
  <c r="P11" i="9"/>
  <c r="I11" i="9"/>
  <c r="I32" i="9" l="1"/>
  <c r="I31" i="9" s="1"/>
  <c r="M32" i="9"/>
  <c r="M31" i="9" s="1"/>
  <c r="Q32" i="9"/>
  <c r="Q31" i="9" s="1"/>
  <c r="B34" i="9"/>
  <c r="E44" i="9"/>
  <c r="G59" i="9"/>
  <c r="J32" i="9"/>
  <c r="J31" i="9" s="1"/>
  <c r="N32" i="9"/>
  <c r="N31" i="9" s="1"/>
  <c r="R32" i="9"/>
  <c r="R31" i="9" s="1"/>
  <c r="X32" i="9"/>
  <c r="X31" i="9" s="1"/>
  <c r="C38" i="9"/>
  <c r="C37" i="9" s="1"/>
  <c r="C68" i="9"/>
  <c r="C67" i="9" s="1"/>
  <c r="E26" i="9"/>
  <c r="E25" i="9" s="1"/>
  <c r="C56" i="9"/>
  <c r="C55" i="9" s="1"/>
  <c r="K74" i="9"/>
  <c r="K73" i="9" s="1"/>
  <c r="C74" i="9"/>
  <c r="C73" i="9" s="1"/>
  <c r="AB32" i="9"/>
  <c r="AB31" i="9" s="1"/>
  <c r="G70" i="9"/>
  <c r="B12" i="9"/>
  <c r="B11" i="9" s="1"/>
  <c r="C12" i="9"/>
  <c r="C11" i="9" s="1"/>
  <c r="D15" i="9"/>
  <c r="D12" i="9" s="1"/>
  <c r="D11" i="9" s="1"/>
  <c r="K32" i="9"/>
  <c r="K31" i="9" s="1"/>
  <c r="G47" i="9"/>
  <c r="E55" i="9"/>
  <c r="D55" i="9" s="1"/>
  <c r="E61" i="9"/>
  <c r="D61" i="9" s="1"/>
  <c r="B68" i="9"/>
  <c r="B67" i="9" s="1"/>
  <c r="G71" i="9"/>
  <c r="D26" i="9"/>
  <c r="D25" i="9" s="1"/>
  <c r="V32" i="9"/>
  <c r="V31" i="9" s="1"/>
  <c r="B62" i="9"/>
  <c r="B61" i="9" s="1"/>
  <c r="B74" i="9"/>
  <c r="B73" i="9" s="1"/>
  <c r="F73" i="9" s="1"/>
  <c r="E49" i="9"/>
  <c r="D49" i="9" s="1"/>
  <c r="B53" i="9"/>
  <c r="B35" i="9" s="1"/>
  <c r="B32" i="9" s="1"/>
  <c r="B31" i="9" s="1"/>
  <c r="B56" i="9"/>
  <c r="B55" i="9" s="1"/>
  <c r="F71" i="9"/>
  <c r="S32" i="9"/>
  <c r="S31" i="9" s="1"/>
  <c r="Z32" i="9"/>
  <c r="Z31" i="9" s="1"/>
  <c r="F47" i="9"/>
  <c r="F44" i="9" s="1"/>
  <c r="F43" i="9" s="1"/>
  <c r="B44" i="9"/>
  <c r="B43" i="9" s="1"/>
  <c r="G53" i="9"/>
  <c r="C62" i="9"/>
  <c r="C61" i="9" s="1"/>
  <c r="F75" i="9"/>
  <c r="AD32" i="9"/>
  <c r="AD31" i="9" s="1"/>
  <c r="H32" i="9"/>
  <c r="H31" i="9" s="1"/>
  <c r="L32" i="9"/>
  <c r="L31" i="9" s="1"/>
  <c r="P32" i="9"/>
  <c r="P31" i="9" s="1"/>
  <c r="B38" i="9"/>
  <c r="B37" i="9" s="1"/>
  <c r="G65" i="9"/>
  <c r="E68" i="9"/>
  <c r="E67" i="9" s="1"/>
  <c r="D71" i="9"/>
  <c r="G76" i="9"/>
  <c r="D38" i="9"/>
  <c r="F41" i="9"/>
  <c r="D41" i="9"/>
  <c r="E35" i="9"/>
  <c r="G50" i="9"/>
  <c r="G49" i="9" s="1"/>
  <c r="E20" i="9"/>
  <c r="E19" i="9" s="1"/>
  <c r="D20" i="9"/>
  <c r="D19" i="9" s="1"/>
  <c r="E37" i="9"/>
  <c r="G38" i="9"/>
  <c r="C33" i="9"/>
  <c r="C35" i="9"/>
  <c r="G41" i="9"/>
  <c r="C36" i="9"/>
  <c r="C44" i="9"/>
  <c r="C43" i="9" s="1"/>
  <c r="C34" i="9"/>
  <c r="F53" i="9"/>
  <c r="F50" i="9" s="1"/>
  <c r="F49" i="9" s="1"/>
  <c r="D53" i="9"/>
  <c r="F59" i="9"/>
  <c r="F56" i="9" s="1"/>
  <c r="F55" i="9" s="1"/>
  <c r="D59" i="9"/>
  <c r="F68" i="9"/>
  <c r="F74" i="9"/>
  <c r="F70" i="9"/>
  <c r="G73" i="9"/>
  <c r="G74" i="9"/>
  <c r="G75" i="9"/>
  <c r="F76" i="9"/>
  <c r="D75" i="9"/>
  <c r="D74" i="9" s="1"/>
  <c r="D73" i="9" s="1"/>
  <c r="C34" i="8"/>
  <c r="C273" i="8"/>
  <c r="C270" i="8" s="1"/>
  <c r="C108" i="12"/>
  <c r="C42" i="17"/>
  <c r="C54" i="2"/>
  <c r="F38" i="9" l="1"/>
  <c r="E43" i="9"/>
  <c r="D43" i="9" s="1"/>
  <c r="D44" i="9"/>
  <c r="G56" i="9"/>
  <c r="G55" i="9" s="1"/>
  <c r="G44" i="9"/>
  <c r="G43" i="9" s="1"/>
  <c r="F67" i="9"/>
  <c r="G67" i="9"/>
  <c r="D67" i="9"/>
  <c r="G68" i="9"/>
  <c r="G62" i="9"/>
  <c r="D68" i="9"/>
  <c r="B50" i="9"/>
  <c r="B49" i="9" s="1"/>
  <c r="C32" i="9"/>
  <c r="C31" i="9" s="1"/>
  <c r="F37" i="9"/>
  <c r="D37" i="9"/>
  <c r="G37" i="9"/>
  <c r="G35" i="9"/>
  <c r="E32" i="9"/>
  <c r="F35" i="9"/>
  <c r="F32" i="9" s="1"/>
  <c r="F31" i="9" s="1"/>
  <c r="D35" i="9"/>
  <c r="D59" i="11"/>
  <c r="B99" i="11"/>
  <c r="D99" i="11" l="1"/>
  <c r="E96" i="11"/>
  <c r="F99" i="11"/>
  <c r="F96" i="11" s="1"/>
  <c r="G99" i="11"/>
  <c r="G32" i="9"/>
  <c r="G31" i="9" s="1"/>
  <c r="E31" i="9"/>
  <c r="D31" i="9" s="1"/>
  <c r="D32" i="9"/>
  <c r="S50" i="11"/>
  <c r="S49" i="11" s="1"/>
  <c r="S70" i="11"/>
  <c r="E84" i="11"/>
  <c r="S64" i="11"/>
  <c r="E58" i="11" l="1"/>
  <c r="D58" i="11" s="1"/>
  <c r="D57" i="11" s="1"/>
  <c r="H66" i="18"/>
  <c r="I66" i="18"/>
  <c r="J66" i="18"/>
  <c r="K66" i="18"/>
  <c r="L66" i="18"/>
  <c r="M66" i="18"/>
  <c r="N66" i="18"/>
  <c r="O66" i="18"/>
  <c r="P66" i="18"/>
  <c r="Q66" i="18"/>
  <c r="H65" i="18"/>
  <c r="I65" i="18"/>
  <c r="J65" i="18"/>
  <c r="K65" i="18"/>
  <c r="L65" i="18"/>
  <c r="M65" i="18"/>
  <c r="N65" i="18"/>
  <c r="O65" i="18"/>
  <c r="P65" i="18"/>
  <c r="Q65" i="18"/>
  <c r="H64" i="18"/>
  <c r="I64" i="18"/>
  <c r="J64" i="18"/>
  <c r="K64" i="18"/>
  <c r="L64" i="18"/>
  <c r="M64" i="18"/>
  <c r="N64" i="18"/>
  <c r="O64" i="18"/>
  <c r="P64" i="18"/>
  <c r="Q64" i="18"/>
  <c r="M28" i="18"/>
  <c r="E57" i="11" l="1"/>
  <c r="I33" i="18"/>
  <c r="I156" i="18" s="1"/>
  <c r="J33" i="18"/>
  <c r="J156" i="18" s="1"/>
  <c r="K33" i="18"/>
  <c r="K156" i="18" s="1"/>
  <c r="L33" i="18"/>
  <c r="L156" i="18" s="1"/>
  <c r="M33" i="18"/>
  <c r="M156" i="18" s="1"/>
  <c r="N33" i="18"/>
  <c r="N156" i="18" s="1"/>
  <c r="O33" i="18"/>
  <c r="O156" i="18" s="1"/>
  <c r="P33" i="18"/>
  <c r="P156" i="18" s="1"/>
  <c r="Q33" i="18"/>
  <c r="Q156" i="18" s="1"/>
  <c r="R33" i="18"/>
  <c r="R156" i="18" s="1"/>
  <c r="S33" i="18"/>
  <c r="S156" i="18" s="1"/>
  <c r="T33" i="18"/>
  <c r="T156" i="18" s="1"/>
  <c r="U33" i="18"/>
  <c r="U156" i="18" s="1"/>
  <c r="V33" i="18"/>
  <c r="V156" i="18" s="1"/>
  <c r="W33" i="18"/>
  <c r="W156" i="18" s="1"/>
  <c r="X33" i="18"/>
  <c r="X156" i="18" s="1"/>
  <c r="Y33" i="18"/>
  <c r="Y156" i="18" s="1"/>
  <c r="Z33" i="18"/>
  <c r="Z156" i="18" s="1"/>
  <c r="AA33" i="18"/>
  <c r="AA156" i="18" s="1"/>
  <c r="AB33" i="18"/>
  <c r="AB156" i="18" s="1"/>
  <c r="AC33" i="18"/>
  <c r="AC156" i="18" s="1"/>
  <c r="AD33" i="18"/>
  <c r="AD156" i="18" s="1"/>
  <c r="AE33" i="18"/>
  <c r="AE156" i="18" s="1"/>
  <c r="H33" i="18"/>
  <c r="H156" i="18" s="1"/>
  <c r="I28" i="18" l="1"/>
  <c r="J28" i="18"/>
  <c r="K28" i="18"/>
  <c r="L28" i="18"/>
  <c r="N28" i="18"/>
  <c r="O28" i="18"/>
  <c r="P28" i="18"/>
  <c r="Q28" i="18"/>
  <c r="R28" i="18"/>
  <c r="S28" i="18"/>
  <c r="T28" i="18"/>
  <c r="U28" i="18"/>
  <c r="V28" i="18"/>
  <c r="W28" i="18"/>
  <c r="X28" i="18"/>
  <c r="Y28" i="18"/>
  <c r="Z28" i="18"/>
  <c r="AA28" i="18"/>
  <c r="AB28" i="18"/>
  <c r="AC28" i="18"/>
  <c r="AD28" i="18"/>
  <c r="AE28" i="18"/>
  <c r="H28" i="18"/>
  <c r="E29" i="18"/>
  <c r="D29" i="18" s="1"/>
  <c r="B29" i="18"/>
  <c r="I24" i="18"/>
  <c r="J24" i="18"/>
  <c r="K24" i="18"/>
  <c r="L24" i="18"/>
  <c r="M24" i="18"/>
  <c r="N24" i="18"/>
  <c r="O24" i="18"/>
  <c r="P24" i="18"/>
  <c r="Q24" i="18"/>
  <c r="R24" i="18"/>
  <c r="S24" i="18"/>
  <c r="T24" i="18"/>
  <c r="U24" i="18"/>
  <c r="V24" i="18"/>
  <c r="W24" i="18"/>
  <c r="X24" i="18"/>
  <c r="Y24" i="18"/>
  <c r="Z24" i="18"/>
  <c r="AA24" i="18"/>
  <c r="AB24" i="18"/>
  <c r="AC24" i="18"/>
  <c r="AD24" i="18"/>
  <c r="AE24" i="18"/>
  <c r="H24" i="18"/>
  <c r="E25" i="18"/>
  <c r="D25" i="18" s="1"/>
  <c r="B25" i="18"/>
  <c r="I20" i="18"/>
  <c r="J20" i="18"/>
  <c r="K20" i="18"/>
  <c r="L20" i="18"/>
  <c r="M20" i="18"/>
  <c r="N20" i="18"/>
  <c r="O20" i="18"/>
  <c r="P20" i="18"/>
  <c r="Q20" i="18"/>
  <c r="R20" i="18"/>
  <c r="S20" i="18"/>
  <c r="T20" i="18"/>
  <c r="U20" i="18"/>
  <c r="V20" i="18"/>
  <c r="W20" i="18"/>
  <c r="X20" i="18"/>
  <c r="Y20" i="18"/>
  <c r="Z20" i="18"/>
  <c r="AA20" i="18"/>
  <c r="AB20" i="18"/>
  <c r="AC20" i="18"/>
  <c r="AD20" i="18"/>
  <c r="AE20" i="18"/>
  <c r="H20" i="18"/>
  <c r="E21" i="18"/>
  <c r="B21" i="18"/>
  <c r="C133" i="18"/>
  <c r="C125" i="18"/>
  <c r="C126" i="18"/>
  <c r="C124" i="18"/>
  <c r="C120" i="18"/>
  <c r="C121" i="18"/>
  <c r="C119" i="18"/>
  <c r="C115" i="18"/>
  <c r="C116" i="18"/>
  <c r="C114" i="18"/>
  <c r="C110" i="18"/>
  <c r="C111" i="18"/>
  <c r="C109" i="18"/>
  <c r="C105" i="18"/>
  <c r="C106" i="18"/>
  <c r="C104" i="18"/>
  <c r="C100" i="18"/>
  <c r="C101" i="18"/>
  <c r="C99" i="18"/>
  <c r="C95" i="18"/>
  <c r="C96" i="18"/>
  <c r="C94" i="18"/>
  <c r="C90" i="18"/>
  <c r="C91" i="18"/>
  <c r="C89" i="18"/>
  <c r="C85" i="18"/>
  <c r="C86" i="18"/>
  <c r="C84" i="18"/>
  <c r="C80" i="18"/>
  <c r="C81" i="18"/>
  <c r="C79" i="18"/>
  <c r="C60" i="18"/>
  <c r="C61" i="18"/>
  <c r="C59" i="18"/>
  <c r="C28" i="18"/>
  <c r="C20" i="18"/>
  <c r="C33" i="18" l="1"/>
  <c r="C156" i="18" s="1"/>
  <c r="G29" i="18"/>
  <c r="C66" i="18"/>
  <c r="C64" i="18"/>
  <c r="C65" i="18"/>
  <c r="B33" i="18"/>
  <c r="F29" i="18"/>
  <c r="F25" i="18"/>
  <c r="D21" i="18"/>
  <c r="E33" i="18"/>
  <c r="E156" i="18" s="1"/>
  <c r="C24" i="18"/>
  <c r="G25" i="18"/>
  <c r="G21" i="18"/>
  <c r="F21" i="18"/>
  <c r="AD136" i="14"/>
  <c r="S136" i="14"/>
  <c r="R136" i="14"/>
  <c r="AD135" i="14"/>
  <c r="E135" i="14"/>
  <c r="C135" i="14"/>
  <c r="S138" i="14"/>
  <c r="E138" i="14" s="1"/>
  <c r="D138" i="14" s="1"/>
  <c r="R138" i="14"/>
  <c r="C138" i="14" s="1"/>
  <c r="V100" i="14"/>
  <c r="E100" i="14"/>
  <c r="R100" i="14"/>
  <c r="Z100" i="14"/>
  <c r="C325" i="14"/>
  <c r="E330" i="14"/>
  <c r="X330" i="14"/>
  <c r="R330" i="14"/>
  <c r="C330" i="14" s="1"/>
  <c r="X317" i="14"/>
  <c r="N317" i="14"/>
  <c r="C317" i="14" s="1"/>
  <c r="AD318" i="14"/>
  <c r="P318" i="14"/>
  <c r="E319" i="14"/>
  <c r="X319" i="14"/>
  <c r="P319" i="14"/>
  <c r="C307" i="14"/>
  <c r="V307" i="14"/>
  <c r="R295" i="14"/>
  <c r="C295" i="14" s="1"/>
  <c r="Z295" i="14"/>
  <c r="Z283" i="14"/>
  <c r="R283" i="14"/>
  <c r="AH135" i="14" l="1"/>
  <c r="G156" i="18"/>
  <c r="B156" i="18"/>
  <c r="F156" i="18" s="1"/>
  <c r="G33" i="18"/>
  <c r="F33" i="18"/>
  <c r="D33" i="18"/>
  <c r="D156" i="18" s="1"/>
  <c r="X250" i="14"/>
  <c r="R250" i="14"/>
  <c r="C250" i="14" s="1"/>
  <c r="Z244" i="14"/>
  <c r="R244" i="14"/>
  <c r="C244" i="14" s="1"/>
  <c r="C220" i="14"/>
  <c r="C214" i="14"/>
  <c r="C196" i="14"/>
  <c r="V181" i="14"/>
  <c r="E181" i="14"/>
  <c r="X181" i="14"/>
  <c r="R181" i="14"/>
  <c r="C181" i="14" s="1"/>
  <c r="D181" i="14" s="1"/>
  <c r="Z182" i="14"/>
  <c r="R182" i="14"/>
  <c r="C182" i="14" s="1"/>
  <c r="AD183" i="14"/>
  <c r="C183" i="14"/>
  <c r="X143" i="14"/>
  <c r="E143" i="14"/>
  <c r="R143" i="14"/>
  <c r="C143" i="14" s="1"/>
  <c r="AD123" i="14"/>
  <c r="C117" i="14"/>
  <c r="T92" i="14"/>
  <c r="R92" i="14"/>
  <c r="C92" i="14" s="1"/>
  <c r="C180" i="14" l="1"/>
  <c r="S76" i="14"/>
  <c r="E76" i="14" s="1"/>
  <c r="R76" i="14"/>
  <c r="C76" i="14" s="1"/>
  <c r="AD76" i="14"/>
  <c r="R70" i="14"/>
  <c r="AD70" i="14"/>
  <c r="AD46" i="14"/>
  <c r="C46" i="14"/>
  <c r="C41" i="14"/>
  <c r="B41" i="14"/>
  <c r="E41" i="14"/>
  <c r="R21" i="14"/>
  <c r="C21" i="14" s="1"/>
  <c r="F41" i="14" l="1"/>
  <c r="D41" i="14"/>
  <c r="G41" i="14"/>
  <c r="B11" i="5"/>
  <c r="I126" i="21" l="1"/>
  <c r="J126" i="21"/>
  <c r="K126" i="21"/>
  <c r="L126" i="21"/>
  <c r="M126" i="21"/>
  <c r="N126" i="21"/>
  <c r="O126" i="21"/>
  <c r="P126" i="21"/>
  <c r="Q126" i="21"/>
  <c r="R126" i="21"/>
  <c r="S126" i="21"/>
  <c r="T126" i="21"/>
  <c r="U126" i="21"/>
  <c r="V126" i="21"/>
  <c r="W126" i="21"/>
  <c r="X126" i="21"/>
  <c r="Y126" i="21"/>
  <c r="Z126" i="21"/>
  <c r="AA126" i="21"/>
  <c r="AB126" i="21"/>
  <c r="AC126" i="21"/>
  <c r="AD126" i="21"/>
  <c r="AE126" i="21"/>
  <c r="I127" i="21"/>
  <c r="J127" i="21"/>
  <c r="K127" i="21"/>
  <c r="L127" i="21"/>
  <c r="M127" i="21"/>
  <c r="N127" i="21"/>
  <c r="O127" i="21"/>
  <c r="P127" i="21"/>
  <c r="Q127" i="21"/>
  <c r="R127" i="21"/>
  <c r="S127" i="21"/>
  <c r="T127" i="21"/>
  <c r="U127" i="21"/>
  <c r="V127" i="21"/>
  <c r="W127" i="21"/>
  <c r="X127" i="21"/>
  <c r="Y127" i="21"/>
  <c r="Z127" i="21"/>
  <c r="AA127" i="21"/>
  <c r="AB127" i="21"/>
  <c r="AC127" i="21"/>
  <c r="AD127" i="21"/>
  <c r="AE127" i="21"/>
  <c r="I128" i="21"/>
  <c r="J128" i="21"/>
  <c r="K128" i="21"/>
  <c r="L128" i="21"/>
  <c r="M128" i="21"/>
  <c r="N128" i="21"/>
  <c r="O128" i="21"/>
  <c r="P128" i="21"/>
  <c r="Q128" i="21"/>
  <c r="R128" i="21"/>
  <c r="S128" i="21"/>
  <c r="T128" i="21"/>
  <c r="U128" i="21"/>
  <c r="V128" i="21"/>
  <c r="W128" i="21"/>
  <c r="X128" i="21"/>
  <c r="Y128" i="21"/>
  <c r="Z128" i="21"/>
  <c r="AA128" i="21"/>
  <c r="AB128" i="21"/>
  <c r="AC128" i="21"/>
  <c r="AD128" i="21"/>
  <c r="AE128" i="21"/>
  <c r="I129" i="21"/>
  <c r="J129" i="21"/>
  <c r="K129" i="21"/>
  <c r="L129" i="21"/>
  <c r="M129" i="21"/>
  <c r="N129" i="21"/>
  <c r="O129" i="21"/>
  <c r="P129" i="21"/>
  <c r="Q129" i="21"/>
  <c r="R129" i="21"/>
  <c r="S129" i="21"/>
  <c r="T129" i="21"/>
  <c r="U129" i="21"/>
  <c r="V129" i="21"/>
  <c r="W129" i="21"/>
  <c r="X129" i="21"/>
  <c r="Y129" i="21"/>
  <c r="Z129" i="21"/>
  <c r="AA129" i="21"/>
  <c r="AB129" i="21"/>
  <c r="AC129" i="21"/>
  <c r="AD129" i="21"/>
  <c r="AE129" i="21"/>
  <c r="H127" i="21"/>
  <c r="H128" i="21"/>
  <c r="H129" i="21"/>
  <c r="H126" i="21"/>
  <c r="C128" i="21"/>
  <c r="C129" i="21"/>
  <c r="C126" i="21"/>
  <c r="E145" i="21"/>
  <c r="D145" i="21" s="1"/>
  <c r="D143" i="21" s="1"/>
  <c r="C143" i="21"/>
  <c r="B145" i="21"/>
  <c r="B143" i="21" s="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E143" i="21" l="1"/>
  <c r="F143" i="21" s="1"/>
  <c r="F145" i="21"/>
  <c r="G145" i="21"/>
  <c r="C127" i="21"/>
  <c r="C19" i="21"/>
  <c r="G143" i="21" l="1"/>
  <c r="C17" i="21"/>
  <c r="C20" i="21"/>
  <c r="E20" i="4" l="1"/>
  <c r="D20" i="4"/>
  <c r="Q49" i="4"/>
  <c r="S50" i="4"/>
  <c r="E50" i="4" s="1"/>
  <c r="P49" i="4" l="1"/>
  <c r="B51" i="4"/>
  <c r="B63" i="4" s="1"/>
  <c r="C51" i="4"/>
  <c r="C63" i="4" s="1"/>
  <c r="D51" i="4"/>
  <c r="D63" i="4" s="1"/>
  <c r="E51" i="4"/>
  <c r="E63" i="4" s="1"/>
  <c r="V33" i="4"/>
  <c r="V32" i="4" s="1"/>
  <c r="E49" i="4" l="1"/>
  <c r="C49" i="4"/>
  <c r="F63" i="4"/>
  <c r="D49" i="4"/>
  <c r="F51" i="4"/>
  <c r="G51" i="4"/>
  <c r="G63" i="4" s="1"/>
  <c r="E30" i="4"/>
  <c r="AA30" i="4"/>
  <c r="AA29" i="4" s="1"/>
  <c r="AB30" i="4"/>
  <c r="AB29" i="4" s="1"/>
  <c r="AC30" i="4"/>
  <c r="AC29" i="4" s="1"/>
  <c r="AD30" i="4"/>
  <c r="AD29" i="4" s="1"/>
  <c r="AE30" i="4"/>
  <c r="AE29" i="4" s="1"/>
  <c r="Z30" i="4"/>
  <c r="Z29" i="4" s="1"/>
  <c r="Y30" i="4"/>
  <c r="Y29" i="4" s="1"/>
  <c r="X30" i="4"/>
  <c r="X29" i="4" s="1"/>
  <c r="W30" i="4"/>
  <c r="W29" i="4" s="1"/>
  <c r="U30" i="4"/>
  <c r="U29" i="4" s="1"/>
  <c r="V30" i="4"/>
  <c r="V29" i="4" s="1"/>
  <c r="T30" i="4"/>
  <c r="T29" i="4" s="1"/>
  <c r="S30" i="4"/>
  <c r="S29" i="4" s="1"/>
  <c r="R30" i="4"/>
  <c r="R29" i="4" s="1"/>
  <c r="E102" i="17" l="1"/>
  <c r="C101" i="17"/>
  <c r="C102" i="17"/>
  <c r="C103" i="17"/>
  <c r="C43" i="17"/>
  <c r="C44" i="17"/>
  <c r="C41" i="17"/>
  <c r="C97" i="17"/>
  <c r="C91" i="17"/>
  <c r="Q105" i="12" l="1"/>
  <c r="P31" i="12"/>
  <c r="T18" i="6" l="1"/>
  <c r="Q116" i="6"/>
  <c r="E19" i="6"/>
  <c r="B93" i="11" l="1"/>
  <c r="B87" i="11"/>
  <c r="B81" i="11" s="1"/>
  <c r="F81" i="11" s="1"/>
  <c r="E89" i="22" l="1"/>
  <c r="C89" i="22"/>
  <c r="F87" i="22"/>
  <c r="AE84" i="22"/>
  <c r="AC84" i="22"/>
  <c r="AA84" i="22"/>
  <c r="Y84" i="22"/>
  <c r="X84" i="22"/>
  <c r="W84" i="22"/>
  <c r="U84" i="22"/>
  <c r="O84" i="22"/>
  <c r="N84" i="22"/>
  <c r="K84" i="22"/>
  <c r="J84" i="22"/>
  <c r="F84" i="22"/>
  <c r="G89" i="22" l="1"/>
  <c r="D89" i="22"/>
  <c r="F85" i="22"/>
  <c r="F89" i="22"/>
  <c r="E82" i="22"/>
  <c r="D82" i="22" s="1"/>
  <c r="C82" i="22"/>
  <c r="B82" i="22"/>
  <c r="E81" i="22"/>
  <c r="D81" i="22" s="1"/>
  <c r="C81" i="22"/>
  <c r="B81" i="22"/>
  <c r="G80" i="22"/>
  <c r="F80" i="22"/>
  <c r="E79" i="22"/>
  <c r="D79" i="22" s="1"/>
  <c r="C79" i="22"/>
  <c r="B79" i="22"/>
  <c r="E78" i="22"/>
  <c r="D78" i="22" s="1"/>
  <c r="C78" i="22"/>
  <c r="B78" i="22"/>
  <c r="AE77" i="22"/>
  <c r="AC77" i="22"/>
  <c r="AA77" i="22"/>
  <c r="Y77" i="22"/>
  <c r="X77" i="22"/>
  <c r="W77" i="22"/>
  <c r="S77" i="22"/>
  <c r="R77" i="22"/>
  <c r="O77" i="22"/>
  <c r="N77" i="22"/>
  <c r="K77" i="22"/>
  <c r="J77" i="22"/>
  <c r="G77" i="22"/>
  <c r="F77" i="22"/>
  <c r="E75" i="22"/>
  <c r="C75" i="22"/>
  <c r="B75" i="22"/>
  <c r="F70" i="22"/>
  <c r="G70" i="22"/>
  <c r="J70" i="22"/>
  <c r="K70" i="22"/>
  <c r="N70" i="22"/>
  <c r="O70" i="22"/>
  <c r="T70" i="22"/>
  <c r="U70" i="22"/>
  <c r="W70" i="22"/>
  <c r="X70" i="22"/>
  <c r="Y70" i="22"/>
  <c r="AA70" i="22"/>
  <c r="AB70" i="22"/>
  <c r="AC70" i="22"/>
  <c r="AE70" i="22"/>
  <c r="B71" i="22"/>
  <c r="C71" i="22"/>
  <c r="E71" i="22"/>
  <c r="B72" i="22"/>
  <c r="C72" i="22"/>
  <c r="E72" i="22"/>
  <c r="F73" i="22"/>
  <c r="G73" i="22"/>
  <c r="B74" i="22"/>
  <c r="C74" i="22"/>
  <c r="E74" i="22"/>
  <c r="F64" i="22"/>
  <c r="G64" i="22"/>
  <c r="J64" i="22"/>
  <c r="K64" i="22"/>
  <c r="L64" i="22"/>
  <c r="M64" i="22"/>
  <c r="N64" i="22"/>
  <c r="O64" i="22"/>
  <c r="R64" i="22"/>
  <c r="T64" i="22"/>
  <c r="U64" i="22"/>
  <c r="W64" i="22"/>
  <c r="X64" i="22"/>
  <c r="Y64" i="22"/>
  <c r="AA64" i="22"/>
  <c r="AB64" i="22"/>
  <c r="AC64" i="22"/>
  <c r="AE64" i="22"/>
  <c r="B65" i="22"/>
  <c r="C65" i="22"/>
  <c r="E65" i="22"/>
  <c r="D65" i="22" s="1"/>
  <c r="B66" i="22"/>
  <c r="C66" i="22"/>
  <c r="E66" i="22"/>
  <c r="B68" i="22"/>
  <c r="C68" i="22"/>
  <c r="E68" i="22"/>
  <c r="G57" i="22"/>
  <c r="H57" i="22"/>
  <c r="I57" i="22"/>
  <c r="J57" i="22"/>
  <c r="K57" i="22"/>
  <c r="N57" i="22"/>
  <c r="O57" i="22"/>
  <c r="R57" i="22"/>
  <c r="S57" i="22"/>
  <c r="T57" i="22"/>
  <c r="U57" i="22"/>
  <c r="W57" i="22"/>
  <c r="X57" i="22"/>
  <c r="Y57" i="22"/>
  <c r="AA57" i="22"/>
  <c r="AC57" i="22"/>
  <c r="AE57" i="22"/>
  <c r="B58" i="22"/>
  <c r="C58" i="22"/>
  <c r="E58" i="22"/>
  <c r="D58" i="22" s="1"/>
  <c r="B59" i="22"/>
  <c r="C59" i="22"/>
  <c r="E59" i="22"/>
  <c r="D59" i="22" s="1"/>
  <c r="F60" i="22"/>
  <c r="G60" i="22"/>
  <c r="B61" i="22"/>
  <c r="C61" i="22"/>
  <c r="E61" i="22"/>
  <c r="D61" i="22" s="1"/>
  <c r="Q26" i="22"/>
  <c r="P26" i="22"/>
  <c r="D37" i="22"/>
  <c r="G38" i="22"/>
  <c r="D39" i="22"/>
  <c r="C40" i="22"/>
  <c r="G40" i="22" s="1"/>
  <c r="C36" i="22"/>
  <c r="G36" i="22" s="1"/>
  <c r="B36" i="22"/>
  <c r="F36" i="22" s="1"/>
  <c r="F39" i="22"/>
  <c r="V35" i="22"/>
  <c r="B40" i="22"/>
  <c r="F40" i="22" s="1"/>
  <c r="G39" i="22"/>
  <c r="F38" i="22"/>
  <c r="G37" i="22"/>
  <c r="F37" i="22"/>
  <c r="AE35" i="22"/>
  <c r="AD35" i="22"/>
  <c r="AC35" i="22"/>
  <c r="AB35" i="22"/>
  <c r="AA35" i="22"/>
  <c r="Y35" i="22"/>
  <c r="X35" i="22"/>
  <c r="W35" i="22"/>
  <c r="T35" i="22"/>
  <c r="Q35" i="22"/>
  <c r="P35" i="22"/>
  <c r="O35" i="22"/>
  <c r="N35" i="22"/>
  <c r="M35" i="22"/>
  <c r="L35" i="22"/>
  <c r="K35" i="22"/>
  <c r="J35" i="22"/>
  <c r="I35" i="22"/>
  <c r="H35" i="22"/>
  <c r="F35" i="22"/>
  <c r="F68" i="22" l="1"/>
  <c r="G81" i="22"/>
  <c r="F61" i="22"/>
  <c r="F66" i="22"/>
  <c r="G65" i="22"/>
  <c r="D40" i="22"/>
  <c r="D36" i="22"/>
  <c r="G75" i="22"/>
  <c r="G82" i="22"/>
  <c r="F72" i="22"/>
  <c r="F71" i="22"/>
  <c r="D71" i="22"/>
  <c r="D38" i="22"/>
  <c r="G59" i="22"/>
  <c r="G71" i="22"/>
  <c r="F78" i="22"/>
  <c r="F79" i="22"/>
  <c r="G61" i="22"/>
  <c r="F59" i="22"/>
  <c r="F74" i="22"/>
  <c r="D75" i="22"/>
  <c r="G78" i="22"/>
  <c r="F81" i="22"/>
  <c r="G79" i="22"/>
  <c r="F82" i="22"/>
  <c r="F75" i="22"/>
  <c r="D74" i="22"/>
  <c r="D72" i="22"/>
  <c r="G74" i="22"/>
  <c r="G72" i="22"/>
  <c r="D68" i="22"/>
  <c r="D66" i="22"/>
  <c r="F65" i="22"/>
  <c r="G68" i="22"/>
  <c r="G66" i="22"/>
  <c r="G58" i="22"/>
  <c r="F58" i="22"/>
  <c r="G35" i="22" l="1"/>
  <c r="D35" i="22"/>
  <c r="N133" i="8" l="1"/>
  <c r="I130" i="8" l="1"/>
  <c r="K130" i="8"/>
  <c r="M130" i="8"/>
  <c r="O130" i="8"/>
  <c r="Q130" i="8"/>
  <c r="S130" i="8"/>
  <c r="U130" i="8"/>
  <c r="W130" i="8"/>
  <c r="Y130" i="8"/>
  <c r="AA130" i="8"/>
  <c r="AC130" i="8"/>
  <c r="AE130" i="8"/>
  <c r="E133" i="8"/>
  <c r="D133" i="8" s="1"/>
  <c r="D130" i="8" s="1"/>
  <c r="H133" i="8"/>
  <c r="H130" i="8" s="1"/>
  <c r="J133" i="8"/>
  <c r="J130" i="8" s="1"/>
  <c r="L133" i="8"/>
  <c r="L130" i="8" s="1"/>
  <c r="N130" i="8"/>
  <c r="P133" i="8"/>
  <c r="P130" i="8" s="1"/>
  <c r="R133" i="8"/>
  <c r="R130" i="8" s="1"/>
  <c r="T130" i="8"/>
  <c r="V130" i="8"/>
  <c r="X130" i="8"/>
  <c r="Z130" i="8"/>
  <c r="AB130" i="8"/>
  <c r="AD130" i="8"/>
  <c r="H138" i="8"/>
  <c r="I138" i="8"/>
  <c r="J138" i="8"/>
  <c r="K138" i="8"/>
  <c r="L138" i="8"/>
  <c r="M138" i="8"/>
  <c r="N138" i="8"/>
  <c r="O138" i="8"/>
  <c r="P138" i="8"/>
  <c r="Q138" i="8"/>
  <c r="R138" i="8"/>
  <c r="S138" i="8"/>
  <c r="T138" i="8"/>
  <c r="U138" i="8"/>
  <c r="V138" i="8"/>
  <c r="W138" i="8"/>
  <c r="X138" i="8"/>
  <c r="Y138" i="8"/>
  <c r="Z138" i="8"/>
  <c r="AA138" i="8"/>
  <c r="AB138" i="8"/>
  <c r="AC138" i="8"/>
  <c r="AD138" i="8"/>
  <c r="AE138" i="8"/>
  <c r="B139" i="8"/>
  <c r="C139" i="8"/>
  <c r="E139" i="8"/>
  <c r="D139" i="8" s="1"/>
  <c r="B140" i="8"/>
  <c r="C140" i="8"/>
  <c r="E140" i="8"/>
  <c r="B141" i="8"/>
  <c r="C141" i="8"/>
  <c r="E141" i="8"/>
  <c r="B142" i="8"/>
  <c r="C142" i="8"/>
  <c r="E142" i="8"/>
  <c r="D142" i="8" s="1"/>
  <c r="B152" i="8"/>
  <c r="D152" i="8"/>
  <c r="E152" i="8"/>
  <c r="H152" i="8"/>
  <c r="H146" i="8" s="1"/>
  <c r="I152" i="8"/>
  <c r="I146" i="8" s="1"/>
  <c r="J152" i="8"/>
  <c r="K152" i="8"/>
  <c r="L152" i="8"/>
  <c r="L146" i="8" s="1"/>
  <c r="M152" i="8"/>
  <c r="M146" i="8" s="1"/>
  <c r="N152" i="8"/>
  <c r="O152" i="8"/>
  <c r="P152" i="8"/>
  <c r="P146" i="8" s="1"/>
  <c r="Q152" i="8"/>
  <c r="Q146" i="8" s="1"/>
  <c r="R152" i="8"/>
  <c r="S152" i="8"/>
  <c r="S146" i="8" s="1"/>
  <c r="T152" i="8"/>
  <c r="T146" i="8" s="1"/>
  <c r="U152" i="8"/>
  <c r="U146" i="8" s="1"/>
  <c r="V152" i="8"/>
  <c r="W152" i="8"/>
  <c r="X152" i="8"/>
  <c r="X146" i="8" s="1"/>
  <c r="Y152" i="8"/>
  <c r="Y146" i="8" s="1"/>
  <c r="Z152" i="8"/>
  <c r="AA152" i="8"/>
  <c r="AB152" i="8"/>
  <c r="AB146" i="8" s="1"/>
  <c r="AC152" i="8"/>
  <c r="AC146" i="8" s="1"/>
  <c r="AD152" i="8"/>
  <c r="AE152" i="8"/>
  <c r="AE146" i="8" s="1"/>
  <c r="H154" i="8"/>
  <c r="H148" i="8" s="1"/>
  <c r="I154" i="8"/>
  <c r="J154" i="8"/>
  <c r="J148" i="8" s="1"/>
  <c r="K154" i="8"/>
  <c r="K148" i="8" s="1"/>
  <c r="L154" i="8"/>
  <c r="L148" i="8" s="1"/>
  <c r="M154" i="8"/>
  <c r="M148" i="8" s="1"/>
  <c r="N154" i="8"/>
  <c r="N148" i="8" s="1"/>
  <c r="O154" i="8"/>
  <c r="O148" i="8" s="1"/>
  <c r="P154" i="8"/>
  <c r="P148" i="8" s="1"/>
  <c r="Q154" i="8"/>
  <c r="R154" i="8"/>
  <c r="R148" i="8" s="1"/>
  <c r="S154" i="8"/>
  <c r="S148" i="8" s="1"/>
  <c r="T154" i="8"/>
  <c r="T148" i="8" s="1"/>
  <c r="U154" i="8"/>
  <c r="V154" i="8"/>
  <c r="V148" i="8" s="1"/>
  <c r="W154" i="8"/>
  <c r="W148" i="8" s="1"/>
  <c r="X154" i="8"/>
  <c r="X148" i="8" s="1"/>
  <c r="Y154" i="8"/>
  <c r="Y148" i="8" s="1"/>
  <c r="Z154" i="8"/>
  <c r="Z148" i="8" s="1"/>
  <c r="AA154" i="8"/>
  <c r="AA148" i="8" s="1"/>
  <c r="AB154" i="8"/>
  <c r="AB148" i="8" s="1"/>
  <c r="AC154" i="8"/>
  <c r="AD154" i="8"/>
  <c r="AD148" i="8" s="1"/>
  <c r="AE154" i="8"/>
  <c r="AE148" i="8" s="1"/>
  <c r="B155" i="8"/>
  <c r="D155" i="8"/>
  <c r="H155" i="8"/>
  <c r="H149" i="8" s="1"/>
  <c r="I155" i="8"/>
  <c r="I149" i="8" s="1"/>
  <c r="J155" i="8"/>
  <c r="J149" i="8" s="1"/>
  <c r="K155" i="8"/>
  <c r="K149" i="8" s="1"/>
  <c r="L155" i="8"/>
  <c r="L149" i="8" s="1"/>
  <c r="M155" i="8"/>
  <c r="M149" i="8" s="1"/>
  <c r="N155" i="8"/>
  <c r="N149" i="8" s="1"/>
  <c r="O155" i="8"/>
  <c r="O149" i="8" s="1"/>
  <c r="P155" i="8"/>
  <c r="P149" i="8" s="1"/>
  <c r="Q155" i="8"/>
  <c r="Q149" i="8" s="1"/>
  <c r="R155" i="8"/>
  <c r="R149" i="8" s="1"/>
  <c r="S155" i="8"/>
  <c r="S149" i="8" s="1"/>
  <c r="T155" i="8"/>
  <c r="T149" i="8" s="1"/>
  <c r="U155" i="8"/>
  <c r="U149" i="8" s="1"/>
  <c r="V155" i="8"/>
  <c r="V149" i="8" s="1"/>
  <c r="W155" i="8"/>
  <c r="W149" i="8" s="1"/>
  <c r="X155" i="8"/>
  <c r="X149" i="8" s="1"/>
  <c r="Y155" i="8"/>
  <c r="Y149" i="8" s="1"/>
  <c r="Z155" i="8"/>
  <c r="Z149" i="8" s="1"/>
  <c r="AA155" i="8"/>
  <c r="AA149" i="8" s="1"/>
  <c r="AB155" i="8"/>
  <c r="AB149" i="8" s="1"/>
  <c r="AC155" i="8"/>
  <c r="AC149" i="8" s="1"/>
  <c r="AD155" i="8"/>
  <c r="AD149" i="8" s="1"/>
  <c r="AE155" i="8"/>
  <c r="AE149" i="8" s="1"/>
  <c r="H158" i="8"/>
  <c r="I158" i="8"/>
  <c r="J158" i="8"/>
  <c r="K158" i="8"/>
  <c r="L158" i="8"/>
  <c r="M158" i="8"/>
  <c r="N158" i="8"/>
  <c r="O158" i="8"/>
  <c r="P158" i="8"/>
  <c r="Q158" i="8"/>
  <c r="R158" i="8"/>
  <c r="S158" i="8"/>
  <c r="T158" i="8"/>
  <c r="U158" i="8"/>
  <c r="V158" i="8"/>
  <c r="W158" i="8"/>
  <c r="X158" i="8"/>
  <c r="Y158" i="8"/>
  <c r="Z158" i="8"/>
  <c r="AA158" i="8"/>
  <c r="AB158" i="8"/>
  <c r="AC158" i="8"/>
  <c r="AD158" i="8"/>
  <c r="AE158" i="8"/>
  <c r="B161" i="8"/>
  <c r="C161" i="8"/>
  <c r="C155" i="8" s="1"/>
  <c r="E161" i="8"/>
  <c r="D161" i="8" s="1"/>
  <c r="H164" i="8"/>
  <c r="I164" i="8"/>
  <c r="J164" i="8"/>
  <c r="K164" i="8"/>
  <c r="L164" i="8"/>
  <c r="M164" i="8"/>
  <c r="N164" i="8"/>
  <c r="O164" i="8"/>
  <c r="P164" i="8"/>
  <c r="Q164" i="8"/>
  <c r="R164" i="8"/>
  <c r="S164" i="8"/>
  <c r="T164" i="8"/>
  <c r="U164" i="8"/>
  <c r="V164" i="8"/>
  <c r="W164" i="8"/>
  <c r="X164" i="8"/>
  <c r="Y164" i="8"/>
  <c r="Z164" i="8"/>
  <c r="AA164" i="8"/>
  <c r="AB164" i="8"/>
  <c r="AC164" i="8"/>
  <c r="AD164" i="8"/>
  <c r="AE164" i="8"/>
  <c r="B167" i="8"/>
  <c r="B164" i="8" s="1"/>
  <c r="C167" i="8"/>
  <c r="E167" i="8"/>
  <c r="D167" i="8" s="1"/>
  <c r="D164" i="8" s="1"/>
  <c r="H170" i="8"/>
  <c r="I170" i="8"/>
  <c r="J170" i="8"/>
  <c r="K170" i="8"/>
  <c r="L170" i="8"/>
  <c r="M170" i="8"/>
  <c r="N170" i="8"/>
  <c r="O170" i="8"/>
  <c r="P170" i="8"/>
  <c r="Q170" i="8"/>
  <c r="R170" i="8"/>
  <c r="S170" i="8"/>
  <c r="T170" i="8"/>
  <c r="U170" i="8"/>
  <c r="V170" i="8"/>
  <c r="W170" i="8"/>
  <c r="X170" i="8"/>
  <c r="Y170" i="8"/>
  <c r="Z170" i="8"/>
  <c r="AA170" i="8"/>
  <c r="AB170" i="8"/>
  <c r="AC170" i="8"/>
  <c r="AD170" i="8"/>
  <c r="AE170" i="8"/>
  <c r="B173" i="8"/>
  <c r="B170" i="8" s="1"/>
  <c r="C173" i="8"/>
  <c r="C170" i="8" s="1"/>
  <c r="E173" i="8"/>
  <c r="D173" i="8" s="1"/>
  <c r="D170" i="8" s="1"/>
  <c r="H176" i="8"/>
  <c r="I176" i="8"/>
  <c r="J176" i="8"/>
  <c r="K176" i="8"/>
  <c r="L176" i="8"/>
  <c r="M176" i="8"/>
  <c r="N176" i="8"/>
  <c r="O176" i="8"/>
  <c r="P176" i="8"/>
  <c r="Q176" i="8"/>
  <c r="R176" i="8"/>
  <c r="S176" i="8"/>
  <c r="T176" i="8"/>
  <c r="U176" i="8"/>
  <c r="V176" i="8"/>
  <c r="W176" i="8"/>
  <c r="X176" i="8"/>
  <c r="Y176" i="8"/>
  <c r="Z176" i="8"/>
  <c r="AA176" i="8"/>
  <c r="AB176" i="8"/>
  <c r="AC176" i="8"/>
  <c r="AD176" i="8"/>
  <c r="AE176" i="8"/>
  <c r="B177" i="8"/>
  <c r="C177" i="8"/>
  <c r="E177" i="8"/>
  <c r="D177" i="8" s="1"/>
  <c r="AA151" i="8" l="1"/>
  <c r="O151" i="8"/>
  <c r="E164" i="8"/>
  <c r="F164" i="8" s="1"/>
  <c r="E158" i="8"/>
  <c r="W151" i="8"/>
  <c r="K151" i="8"/>
  <c r="G167" i="8"/>
  <c r="Y145" i="8"/>
  <c r="M145" i="8"/>
  <c r="E138" i="8"/>
  <c r="C138" i="8"/>
  <c r="G177" i="8"/>
  <c r="E170" i="8"/>
  <c r="F170" i="8" s="1"/>
  <c r="B154" i="8"/>
  <c r="B151" i="8" s="1"/>
  <c r="E154" i="8"/>
  <c r="G142" i="8"/>
  <c r="F141" i="8"/>
  <c r="B138" i="8"/>
  <c r="E146" i="8"/>
  <c r="AC151" i="8"/>
  <c r="U151" i="8"/>
  <c r="Q151" i="8"/>
  <c r="I151" i="8"/>
  <c r="AD151" i="8"/>
  <c r="Z151" i="8"/>
  <c r="V151" i="8"/>
  <c r="R151" i="8"/>
  <c r="N151" i="8"/>
  <c r="J151" i="8"/>
  <c r="E130" i="8"/>
  <c r="AB145" i="8"/>
  <c r="X145" i="8"/>
  <c r="T145" i="8"/>
  <c r="P145" i="8"/>
  <c r="L145" i="8"/>
  <c r="H145" i="8"/>
  <c r="AE145" i="8"/>
  <c r="S145" i="8"/>
  <c r="D154" i="8"/>
  <c r="D158" i="8"/>
  <c r="D146" i="8"/>
  <c r="Y151" i="8"/>
  <c r="M151" i="8"/>
  <c r="AC148" i="8"/>
  <c r="AC145" i="8" s="1"/>
  <c r="Q148" i="8"/>
  <c r="Q145" i="8" s="1"/>
  <c r="W146" i="8"/>
  <c r="W145" i="8" s="1"/>
  <c r="O146" i="8"/>
  <c r="O145" i="8" s="1"/>
  <c r="F177" i="8"/>
  <c r="F173" i="8"/>
  <c r="F167" i="8"/>
  <c r="F161" i="8"/>
  <c r="F152" i="8"/>
  <c r="AB151" i="8"/>
  <c r="X151" i="8"/>
  <c r="T151" i="8"/>
  <c r="P151" i="8"/>
  <c r="L151" i="8"/>
  <c r="H151" i="8"/>
  <c r="AD146" i="8"/>
  <c r="AD145" i="8" s="1"/>
  <c r="Z146" i="8"/>
  <c r="Z145" i="8" s="1"/>
  <c r="V146" i="8"/>
  <c r="V145" i="8" s="1"/>
  <c r="R146" i="8"/>
  <c r="R145" i="8" s="1"/>
  <c r="N146" i="8"/>
  <c r="N145" i="8" s="1"/>
  <c r="J146" i="8"/>
  <c r="J145" i="8" s="1"/>
  <c r="B146" i="8"/>
  <c r="F142" i="8"/>
  <c r="D141" i="8"/>
  <c r="D140" i="8"/>
  <c r="F139" i="8"/>
  <c r="B133" i="8"/>
  <c r="B130" i="8" s="1"/>
  <c r="G173" i="8"/>
  <c r="G161" i="8"/>
  <c r="U148" i="8"/>
  <c r="U145" i="8" s="1"/>
  <c r="I148" i="8"/>
  <c r="I145" i="8" s="1"/>
  <c r="AA146" i="8"/>
  <c r="AA145" i="8" s="1"/>
  <c r="K146" i="8"/>
  <c r="K145" i="8" s="1"/>
  <c r="G139" i="8"/>
  <c r="C133" i="8"/>
  <c r="G170" i="8"/>
  <c r="C164" i="8"/>
  <c r="C158" i="8"/>
  <c r="C152" i="8" s="1"/>
  <c r="E155" i="8"/>
  <c r="C154" i="8"/>
  <c r="AE151" i="8"/>
  <c r="S151" i="8"/>
  <c r="G141" i="8"/>
  <c r="B158" i="8"/>
  <c r="Q203" i="8"/>
  <c r="G138" i="8" l="1"/>
  <c r="G164" i="8"/>
  <c r="F130" i="8"/>
  <c r="F154" i="8"/>
  <c r="F158" i="8"/>
  <c r="F138" i="8"/>
  <c r="D138" i="8"/>
  <c r="G154" i="8"/>
  <c r="C130" i="8"/>
  <c r="G130" i="8" s="1"/>
  <c r="G133" i="8"/>
  <c r="F155" i="8"/>
  <c r="G155" i="8"/>
  <c r="C151" i="8"/>
  <c r="C146" i="8"/>
  <c r="G152" i="8"/>
  <c r="E151" i="8"/>
  <c r="F133" i="8"/>
  <c r="D151" i="8"/>
  <c r="G158" i="8"/>
  <c r="F146" i="8"/>
  <c r="G146" i="8" l="1"/>
  <c r="F151" i="8"/>
  <c r="G151" i="8"/>
  <c r="AD115" i="7" l="1"/>
  <c r="X115" i="7"/>
  <c r="W115" i="7"/>
  <c r="V115" i="7"/>
  <c r="D43" i="7"/>
  <c r="C43" i="7"/>
  <c r="E41" i="7"/>
  <c r="C41" i="7"/>
  <c r="D41" i="7"/>
  <c r="C42" i="7"/>
  <c r="D42" i="7"/>
  <c r="E108" i="7"/>
  <c r="D108" i="7"/>
  <c r="C108" i="7"/>
  <c r="C79" i="7"/>
  <c r="E79" i="7"/>
  <c r="G41" i="7" l="1"/>
  <c r="Q61" i="11"/>
  <c r="P45" i="11"/>
  <c r="R45" i="11" s="1"/>
  <c r="T45" i="11" s="1"/>
  <c r="Q45" i="11"/>
  <c r="S45" i="11" s="1"/>
  <c r="U45" i="11" s="1"/>
  <c r="P46" i="11"/>
  <c r="R46" i="11" s="1"/>
  <c r="T46" i="11" s="1"/>
  <c r="Q46" i="11"/>
  <c r="S46" i="11" s="1"/>
  <c r="U46" i="11" s="1"/>
  <c r="P47" i="11"/>
  <c r="R47" i="11" s="1"/>
  <c r="Q47" i="11"/>
  <c r="S47" i="11" s="1"/>
  <c r="U47" i="11" s="1"/>
  <c r="P48" i="11"/>
  <c r="R48" i="11" s="1"/>
  <c r="T48" i="11" s="1"/>
  <c r="Q48" i="11"/>
  <c r="S48" i="11" s="1"/>
  <c r="U48" i="11" s="1"/>
  <c r="Q18" i="11"/>
  <c r="P18" i="11"/>
  <c r="R44" i="11" l="1"/>
  <c r="R43" i="11" s="1"/>
  <c r="T47" i="11"/>
  <c r="T44" i="11" s="1"/>
  <c r="T43" i="11" s="1"/>
  <c r="Q96" i="11"/>
  <c r="P96" i="11"/>
  <c r="Q90" i="11"/>
  <c r="P90" i="11"/>
  <c r="E92" i="11"/>
  <c r="D92" i="11" s="1"/>
  <c r="B92" i="11"/>
  <c r="Q70" i="11"/>
  <c r="Q64" i="11"/>
  <c r="E39" i="5" l="1"/>
  <c r="E42" i="7"/>
  <c r="E43" i="7"/>
  <c r="P107" i="7"/>
  <c r="J107" i="7"/>
  <c r="W91" i="7"/>
  <c r="V91" i="7"/>
  <c r="K91" i="7"/>
  <c r="H91" i="7"/>
  <c r="L82" i="7"/>
  <c r="L81" i="7" s="1"/>
  <c r="L80" i="7" s="1"/>
  <c r="M82" i="7"/>
  <c r="M81" i="7" s="1"/>
  <c r="M80" i="7" s="1"/>
  <c r="N82" i="7"/>
  <c r="N81" i="7" s="1"/>
  <c r="N80" i="7" s="1"/>
  <c r="O82" i="7"/>
  <c r="O81" i="7" s="1"/>
  <c r="O80" i="7" s="1"/>
  <c r="P82" i="7"/>
  <c r="P81" i="7" s="1"/>
  <c r="P80" i="7" s="1"/>
  <c r="Q82" i="7"/>
  <c r="Q81" i="7" s="1"/>
  <c r="Q80" i="7" s="1"/>
  <c r="R82" i="7"/>
  <c r="R81" i="7" s="1"/>
  <c r="R80" i="7" s="1"/>
  <c r="S82" i="7"/>
  <c r="S81" i="7" s="1"/>
  <c r="S80" i="7" s="1"/>
  <c r="T82" i="7"/>
  <c r="T81" i="7" s="1"/>
  <c r="T80" i="7" s="1"/>
  <c r="U82" i="7"/>
  <c r="U81" i="7" s="1"/>
  <c r="U80" i="7" s="1"/>
  <c r="V82" i="7"/>
  <c r="V81" i="7" s="1"/>
  <c r="V80" i="7" s="1"/>
  <c r="W82" i="7"/>
  <c r="W81" i="7" s="1"/>
  <c r="W80" i="7" s="1"/>
  <c r="X82" i="7"/>
  <c r="X81" i="7" s="1"/>
  <c r="X80" i="7" s="1"/>
  <c r="Y82" i="7"/>
  <c r="Y81" i="7" s="1"/>
  <c r="Y80" i="7" s="1"/>
  <c r="Z82" i="7"/>
  <c r="Z81" i="7" s="1"/>
  <c r="Z80" i="7" s="1"/>
  <c r="AA82" i="7"/>
  <c r="AA81" i="7" s="1"/>
  <c r="AA80" i="7" s="1"/>
  <c r="AB82" i="7"/>
  <c r="AB81" i="7" s="1"/>
  <c r="AB80" i="7" s="1"/>
  <c r="AC82" i="7"/>
  <c r="AC81" i="7" s="1"/>
  <c r="AC80" i="7" s="1"/>
  <c r="AD82" i="7"/>
  <c r="AD81" i="7" s="1"/>
  <c r="AD80" i="7" s="1"/>
  <c r="AE82" i="7"/>
  <c r="AE81" i="7" s="1"/>
  <c r="AE80" i="7" s="1"/>
  <c r="K82" i="7"/>
  <c r="K81" i="7" s="1"/>
  <c r="K80" i="7" s="1"/>
  <c r="H82" i="7"/>
  <c r="X64" i="7"/>
  <c r="P64" i="7"/>
  <c r="Q64" i="7"/>
  <c r="R64" i="7"/>
  <c r="S64" i="7"/>
  <c r="T64" i="7"/>
  <c r="U64" i="7"/>
  <c r="V64" i="7"/>
  <c r="W64" i="7"/>
  <c r="Y64" i="7"/>
  <c r="Z64" i="7"/>
  <c r="AA64" i="7"/>
  <c r="AB64" i="7"/>
  <c r="AC64" i="7"/>
  <c r="AD64" i="7"/>
  <c r="AE64" i="7"/>
  <c r="O64" i="7"/>
  <c r="N64" i="7"/>
  <c r="M64" i="7"/>
  <c r="L64" i="7"/>
  <c r="H64" i="7"/>
  <c r="J26" i="7"/>
  <c r="Q113" i="12" l="1"/>
  <c r="AB146" i="12"/>
  <c r="AD146" i="12" s="1"/>
  <c r="X145" i="12"/>
  <c r="Z145" i="12" s="1"/>
  <c r="AB145" i="12" s="1"/>
  <c r="AD145" i="12" s="1"/>
  <c r="AE106" i="12"/>
  <c r="D23" i="3" l="1"/>
  <c r="V102" i="21" l="1"/>
  <c r="B102" i="21" s="1"/>
  <c r="B100" i="21" s="1"/>
  <c r="E102" i="21"/>
  <c r="G102" i="21" s="1"/>
  <c r="G100" i="21" s="1"/>
  <c r="C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E100" i="21" l="1"/>
  <c r="D102" i="21"/>
  <c r="D100" i="21" s="1"/>
  <c r="F102" i="21"/>
  <c r="F100" i="21" s="1"/>
  <c r="D31" i="2"/>
  <c r="H133" i="14" l="1"/>
  <c r="I133" i="14"/>
  <c r="J133" i="14"/>
  <c r="K133" i="14"/>
  <c r="M133" i="14"/>
  <c r="N133" i="14"/>
  <c r="O133" i="14"/>
  <c r="Q133" i="14"/>
  <c r="R133" i="14"/>
  <c r="S133" i="14"/>
  <c r="U133" i="14"/>
  <c r="W133" i="14"/>
  <c r="X133" i="14"/>
  <c r="Y133" i="14"/>
  <c r="Z133" i="14"/>
  <c r="AA133" i="14"/>
  <c r="AB133" i="14"/>
  <c r="AC133" i="14"/>
  <c r="AE133" i="14"/>
  <c r="AG134" i="14"/>
  <c r="B135" i="14"/>
  <c r="AG135" i="14" s="1"/>
  <c r="E136" i="14"/>
  <c r="D136" i="14" s="1"/>
  <c r="L136" i="14"/>
  <c r="P136" i="14"/>
  <c r="P133" i="14" s="1"/>
  <c r="T136" i="14"/>
  <c r="T133" i="14" s="1"/>
  <c r="V136" i="14"/>
  <c r="V133" i="14" s="1"/>
  <c r="AD133" i="14"/>
  <c r="B137" i="14"/>
  <c r="C137" i="14"/>
  <c r="E137" i="14"/>
  <c r="B138" i="14"/>
  <c r="AG138" i="14" s="1"/>
  <c r="AG139"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D101" i="14"/>
  <c r="AD89" i="14" s="1"/>
  <c r="N101" i="14"/>
  <c r="C101" i="14" s="1"/>
  <c r="C365" i="14" s="1"/>
  <c r="C136" i="14" l="1"/>
  <c r="B136" i="14"/>
  <c r="AG136" i="14" s="1"/>
  <c r="F137" i="14"/>
  <c r="G138" i="14"/>
  <c r="D137" i="14"/>
  <c r="F135" i="14"/>
  <c r="F138" i="14"/>
  <c r="G137" i="14"/>
  <c r="C133" i="14"/>
  <c r="D135" i="14"/>
  <c r="D133" i="14" s="1"/>
  <c r="L133" i="14"/>
  <c r="E133" i="14"/>
  <c r="G135" i="14"/>
  <c r="E29" i="8"/>
  <c r="D29" i="8"/>
  <c r="C29" i="8"/>
  <c r="AD29" i="8"/>
  <c r="AB29" i="8"/>
  <c r="Z29" i="8"/>
  <c r="X29" i="8"/>
  <c r="V29" i="8"/>
  <c r="T29" i="8"/>
  <c r="R29" i="8"/>
  <c r="P29" i="8"/>
  <c r="O29" i="8"/>
  <c r="N29" i="8"/>
  <c r="M29" i="8"/>
  <c r="L29" i="8"/>
  <c r="B29" i="8"/>
  <c r="B133" i="14" l="1"/>
  <c r="AG133" i="14" s="1"/>
  <c r="F136" i="14"/>
  <c r="G133" i="14"/>
  <c r="G136" i="14"/>
  <c r="B35" i="8"/>
  <c r="E16" i="6"/>
  <c r="D16" i="6" s="1"/>
  <c r="C12" i="6"/>
  <c r="C11" i="6"/>
  <c r="N10" i="6"/>
  <c r="F133" i="14" l="1"/>
  <c r="C104" i="17"/>
  <c r="C96" i="17"/>
  <c r="C98" i="17"/>
  <c r="C95" i="17"/>
  <c r="C90" i="17"/>
  <c r="C92" i="17"/>
  <c r="C89" i="17"/>
  <c r="C82" i="17"/>
  <c r="C83" i="17"/>
  <c r="C84" i="17"/>
  <c r="C81" i="17"/>
  <c r="C76" i="17"/>
  <c r="C77" i="17"/>
  <c r="C78" i="17"/>
  <c r="C75" i="17"/>
  <c r="C70" i="17"/>
  <c r="C71" i="17"/>
  <c r="C72" i="17"/>
  <c r="C69" i="17"/>
  <c r="C63" i="17"/>
  <c r="C64" i="17"/>
  <c r="C65" i="17"/>
  <c r="C66" i="17"/>
  <c r="C62" i="17"/>
  <c r="C54" i="17"/>
  <c r="C55" i="17"/>
  <c r="C56" i="17"/>
  <c r="C57" i="17"/>
  <c r="C53" i="17"/>
  <c r="C48" i="17"/>
  <c r="C49" i="17"/>
  <c r="C50" i="17"/>
  <c r="C47" i="17"/>
  <c r="C40" i="17"/>
  <c r="C34" i="17"/>
  <c r="C35" i="17"/>
  <c r="C36" i="17"/>
  <c r="C37" i="17"/>
  <c r="C33" i="17"/>
  <c r="C27" i="17"/>
  <c r="C28" i="17"/>
  <c r="C29" i="17"/>
  <c r="C30" i="17"/>
  <c r="C26" i="17"/>
  <c r="C121" i="17" l="1"/>
  <c r="C120" i="17"/>
  <c r="C117" i="17"/>
  <c r="I121" i="17"/>
  <c r="J121" i="17"/>
  <c r="K121" i="17"/>
  <c r="L121" i="17"/>
  <c r="M121" i="17"/>
  <c r="N121" i="17"/>
  <c r="O121" i="17"/>
  <c r="P121" i="17"/>
  <c r="Q121" i="17"/>
  <c r="R121" i="17"/>
  <c r="S121" i="17"/>
  <c r="T121" i="17"/>
  <c r="U121" i="17"/>
  <c r="V121" i="17"/>
  <c r="W121" i="17"/>
  <c r="X121" i="17"/>
  <c r="Y121" i="17"/>
  <c r="Z121" i="17"/>
  <c r="AA121" i="17"/>
  <c r="AB121" i="17"/>
  <c r="AC121" i="17"/>
  <c r="AD121" i="17"/>
  <c r="AE121" i="17"/>
  <c r="I64" i="5"/>
  <c r="C267" i="8"/>
  <c r="C253" i="8"/>
  <c r="C235" i="8"/>
  <c r="C229" i="8"/>
  <c r="C203" i="8"/>
  <c r="C191" i="8"/>
  <c r="C109" i="8"/>
  <c r="C97" i="8"/>
  <c r="C91" i="8"/>
  <c r="C85" i="8"/>
  <c r="E62" i="8"/>
  <c r="D62" i="8" s="1"/>
  <c r="C62" i="8"/>
  <c r="C59" i="8"/>
  <c r="C60" i="8"/>
  <c r="B62" i="8"/>
  <c r="C53" i="8"/>
  <c r="C47" i="8"/>
  <c r="C54" i="8"/>
  <c r="C34" i="12"/>
  <c r="AD100" i="17"/>
  <c r="C119" i="17" l="1"/>
  <c r="C118" i="17"/>
  <c r="G62" i="8"/>
  <c r="C116" i="17" l="1"/>
  <c r="O81" i="11" l="1"/>
  <c r="C47" i="11" l="1"/>
  <c r="C21" i="11"/>
  <c r="O96" i="11"/>
  <c r="O90" i="11"/>
  <c r="O60" i="11"/>
  <c r="O59" i="11"/>
  <c r="O70" i="11"/>
  <c r="N70" i="11"/>
  <c r="O64" i="11"/>
  <c r="O44" i="11"/>
  <c r="Q44" i="11" s="1"/>
  <c r="N44" i="11"/>
  <c r="O11" i="11"/>
  <c r="O24" i="11"/>
  <c r="N24" i="11"/>
  <c r="O18" i="11"/>
  <c r="N18" i="11"/>
  <c r="O43" i="11" l="1"/>
  <c r="Q43" i="11" s="1"/>
  <c r="N43" i="11"/>
  <c r="P43" i="11" s="1"/>
  <c r="P44" i="11"/>
  <c r="G73" i="11"/>
  <c r="E244" i="14"/>
  <c r="E325" i="14"/>
  <c r="E318" i="14"/>
  <c r="AB250" i="14" l="1"/>
  <c r="E49" i="19" l="1"/>
  <c r="D51" i="5" l="1"/>
  <c r="C140" i="14"/>
  <c r="B264" i="14"/>
  <c r="B258" i="14" s="1"/>
  <c r="H277" i="14"/>
  <c r="C342" i="14"/>
  <c r="C21" i="3"/>
  <c r="C18" i="3"/>
  <c r="C15" i="3"/>
  <c r="R318" i="14"/>
  <c r="N318" i="14"/>
  <c r="N319" i="14"/>
  <c r="C319" i="14" s="1"/>
  <c r="G319" i="14" s="1"/>
  <c r="C318" i="14" l="1"/>
  <c r="C115" i="8"/>
  <c r="C41" i="8"/>
  <c r="C28" i="8" s="1"/>
  <c r="C21" i="8"/>
  <c r="C22" i="8"/>
  <c r="C20" i="8"/>
  <c r="C19" i="8"/>
  <c r="N40" i="14" l="1"/>
  <c r="N43" i="14"/>
  <c r="O67" i="14"/>
  <c r="B40" i="14" l="1"/>
  <c r="C40" i="14"/>
  <c r="Z76" i="14"/>
  <c r="AD100" i="14"/>
  <c r="J100" i="14"/>
  <c r="H100" i="14"/>
  <c r="R105" i="14"/>
  <c r="N105" i="14"/>
  <c r="C105" i="14" s="1"/>
  <c r="N123" i="14"/>
  <c r="E123" i="14"/>
  <c r="M73" i="14"/>
  <c r="C100" i="14" l="1"/>
  <c r="E75" i="14"/>
  <c r="D75" i="14" s="1"/>
  <c r="C75" i="14"/>
  <c r="B75" i="14"/>
  <c r="E74" i="14"/>
  <c r="D74" i="14" s="1"/>
  <c r="C74" i="14"/>
  <c r="B74" i="14"/>
  <c r="E69" i="14"/>
  <c r="D69" i="14" s="1"/>
  <c r="C69" i="14"/>
  <c r="B69" i="14"/>
  <c r="E68" i="14"/>
  <c r="D68" i="14" s="1"/>
  <c r="C68" i="14"/>
  <c r="B68" i="14"/>
  <c r="E57" i="14"/>
  <c r="D57" i="14" s="1"/>
  <c r="C57" i="14"/>
  <c r="B57" i="14"/>
  <c r="E56" i="14"/>
  <c r="D56" i="14" s="1"/>
  <c r="C56" i="14"/>
  <c r="B56" i="14"/>
  <c r="E51" i="14"/>
  <c r="D51" i="14" s="1"/>
  <c r="C51" i="14"/>
  <c r="B51" i="14"/>
  <c r="E50" i="14"/>
  <c r="D50" i="14" s="1"/>
  <c r="C50" i="14"/>
  <c r="B50" i="14"/>
  <c r="E40" i="14"/>
  <c r="B45" i="14"/>
  <c r="E45" i="14"/>
  <c r="D45" i="14" s="1"/>
  <c r="C45" i="14"/>
  <c r="E44" i="14"/>
  <c r="D44" i="14" s="1"/>
  <c r="C44" i="14"/>
  <c r="B44" i="14"/>
  <c r="AB244" i="14" l="1"/>
  <c r="M250" i="14"/>
  <c r="M280" i="14"/>
  <c r="AD258" i="14"/>
  <c r="B341" i="14"/>
  <c r="B196" i="14"/>
  <c r="H70" i="14"/>
  <c r="L283" i="14"/>
  <c r="C289" i="14"/>
  <c r="L34" i="14"/>
  <c r="C70" i="14" l="1"/>
  <c r="C64" i="14" s="1"/>
  <c r="C67" i="14"/>
  <c r="E44" i="6"/>
  <c r="E12" i="6"/>
  <c r="D12" i="6" s="1"/>
  <c r="E11" i="6"/>
  <c r="K132" i="6" l="1"/>
  <c r="L132" i="6"/>
  <c r="M132" i="6"/>
  <c r="N132" i="6"/>
  <c r="O132" i="6"/>
  <c r="P132" i="6"/>
  <c r="Q132" i="6"/>
  <c r="R132" i="6"/>
  <c r="S132" i="6"/>
  <c r="T132" i="6"/>
  <c r="U132" i="6"/>
  <c r="V132" i="6"/>
  <c r="W132" i="6"/>
  <c r="X132" i="6"/>
  <c r="Y132" i="6"/>
  <c r="Z132" i="6"/>
  <c r="AA132" i="6"/>
  <c r="AB132" i="6"/>
  <c r="AC132" i="6"/>
  <c r="AD132" i="6"/>
  <c r="AE132" i="6"/>
  <c r="J132" i="6"/>
  <c r="B117" i="6" l="1"/>
  <c r="D90" i="6"/>
  <c r="L80" i="6"/>
  <c r="B81" i="6"/>
  <c r="B20" i="6"/>
  <c r="M102" i="6"/>
  <c r="M101" i="6" s="1"/>
  <c r="M99" i="6" s="1"/>
  <c r="M98" i="6" s="1"/>
  <c r="L102" i="6"/>
  <c r="L101" i="6" s="1"/>
  <c r="L99" i="6" s="1"/>
  <c r="L98" i="6" s="1"/>
  <c r="J102" i="6"/>
  <c r="J101" i="6" s="1"/>
  <c r="J99" i="6" s="1"/>
  <c r="J98" i="6" s="1"/>
  <c r="I98" i="6"/>
  <c r="J80" i="6" l="1"/>
  <c r="P80" i="6"/>
  <c r="Q80" i="6"/>
  <c r="K80" i="6"/>
  <c r="E121" i="6"/>
  <c r="E117" i="6"/>
  <c r="E93" i="6"/>
  <c r="E87" i="6"/>
  <c r="E78" i="6"/>
  <c r="E69" i="6"/>
  <c r="E50" i="6"/>
  <c r="E47" i="6"/>
  <c r="E35" i="6"/>
  <c r="E32" i="6"/>
  <c r="E20" i="6"/>
  <c r="D20" i="6" s="1"/>
  <c r="E13" i="6"/>
  <c r="H81" i="6"/>
  <c r="B69" i="6"/>
  <c r="C19" i="6"/>
  <c r="H80" i="6" l="1"/>
  <c r="G44" i="11"/>
  <c r="E102" i="11"/>
  <c r="F102" i="11"/>
  <c r="G102" i="11"/>
  <c r="H53" i="5" l="1"/>
  <c r="B70" i="12"/>
  <c r="E76" i="12"/>
  <c r="AH30" i="12"/>
  <c r="M73" i="12"/>
  <c r="L73" i="12"/>
  <c r="K73" i="12"/>
  <c r="AG35" i="12"/>
  <c r="B34" i="12"/>
  <c r="AG34" i="12" s="1"/>
  <c r="C124" i="12"/>
  <c r="C116" i="12"/>
  <c r="C107" i="12"/>
  <c r="C102" i="12"/>
  <c r="C94" i="12"/>
  <c r="C88" i="12"/>
  <c r="C70" i="12"/>
  <c r="C46" i="12"/>
  <c r="C40" i="12"/>
  <c r="C33" i="12"/>
  <c r="C125" i="12"/>
  <c r="C123" i="12"/>
  <c r="C122" i="12"/>
  <c r="C117" i="12"/>
  <c r="C114" i="12"/>
  <c r="C109" i="12"/>
  <c r="C77" i="12"/>
  <c r="B33" i="12"/>
  <c r="D73" i="11" l="1"/>
  <c r="E27" i="11"/>
  <c r="AG21" i="4" l="1"/>
  <c r="AG24" i="4"/>
  <c r="AG27" i="4"/>
  <c r="AG28" i="4"/>
  <c r="AG29" i="4"/>
  <c r="AG32" i="4"/>
  <c r="AG35" i="4"/>
  <c r="AG38" i="4"/>
  <c r="AG42" i="4"/>
  <c r="AG46" i="4"/>
  <c r="AG47" i="4"/>
  <c r="AG48" i="4"/>
  <c r="AG52" i="4"/>
  <c r="AG55" i="4"/>
  <c r="AG58" i="4"/>
  <c r="AH23" i="12"/>
  <c r="AH24" i="12"/>
  <c r="AH35" i="12"/>
  <c r="AH36" i="12"/>
  <c r="AH38" i="12"/>
  <c r="AH39" i="12"/>
  <c r="AH41" i="12"/>
  <c r="AH42" i="12"/>
  <c r="AH44" i="12"/>
  <c r="AH45" i="12"/>
  <c r="AH47" i="12"/>
  <c r="AH48" i="12"/>
  <c r="AH50" i="12"/>
  <c r="AH53" i="12"/>
  <c r="AH54" i="12"/>
  <c r="AH56" i="12"/>
  <c r="AH59" i="12"/>
  <c r="AH60" i="12"/>
  <c r="AH66" i="12"/>
  <c r="AH68" i="12"/>
  <c r="AH69" i="12"/>
  <c r="AH71" i="12"/>
  <c r="AH72" i="12"/>
  <c r="AH78" i="12"/>
  <c r="AH84" i="12"/>
  <c r="AH86" i="12"/>
  <c r="AH87" i="12"/>
  <c r="AH89" i="12"/>
  <c r="AH90" i="12"/>
  <c r="AH92" i="12"/>
  <c r="AH93" i="12"/>
  <c r="AH95" i="12"/>
  <c r="AH96" i="12"/>
  <c r="AH97" i="12"/>
  <c r="AH98" i="12"/>
  <c r="AH104" i="12"/>
  <c r="AH110" i="12"/>
  <c r="AH111" i="12"/>
  <c r="AH112" i="12"/>
  <c r="AH118" i="12"/>
  <c r="AH119" i="12"/>
  <c r="AH120" i="12"/>
  <c r="AH126" i="12"/>
  <c r="AH132" i="12"/>
  <c r="AG90" i="12"/>
  <c r="E15" i="2" l="1"/>
  <c r="C56" i="6" l="1"/>
  <c r="C54" i="6" l="1"/>
  <c r="C132" i="6"/>
  <c r="C137" i="6" s="1"/>
  <c r="C10" i="6"/>
  <c r="Z18" i="6"/>
  <c r="H29" i="6" l="1"/>
  <c r="I29" i="6"/>
  <c r="J29" i="6"/>
  <c r="K29" i="6"/>
  <c r="L29" i="6"/>
  <c r="M29" i="6"/>
  <c r="N29" i="6"/>
  <c r="O29" i="6"/>
  <c r="P29" i="6"/>
  <c r="Q29" i="6"/>
  <c r="R29" i="6"/>
  <c r="S29" i="6"/>
  <c r="T29" i="6"/>
  <c r="U29" i="6"/>
  <c r="V29" i="6"/>
  <c r="W29" i="6"/>
  <c r="X29" i="6"/>
  <c r="Y29" i="6"/>
  <c r="Z29" i="6"/>
  <c r="AA29" i="6"/>
  <c r="AB29" i="6"/>
  <c r="AC29" i="6"/>
  <c r="AC23" i="6"/>
  <c r="AD23" i="6"/>
  <c r="AE23" i="6"/>
  <c r="R23" i="6"/>
  <c r="S23" i="6"/>
  <c r="T23" i="6"/>
  <c r="U23" i="6"/>
  <c r="V23" i="6"/>
  <c r="W23" i="6"/>
  <c r="X23" i="6"/>
  <c r="Y23" i="6"/>
  <c r="Z23" i="6"/>
  <c r="AA23" i="6"/>
  <c r="AB23" i="6"/>
  <c r="H23" i="6"/>
  <c r="I23" i="6"/>
  <c r="J23" i="6"/>
  <c r="K23" i="6"/>
  <c r="L23" i="6"/>
  <c r="M23" i="6"/>
  <c r="N23" i="6"/>
  <c r="O23" i="6"/>
  <c r="H38" i="6"/>
  <c r="I38" i="6"/>
  <c r="J38" i="6"/>
  <c r="K38" i="6"/>
  <c r="L38" i="6"/>
  <c r="M38" i="6"/>
  <c r="N38" i="6"/>
  <c r="O38" i="6"/>
  <c r="D38" i="6"/>
  <c r="L44" i="6"/>
  <c r="M44" i="6"/>
  <c r="N44" i="6"/>
  <c r="O44" i="6"/>
  <c r="P44" i="6"/>
  <c r="Q44" i="6"/>
  <c r="R44" i="6"/>
  <c r="S44" i="6"/>
  <c r="T44" i="6"/>
  <c r="U44" i="6"/>
  <c r="V44" i="6"/>
  <c r="W44" i="6"/>
  <c r="X44" i="6"/>
  <c r="Y44" i="6"/>
  <c r="Z44" i="6"/>
  <c r="AA44" i="6"/>
  <c r="AB44" i="6"/>
  <c r="AC44" i="6"/>
  <c r="H75" i="6"/>
  <c r="I75" i="6"/>
  <c r="J75" i="6"/>
  <c r="K75" i="6"/>
  <c r="L75" i="6"/>
  <c r="M75" i="6"/>
  <c r="N75" i="6"/>
  <c r="O75" i="6"/>
  <c r="AA96" i="6"/>
  <c r="D96" i="6" s="1"/>
  <c r="AB96" i="6"/>
  <c r="AC96" i="6"/>
  <c r="AD96" i="6"/>
  <c r="AE96" i="6"/>
  <c r="H96" i="6"/>
  <c r="I96" i="6"/>
  <c r="J96" i="6"/>
  <c r="K96" i="6"/>
  <c r="L96" i="6"/>
  <c r="M96" i="6"/>
  <c r="N96" i="6"/>
  <c r="O96" i="6"/>
  <c r="P96" i="6"/>
  <c r="Q96" i="6"/>
  <c r="R96" i="6"/>
  <c r="S96" i="6"/>
  <c r="T96" i="6"/>
  <c r="U96" i="6"/>
  <c r="V96" i="6"/>
  <c r="W96" i="6"/>
  <c r="X96" i="6"/>
  <c r="Y96" i="6"/>
  <c r="D93" i="6"/>
  <c r="U90" i="6"/>
  <c r="H90" i="6"/>
  <c r="C90" i="6" s="1"/>
  <c r="I90" i="6"/>
  <c r="D87" i="6"/>
  <c r="AD86" i="6"/>
  <c r="AB84" i="6"/>
  <c r="AC84" i="6"/>
  <c r="AD84" i="6"/>
  <c r="AE84" i="6"/>
  <c r="I84" i="6"/>
  <c r="J84" i="6"/>
  <c r="K84" i="6"/>
  <c r="L84" i="6"/>
  <c r="M84" i="6"/>
  <c r="N84" i="6"/>
  <c r="O84" i="6"/>
  <c r="P84" i="6"/>
  <c r="Q84" i="6"/>
  <c r="R84" i="6"/>
  <c r="S84" i="6"/>
  <c r="T84" i="6"/>
  <c r="U84" i="6"/>
  <c r="V84" i="6"/>
  <c r="W84" i="6"/>
  <c r="X84" i="6"/>
  <c r="Y84" i="6"/>
  <c r="H84" i="6"/>
  <c r="I81" i="6"/>
  <c r="S81" i="6"/>
  <c r="S80" i="6" s="1"/>
  <c r="T81" i="6"/>
  <c r="T80" i="6" s="1"/>
  <c r="U81" i="6"/>
  <c r="U80" i="6" s="1"/>
  <c r="V81" i="6"/>
  <c r="V80" i="6" s="1"/>
  <c r="W81" i="6"/>
  <c r="W80" i="6" s="1"/>
  <c r="X81" i="6"/>
  <c r="X80" i="6" s="1"/>
  <c r="Y81" i="6"/>
  <c r="Y80" i="6" s="1"/>
  <c r="Z81" i="6"/>
  <c r="Z80" i="6" s="1"/>
  <c r="AA81" i="6"/>
  <c r="AA80" i="6" s="1"/>
  <c r="AB81" i="6"/>
  <c r="AB80" i="6" s="1"/>
  <c r="AC81" i="6"/>
  <c r="AC80" i="6" s="1"/>
  <c r="AD81" i="6"/>
  <c r="AD80" i="6" s="1"/>
  <c r="AE81" i="6"/>
  <c r="AE80" i="6" s="1"/>
  <c r="R81" i="6"/>
  <c r="R80" i="6" s="1"/>
  <c r="N81" i="6"/>
  <c r="O81" i="6"/>
  <c r="O80" i="6" s="1"/>
  <c r="M81" i="6"/>
  <c r="M68" i="6"/>
  <c r="N68" i="6"/>
  <c r="O68" i="6"/>
  <c r="P68" i="6"/>
  <c r="Q68" i="6"/>
  <c r="R68" i="6"/>
  <c r="S68" i="6"/>
  <c r="T68" i="6"/>
  <c r="U68" i="6"/>
  <c r="V68" i="6"/>
  <c r="W68" i="6"/>
  <c r="X68" i="6"/>
  <c r="Y68" i="6"/>
  <c r="Z68" i="6"/>
  <c r="AA68" i="6"/>
  <c r="AB68" i="6"/>
  <c r="AC68" i="6"/>
  <c r="AD68" i="6"/>
  <c r="AE68" i="6"/>
  <c r="D69" i="6"/>
  <c r="D35" i="6"/>
  <c r="B34" i="6"/>
  <c r="I34" i="6"/>
  <c r="J34" i="6"/>
  <c r="K34" i="6"/>
  <c r="L34" i="6"/>
  <c r="M34" i="6"/>
  <c r="N34" i="6"/>
  <c r="O34" i="6"/>
  <c r="P34" i="6"/>
  <c r="Q34" i="6"/>
  <c r="R34" i="6"/>
  <c r="S34" i="6"/>
  <c r="T34" i="6"/>
  <c r="U34" i="6"/>
  <c r="V34" i="6"/>
  <c r="W34" i="6"/>
  <c r="X34" i="6"/>
  <c r="Y34" i="6"/>
  <c r="Z34" i="6"/>
  <c r="H34" i="6"/>
  <c r="AA34" i="6"/>
  <c r="AB34" i="6"/>
  <c r="AC34" i="6"/>
  <c r="AD34" i="6"/>
  <c r="AE34" i="6"/>
  <c r="V74" i="6"/>
  <c r="D19" i="2"/>
  <c r="C75" i="6" l="1"/>
  <c r="N80" i="6"/>
  <c r="C81" i="6"/>
  <c r="C84" i="6"/>
  <c r="C44" i="6"/>
  <c r="C41" i="6" s="1"/>
  <c r="C40" i="6" s="1"/>
  <c r="C96" i="6"/>
  <c r="C38" i="6"/>
  <c r="C23" i="6"/>
  <c r="C29" i="6"/>
  <c r="E90" i="6"/>
  <c r="M80" i="6"/>
  <c r="D81" i="6"/>
  <c r="E75" i="6"/>
  <c r="E72" i="6" s="1"/>
  <c r="B38" i="6"/>
  <c r="C131" i="6"/>
  <c r="E29" i="6"/>
  <c r="I80" i="6"/>
  <c r="E81" i="6"/>
  <c r="AG82" i="6" s="1"/>
  <c r="E84" i="6"/>
  <c r="E96" i="6"/>
  <c r="E38" i="6"/>
  <c r="E23" i="6"/>
  <c r="D23" i="6"/>
  <c r="D53" i="6" s="1"/>
  <c r="D75" i="6"/>
  <c r="D84" i="6"/>
  <c r="C34" i="6"/>
  <c r="E80" i="6" l="1"/>
  <c r="D121" i="6"/>
  <c r="E37" i="4" l="1"/>
  <c r="D37" i="4"/>
  <c r="C37" i="4"/>
  <c r="E117" i="14"/>
  <c r="AH117" i="14" s="1"/>
  <c r="AG37" i="4" l="1"/>
  <c r="C41" i="4"/>
  <c r="AG50" i="4"/>
  <c r="Z317" i="14"/>
  <c r="X318" i="14"/>
  <c r="Z319" i="14"/>
  <c r="E283" i="14"/>
  <c r="D283" i="14" s="1"/>
  <c r="E182" i="14"/>
  <c r="C171" i="14"/>
  <c r="E171" i="14"/>
  <c r="D171" i="14" s="1"/>
  <c r="C130" i="14" l="1"/>
  <c r="C57" i="4"/>
  <c r="C60" i="4" s="1"/>
  <c r="AG54" i="4"/>
  <c r="B182" i="14"/>
  <c r="G182" i="14"/>
  <c r="G318" i="14"/>
  <c r="B40" i="5"/>
  <c r="B37" i="5"/>
  <c r="D37" i="5" l="1"/>
  <c r="D40" i="5"/>
  <c r="E10" i="5"/>
  <c r="C14" i="5" l="1"/>
  <c r="Z111" i="14"/>
  <c r="R111" i="14"/>
  <c r="H111" i="14"/>
  <c r="C111" i="14" s="1"/>
  <c r="C89" i="14"/>
  <c r="B101" i="14"/>
  <c r="E101" i="14"/>
  <c r="E111" i="14"/>
  <c r="D111" i="14" s="1"/>
  <c r="J123" i="14"/>
  <c r="C123" i="14" s="1"/>
  <c r="B123" i="14" l="1"/>
  <c r="G117" i="14"/>
  <c r="H87" i="14"/>
  <c r="H81" i="14" s="1"/>
  <c r="F101" i="14"/>
  <c r="D101" i="14"/>
  <c r="G101" i="14"/>
  <c r="G123" i="14" l="1"/>
  <c r="AH123" i="14"/>
  <c r="E12" i="21"/>
  <c r="M70" i="11" l="1"/>
  <c r="M96" i="11"/>
  <c r="M90" i="11"/>
  <c r="M84" i="11"/>
  <c r="M64" i="11"/>
  <c r="M44" i="11"/>
  <c r="M43" i="11" s="1"/>
  <c r="M50" i="11"/>
  <c r="M49" i="11" s="1"/>
  <c r="M24" i="11"/>
  <c r="M18" i="11"/>
  <c r="D40" i="14" l="1"/>
  <c r="E46" i="14"/>
  <c r="D46" i="14" s="1"/>
  <c r="G46" i="14" l="1"/>
  <c r="G40" i="14"/>
  <c r="B21" i="3" l="1"/>
  <c r="B20" i="3" s="1"/>
  <c r="C17" i="3"/>
  <c r="B18" i="3"/>
  <c r="B17" i="3" s="1"/>
  <c r="E21" i="3"/>
  <c r="D21" i="3" s="1"/>
  <c r="E18" i="3"/>
  <c r="D18" i="3" s="1"/>
  <c r="B15" i="3"/>
  <c r="B14" i="3" s="1"/>
  <c r="C36" i="3" l="1"/>
  <c r="C32" i="3"/>
  <c r="E36" i="3"/>
  <c r="C40" i="3" l="1"/>
  <c r="C34" i="3"/>
  <c r="E40" i="3"/>
  <c r="I53" i="4"/>
  <c r="I34" i="14"/>
  <c r="J34" i="14"/>
  <c r="K34" i="14"/>
  <c r="M34" i="14"/>
  <c r="N34" i="14"/>
  <c r="O34" i="14"/>
  <c r="P34" i="14"/>
  <c r="Q34" i="14"/>
  <c r="R34" i="14"/>
  <c r="S34" i="14"/>
  <c r="T34" i="14"/>
  <c r="U34" i="14"/>
  <c r="V34" i="14"/>
  <c r="W34" i="14"/>
  <c r="X34" i="14"/>
  <c r="Y34" i="14"/>
  <c r="Z34" i="14"/>
  <c r="AA34" i="14"/>
  <c r="AB34" i="14"/>
  <c r="AC34" i="14"/>
  <c r="AE34" i="14"/>
  <c r="AF34" i="14"/>
  <c r="H34" i="14"/>
  <c r="I55" i="14"/>
  <c r="J55" i="14"/>
  <c r="K55" i="14"/>
  <c r="L55" i="14"/>
  <c r="M55" i="14"/>
  <c r="N55" i="14"/>
  <c r="O55" i="14"/>
  <c r="P55" i="14"/>
  <c r="Q55" i="14"/>
  <c r="R55" i="14"/>
  <c r="S55" i="14"/>
  <c r="T55" i="14"/>
  <c r="U55" i="14"/>
  <c r="V55" i="14"/>
  <c r="W55" i="14"/>
  <c r="X55" i="14"/>
  <c r="Y55" i="14"/>
  <c r="Z55" i="14"/>
  <c r="AA55" i="14"/>
  <c r="AB55" i="14"/>
  <c r="AC55" i="14"/>
  <c r="AD55" i="14"/>
  <c r="AE55" i="14"/>
  <c r="AF55" i="14"/>
  <c r="H55" i="14"/>
  <c r="E58" i="14"/>
  <c r="D58" i="14" s="1"/>
  <c r="D55" i="14" s="1"/>
  <c r="C58" i="14"/>
  <c r="C55" i="14" s="1"/>
  <c r="B58" i="14"/>
  <c r="D17" i="3"/>
  <c r="E17" i="3"/>
  <c r="C34" i="14" l="1"/>
  <c r="E27" i="3"/>
  <c r="E35" i="3" s="1"/>
  <c r="F58" i="14"/>
  <c r="G58" i="14"/>
  <c r="E55" i="14"/>
  <c r="G55" i="14" s="1"/>
  <c r="B55" i="14"/>
  <c r="D11" i="3"/>
  <c r="F55" i="14" l="1"/>
  <c r="C99" i="17"/>
  <c r="H121" i="17" l="1"/>
  <c r="B121" i="17" s="1"/>
  <c r="I119" i="17"/>
  <c r="J119" i="17"/>
  <c r="K119" i="17"/>
  <c r="L119" i="17"/>
  <c r="M119" i="17"/>
  <c r="N119" i="17"/>
  <c r="O119" i="17"/>
  <c r="P119" i="17"/>
  <c r="Q119" i="17"/>
  <c r="R119" i="17"/>
  <c r="S119" i="17"/>
  <c r="T119" i="17"/>
  <c r="U119" i="17"/>
  <c r="V119" i="17"/>
  <c r="W119" i="17"/>
  <c r="X119" i="17"/>
  <c r="Y119" i="17"/>
  <c r="Z119" i="17"/>
  <c r="AA119" i="17"/>
  <c r="AB119" i="17"/>
  <c r="AC119" i="17"/>
  <c r="AD119" i="17"/>
  <c r="AE119" i="17"/>
  <c r="H119" i="17"/>
  <c r="I118" i="17"/>
  <c r="J118" i="17"/>
  <c r="K118" i="17"/>
  <c r="L118" i="17"/>
  <c r="M118" i="17"/>
  <c r="N118" i="17"/>
  <c r="O118" i="17"/>
  <c r="P118" i="17"/>
  <c r="Q118" i="17"/>
  <c r="R118" i="17"/>
  <c r="S118" i="17"/>
  <c r="T118" i="17"/>
  <c r="U118" i="17"/>
  <c r="V118" i="17"/>
  <c r="W118" i="17"/>
  <c r="X118" i="17"/>
  <c r="Y118" i="17"/>
  <c r="Z118" i="17"/>
  <c r="AA118" i="17"/>
  <c r="AB118" i="17"/>
  <c r="AC118" i="17"/>
  <c r="AD118" i="17"/>
  <c r="AE118" i="17"/>
  <c r="H118" i="17"/>
  <c r="I117" i="17"/>
  <c r="J117" i="17"/>
  <c r="J116" i="17" s="1"/>
  <c r="K117" i="17"/>
  <c r="L117" i="17"/>
  <c r="M117" i="17"/>
  <c r="N117" i="17"/>
  <c r="O117" i="17"/>
  <c r="P117" i="17"/>
  <c r="Q117" i="17"/>
  <c r="R117" i="17"/>
  <c r="S117" i="17"/>
  <c r="T117" i="17"/>
  <c r="T116" i="17" s="1"/>
  <c r="U117" i="17"/>
  <c r="U116" i="17" s="1"/>
  <c r="V117" i="17"/>
  <c r="W117" i="17"/>
  <c r="W116" i="17" s="1"/>
  <c r="X117" i="17"/>
  <c r="Y117" i="17"/>
  <c r="Y116" i="17" s="1"/>
  <c r="Z117" i="17"/>
  <c r="Z116" i="17" s="1"/>
  <c r="AA117" i="17"/>
  <c r="AA116" i="17" s="1"/>
  <c r="AB117" i="17"/>
  <c r="AC117" i="17"/>
  <c r="AD117" i="17"/>
  <c r="AE117" i="17"/>
  <c r="AE116" i="17" s="1"/>
  <c r="I110" i="17"/>
  <c r="J110" i="17"/>
  <c r="K110" i="17"/>
  <c r="L110" i="17"/>
  <c r="M110" i="17"/>
  <c r="N110" i="17"/>
  <c r="O110" i="17"/>
  <c r="P110" i="17"/>
  <c r="Q110" i="17"/>
  <c r="R110" i="17"/>
  <c r="S110" i="17"/>
  <c r="T110" i="17"/>
  <c r="U110" i="17"/>
  <c r="V110" i="17"/>
  <c r="W110" i="17"/>
  <c r="X110" i="17"/>
  <c r="Y110" i="17"/>
  <c r="Z110" i="17"/>
  <c r="AA110" i="17"/>
  <c r="AB110" i="17"/>
  <c r="AC110" i="17"/>
  <c r="AD110" i="17"/>
  <c r="AE110" i="17"/>
  <c r="I109" i="17"/>
  <c r="J109" i="17"/>
  <c r="K109" i="17"/>
  <c r="L109" i="17"/>
  <c r="M109" i="17"/>
  <c r="N109" i="17"/>
  <c r="O109" i="17"/>
  <c r="P109" i="17"/>
  <c r="Q109" i="17"/>
  <c r="R109" i="17"/>
  <c r="S109" i="17"/>
  <c r="T109" i="17"/>
  <c r="U109" i="17"/>
  <c r="V109" i="17"/>
  <c r="W109" i="17"/>
  <c r="X109" i="17"/>
  <c r="Y109" i="17"/>
  <c r="Z109" i="17"/>
  <c r="AA109" i="17"/>
  <c r="AB109" i="17"/>
  <c r="AC109" i="17"/>
  <c r="AD109" i="17"/>
  <c r="AE109" i="17"/>
  <c r="I108" i="17"/>
  <c r="J108" i="17"/>
  <c r="K108" i="17"/>
  <c r="L108" i="17"/>
  <c r="M108" i="17"/>
  <c r="N108" i="17"/>
  <c r="O108" i="17"/>
  <c r="P108" i="17"/>
  <c r="Q108" i="17"/>
  <c r="R108" i="17"/>
  <c r="S108" i="17"/>
  <c r="T108" i="17"/>
  <c r="U108" i="17"/>
  <c r="V108" i="17"/>
  <c r="W108" i="17"/>
  <c r="X108" i="17"/>
  <c r="Y108" i="17"/>
  <c r="Z108" i="17"/>
  <c r="AA108" i="17"/>
  <c r="AB108" i="17"/>
  <c r="AC108" i="17"/>
  <c r="AD108" i="17"/>
  <c r="AE108" i="17"/>
  <c r="I107" i="17"/>
  <c r="J107" i="17"/>
  <c r="K107" i="17"/>
  <c r="L107" i="17"/>
  <c r="M107" i="17"/>
  <c r="N107" i="17"/>
  <c r="O107" i="17"/>
  <c r="P107" i="17"/>
  <c r="Q107" i="17"/>
  <c r="R107" i="17"/>
  <c r="S107" i="17"/>
  <c r="T107" i="17"/>
  <c r="U107" i="17"/>
  <c r="V107" i="17"/>
  <c r="W107" i="17"/>
  <c r="X107" i="17"/>
  <c r="Y107" i="17"/>
  <c r="Z107" i="17"/>
  <c r="AA107" i="17"/>
  <c r="AB107" i="17"/>
  <c r="AC107" i="17"/>
  <c r="AD107" i="17"/>
  <c r="AE107" i="17"/>
  <c r="I106" i="17"/>
  <c r="J106" i="17"/>
  <c r="K106" i="17"/>
  <c r="L106" i="17"/>
  <c r="M106" i="17"/>
  <c r="N106" i="17"/>
  <c r="O106" i="17"/>
  <c r="P106" i="17"/>
  <c r="Q106" i="17"/>
  <c r="R106" i="17"/>
  <c r="S106" i="17"/>
  <c r="T106" i="17"/>
  <c r="U106" i="17"/>
  <c r="V106" i="17"/>
  <c r="W106" i="17"/>
  <c r="X106" i="17"/>
  <c r="Y106" i="17"/>
  <c r="Z106" i="17"/>
  <c r="AA106" i="17"/>
  <c r="AB106" i="17"/>
  <c r="AC106" i="17"/>
  <c r="AD106" i="17"/>
  <c r="AE106" i="17"/>
  <c r="H110" i="17"/>
  <c r="C109" i="17"/>
  <c r="H109" i="17"/>
  <c r="H108" i="17"/>
  <c r="H107" i="17"/>
  <c r="H106" i="17"/>
  <c r="I120" i="17"/>
  <c r="J120" i="17"/>
  <c r="K120" i="17"/>
  <c r="L120" i="17"/>
  <c r="M120" i="17"/>
  <c r="N120" i="17"/>
  <c r="O120" i="17"/>
  <c r="P120" i="17"/>
  <c r="Q120" i="17"/>
  <c r="R120" i="17"/>
  <c r="S120" i="17"/>
  <c r="T120" i="17"/>
  <c r="U120" i="17"/>
  <c r="V120" i="17"/>
  <c r="W120" i="17"/>
  <c r="X120" i="17"/>
  <c r="Y120" i="17"/>
  <c r="Z120" i="17"/>
  <c r="AA120" i="17"/>
  <c r="AB120" i="17"/>
  <c r="AC120" i="17"/>
  <c r="AD120" i="17"/>
  <c r="AE120" i="17"/>
  <c r="H120" i="17"/>
  <c r="H117" i="17"/>
  <c r="B119" i="17" l="1"/>
  <c r="S116" i="17"/>
  <c r="V116" i="17"/>
  <c r="B118" i="17"/>
  <c r="B120" i="17"/>
  <c r="N116" i="17"/>
  <c r="O116" i="17"/>
  <c r="M116" i="17"/>
  <c r="R116" i="17"/>
  <c r="L116" i="17"/>
  <c r="X116" i="17"/>
  <c r="P116" i="17"/>
  <c r="B117" i="17"/>
  <c r="AC116" i="17"/>
  <c r="Q116" i="17"/>
  <c r="I116" i="17"/>
  <c r="K116" i="17"/>
  <c r="AB116" i="17"/>
  <c r="AD116" i="17"/>
  <c r="H116" i="17"/>
  <c r="E65" i="17"/>
  <c r="D65" i="17" s="1"/>
  <c r="B65" i="17"/>
  <c r="I52" i="17"/>
  <c r="J52" i="17"/>
  <c r="K52" i="17"/>
  <c r="L52" i="17"/>
  <c r="M52" i="17"/>
  <c r="N52" i="17"/>
  <c r="O52" i="17"/>
  <c r="P52" i="17"/>
  <c r="Q52" i="17"/>
  <c r="R52" i="17"/>
  <c r="S52" i="17"/>
  <c r="T52" i="17"/>
  <c r="U52" i="17"/>
  <c r="V52" i="17"/>
  <c r="W52" i="17"/>
  <c r="X52" i="17"/>
  <c r="Y52" i="17"/>
  <c r="Z52" i="17"/>
  <c r="AA52" i="17"/>
  <c r="AB52" i="17"/>
  <c r="AC52" i="17"/>
  <c r="AD52" i="17"/>
  <c r="AE52" i="17"/>
  <c r="AF52" i="17"/>
  <c r="H52" i="17"/>
  <c r="E54" i="17"/>
  <c r="D54" i="17" s="1"/>
  <c r="E55" i="17"/>
  <c r="G55" i="17" s="1"/>
  <c r="E56" i="17"/>
  <c r="G56" i="17" s="1"/>
  <c r="E57" i="17"/>
  <c r="G57" i="17" s="1"/>
  <c r="E53" i="17"/>
  <c r="G53" i="17" s="1"/>
  <c r="B54" i="17"/>
  <c r="B55" i="17"/>
  <c r="B56" i="17"/>
  <c r="B57" i="17"/>
  <c r="B53" i="17"/>
  <c r="E43" i="17"/>
  <c r="D43" i="17" s="1"/>
  <c r="B43" i="17"/>
  <c r="E36" i="17"/>
  <c r="B36" i="17"/>
  <c r="E29" i="17"/>
  <c r="B29" i="17"/>
  <c r="E120" i="17" l="1"/>
  <c r="F120" i="17" s="1"/>
  <c r="F55" i="17"/>
  <c r="D53" i="17"/>
  <c r="B109" i="17"/>
  <c r="F56" i="17"/>
  <c r="D56" i="17"/>
  <c r="F53" i="17"/>
  <c r="D55" i="17"/>
  <c r="D36" i="17"/>
  <c r="E109" i="17"/>
  <c r="G29" i="17"/>
  <c r="G43" i="17"/>
  <c r="F43" i="17"/>
  <c r="F65" i="17"/>
  <c r="G65" i="17"/>
  <c r="E52" i="17"/>
  <c r="D57" i="17"/>
  <c r="F57" i="17"/>
  <c r="F54" i="17"/>
  <c r="G54" i="17"/>
  <c r="C52" i="17"/>
  <c r="B52" i="17"/>
  <c r="F36" i="17"/>
  <c r="G36" i="17"/>
  <c r="D29" i="17"/>
  <c r="F29" i="17"/>
  <c r="D120" i="17" l="1"/>
  <c r="G120" i="17"/>
  <c r="D52" i="17"/>
  <c r="D109" i="17"/>
  <c r="G52" i="17"/>
  <c r="F109" i="17"/>
  <c r="G109" i="17"/>
  <c r="F52" i="17"/>
  <c r="C44" i="22" l="1"/>
  <c r="C45" i="22"/>
  <c r="C47" i="22"/>
  <c r="C48" i="22"/>
  <c r="C46" i="22"/>
  <c r="D27" i="19" l="1"/>
  <c r="B27" i="19"/>
  <c r="C18" i="18" l="1"/>
  <c r="D28" i="2" l="1"/>
  <c r="D24" i="2"/>
  <c r="E20" i="3" l="1"/>
  <c r="H11" i="3"/>
  <c r="C31" i="3" l="1"/>
  <c r="C30" i="3" s="1"/>
  <c r="C35" i="3"/>
  <c r="G11" i="3"/>
  <c r="G12" i="3"/>
  <c r="AH330" i="14"/>
  <c r="AD319" i="14"/>
  <c r="D319" i="14"/>
  <c r="AD283" i="14"/>
  <c r="J283" i="14"/>
  <c r="C283" i="14" s="1"/>
  <c r="D182" i="14"/>
  <c r="K168" i="14"/>
  <c r="J277" i="14" l="1"/>
  <c r="D330" i="14"/>
  <c r="C39" i="3"/>
  <c r="G171" i="14"/>
  <c r="D93" i="11"/>
  <c r="K90" i="11"/>
  <c r="K96" i="11"/>
  <c r="AF25" i="11"/>
  <c r="E20" i="15" l="1"/>
  <c r="D20" i="15"/>
  <c r="C20" i="15"/>
  <c r="AH20" i="15" l="1"/>
  <c r="AH14" i="15"/>
  <c r="K61" i="11"/>
  <c r="K64" i="11"/>
  <c r="K50" i="11"/>
  <c r="K49" i="11" s="1"/>
  <c r="K24" i="11"/>
  <c r="E11" i="15" l="1"/>
  <c r="I17" i="15"/>
  <c r="H17" i="15"/>
  <c r="E70" i="14" l="1"/>
  <c r="D70" i="14" s="1"/>
  <c r="AD34" i="14"/>
  <c r="B34" i="14" s="1"/>
  <c r="C15" i="14"/>
  <c r="C59" i="21" l="1"/>
  <c r="C53" i="21" s="1"/>
  <c r="C18" i="21" l="1"/>
  <c r="B265" i="14"/>
  <c r="C238" i="14" l="1"/>
  <c r="H54" i="2" l="1"/>
  <c r="P20" i="2"/>
  <c r="I55" i="2"/>
  <c r="D55" i="2"/>
  <c r="D54" i="2"/>
  <c r="D58" i="2" s="1"/>
  <c r="E51" i="2"/>
  <c r="E55" i="2" s="1"/>
  <c r="B51" i="2"/>
  <c r="B55" i="2" s="1"/>
  <c r="E48" i="2"/>
  <c r="E34" i="2"/>
  <c r="AG34" i="2" s="1"/>
  <c r="E31" i="2"/>
  <c r="D30" i="2"/>
  <c r="E28" i="2"/>
  <c r="E27" i="2"/>
  <c r="E23" i="2"/>
  <c r="E24" i="2"/>
  <c r="E16" i="2"/>
  <c r="D20" i="2"/>
  <c r="H19" i="2"/>
  <c r="H37" i="2" s="1"/>
  <c r="D16" i="2" l="1"/>
  <c r="H62" i="2"/>
  <c r="F55" i="2"/>
  <c r="G23" i="2"/>
  <c r="AG23" i="2"/>
  <c r="G15" i="2"/>
  <c r="AG15" i="2"/>
  <c r="G27" i="2"/>
  <c r="E30" i="2"/>
  <c r="G16" i="2"/>
  <c r="AG16" i="2"/>
  <c r="AG27" i="2"/>
  <c r="G34" i="2"/>
  <c r="F51" i="2"/>
  <c r="G51" i="2"/>
  <c r="AG51" i="2"/>
  <c r="E54" i="2"/>
  <c r="E58" i="2" s="1"/>
  <c r="AG48" i="2"/>
  <c r="G48" i="2"/>
  <c r="D53" i="2"/>
  <c r="B59" i="2"/>
  <c r="B50" i="2"/>
  <c r="E53" i="2" l="1"/>
  <c r="E26" i="21"/>
  <c r="G26" i="21" s="1"/>
  <c r="AE64" i="21"/>
  <c r="AA64" i="21"/>
  <c r="D26" i="21" l="1"/>
  <c r="F31" i="15"/>
  <c r="G31" i="15"/>
  <c r="E31" i="15"/>
  <c r="R25" i="15"/>
  <c r="R30" i="15" s="1"/>
  <c r="F23" i="15"/>
  <c r="G23" i="15"/>
  <c r="H23" i="15"/>
  <c r="I23" i="15"/>
  <c r="J23" i="15"/>
  <c r="K23" i="15"/>
  <c r="L23" i="15"/>
  <c r="M23" i="15"/>
  <c r="N23" i="15"/>
  <c r="O23" i="15"/>
  <c r="P23" i="15"/>
  <c r="Q23" i="15"/>
  <c r="R23" i="15"/>
  <c r="S23" i="15"/>
  <c r="T23" i="15"/>
  <c r="U23" i="15"/>
  <c r="V23" i="15"/>
  <c r="W23" i="15"/>
  <c r="X23" i="15"/>
  <c r="Y23" i="15"/>
  <c r="Z23" i="15"/>
  <c r="AA23" i="15"/>
  <c r="AB23" i="15"/>
  <c r="AC23" i="15"/>
  <c r="AD23" i="15"/>
  <c r="AE23" i="15"/>
  <c r="F24" i="15"/>
  <c r="G24" i="15"/>
  <c r="H24" i="15"/>
  <c r="I24" i="15"/>
  <c r="J24" i="15"/>
  <c r="K24" i="15"/>
  <c r="L24" i="15"/>
  <c r="M24" i="15"/>
  <c r="N24" i="15"/>
  <c r="O24" i="15"/>
  <c r="P24" i="15"/>
  <c r="Q24" i="15"/>
  <c r="R24" i="15"/>
  <c r="S24" i="15"/>
  <c r="T24" i="15"/>
  <c r="U24" i="15"/>
  <c r="V24" i="15"/>
  <c r="W24" i="15"/>
  <c r="X24" i="15"/>
  <c r="Y24" i="15"/>
  <c r="Z24" i="15"/>
  <c r="AA24" i="15"/>
  <c r="AB24" i="15"/>
  <c r="AC24" i="15"/>
  <c r="AD24" i="15"/>
  <c r="AE24" i="15"/>
  <c r="E23" i="15"/>
  <c r="E24" i="15"/>
  <c r="E26" i="15"/>
  <c r="G26" i="15"/>
  <c r="I26" i="15"/>
  <c r="F26" i="15"/>
  <c r="L17" i="15"/>
  <c r="M17" i="15"/>
  <c r="M16" i="15" s="1"/>
  <c r="N17" i="15"/>
  <c r="O17" i="15"/>
  <c r="O16" i="15" s="1"/>
  <c r="P17" i="15"/>
  <c r="Q17" i="15"/>
  <c r="Q16" i="15" s="1"/>
  <c r="R17" i="15"/>
  <c r="S17" i="15"/>
  <c r="S16" i="15" s="1"/>
  <c r="T17" i="15"/>
  <c r="U17" i="15"/>
  <c r="U16" i="15" s="1"/>
  <c r="V17" i="15"/>
  <c r="W17" i="15"/>
  <c r="W16" i="15" s="1"/>
  <c r="X17" i="15"/>
  <c r="Y17" i="15"/>
  <c r="Y16" i="15" s="1"/>
  <c r="Z17" i="15"/>
  <c r="AA17" i="15"/>
  <c r="AA16" i="15" s="1"/>
  <c r="AB17" i="15"/>
  <c r="AC17" i="15"/>
  <c r="AC16" i="15" s="1"/>
  <c r="AD17" i="15"/>
  <c r="AE17" i="15"/>
  <c r="AE16" i="15" s="1"/>
  <c r="K17" i="15"/>
  <c r="K16" i="15" s="1"/>
  <c r="B20" i="15"/>
  <c r="B14" i="15"/>
  <c r="B25" i="15" l="1"/>
  <c r="B30" i="15" s="1"/>
  <c r="I11" i="15"/>
  <c r="J11" i="15"/>
  <c r="K11" i="15"/>
  <c r="K10" i="15" s="1"/>
  <c r="L11" i="15"/>
  <c r="M11" i="15"/>
  <c r="M10" i="15" s="1"/>
  <c r="N11" i="15"/>
  <c r="O11" i="15"/>
  <c r="O10" i="15" s="1"/>
  <c r="P11" i="15"/>
  <c r="Q11" i="15"/>
  <c r="Q10" i="15" s="1"/>
  <c r="R11" i="15"/>
  <c r="S11" i="15"/>
  <c r="S10" i="15" s="1"/>
  <c r="T11" i="15"/>
  <c r="U11" i="15"/>
  <c r="U10" i="15" s="1"/>
  <c r="V11" i="15"/>
  <c r="W11" i="15"/>
  <c r="W10" i="15" s="1"/>
  <c r="X11" i="15"/>
  <c r="Y11" i="15"/>
  <c r="Y10" i="15" s="1"/>
  <c r="Z11" i="15"/>
  <c r="AA11" i="15"/>
  <c r="AA10" i="15" s="1"/>
  <c r="AB11" i="15"/>
  <c r="AC11" i="15"/>
  <c r="AC10" i="15" s="1"/>
  <c r="AD11" i="15"/>
  <c r="AE11" i="15"/>
  <c r="AE10" i="15" s="1"/>
  <c r="H11" i="15"/>
  <c r="H10" i="15" s="1"/>
  <c r="C15" i="15"/>
  <c r="F104" i="11" l="1"/>
  <c r="F101" i="11" s="1"/>
  <c r="G106" i="11"/>
  <c r="G104" i="11" s="1"/>
  <c r="G101" i="11" s="1"/>
  <c r="I81" i="11"/>
  <c r="D27" i="11"/>
  <c r="I28" i="5"/>
  <c r="I22" i="5" s="1"/>
  <c r="I43" i="5" s="1"/>
  <c r="I46" i="5" s="1"/>
  <c r="I45" i="5" s="1"/>
  <c r="I64" i="11"/>
  <c r="E6" i="18" l="1"/>
  <c r="D6" i="18"/>
  <c r="E5" i="2"/>
  <c r="D5" i="2"/>
  <c r="E54" i="22" l="1"/>
  <c r="C54" i="22"/>
  <c r="B54" i="22"/>
  <c r="E52" i="22"/>
  <c r="C52" i="22"/>
  <c r="B52" i="22"/>
  <c r="E51" i="22"/>
  <c r="C51" i="22"/>
  <c r="B51" i="22"/>
  <c r="AE50" i="22"/>
  <c r="AC50" i="22"/>
  <c r="AA50" i="22"/>
  <c r="Y50" i="22"/>
  <c r="X50" i="22"/>
  <c r="W50" i="22"/>
  <c r="S50" i="22"/>
  <c r="R50" i="22"/>
  <c r="O50" i="22"/>
  <c r="N50" i="22"/>
  <c r="M50" i="22"/>
  <c r="L50" i="22"/>
  <c r="K50" i="22"/>
  <c r="J50" i="22"/>
  <c r="I50" i="22"/>
  <c r="H50" i="22"/>
  <c r="E48" i="22"/>
  <c r="B48" i="22"/>
  <c r="E47" i="22"/>
  <c r="B47" i="22"/>
  <c r="E46" i="22"/>
  <c r="B46" i="22"/>
  <c r="E45" i="22"/>
  <c r="B45" i="22"/>
  <c r="E44" i="22"/>
  <c r="B44" i="22"/>
  <c r="AE43" i="22"/>
  <c r="AD43" i="22"/>
  <c r="AC43" i="22"/>
  <c r="AB43" i="22"/>
  <c r="AA43" i="22"/>
  <c r="Z43" i="22"/>
  <c r="Y43" i="22"/>
  <c r="X43" i="22"/>
  <c r="W43" i="22"/>
  <c r="V43" i="22"/>
  <c r="U43" i="22"/>
  <c r="T43" i="22"/>
  <c r="S43" i="22"/>
  <c r="R43" i="22"/>
  <c r="Q43" i="22"/>
  <c r="P43" i="22"/>
  <c r="O43" i="22"/>
  <c r="N43" i="22"/>
  <c r="M43" i="22"/>
  <c r="L43" i="22"/>
  <c r="K43" i="22"/>
  <c r="J43" i="22"/>
  <c r="I43" i="22"/>
  <c r="H43" i="22"/>
  <c r="C26" i="22"/>
  <c r="C19" i="22" s="1"/>
  <c r="B26" i="22"/>
  <c r="B19" i="22" s="1"/>
  <c r="C11" i="22"/>
  <c r="C9" i="22"/>
  <c r="AE21" i="22"/>
  <c r="AD21" i="22"/>
  <c r="AC21" i="22"/>
  <c r="AB21" i="22"/>
  <c r="AA21" i="22"/>
  <c r="Z21" i="22"/>
  <c r="Y21" i="22"/>
  <c r="X21" i="22"/>
  <c r="W21" i="22"/>
  <c r="U21" i="22"/>
  <c r="T21" i="22"/>
  <c r="O21" i="22"/>
  <c r="N21" i="22"/>
  <c r="M21" i="22"/>
  <c r="K21" i="22"/>
  <c r="J21" i="22"/>
  <c r="I21" i="22"/>
  <c r="H21" i="22"/>
  <c r="AE19" i="22"/>
  <c r="AE12" i="22" s="1"/>
  <c r="AD19" i="22"/>
  <c r="AD12" i="22" s="1"/>
  <c r="AC19" i="22"/>
  <c r="AC12" i="22" s="1"/>
  <c r="AB19" i="22"/>
  <c r="AB12" i="22" s="1"/>
  <c r="AA19" i="22"/>
  <c r="AA12" i="22" s="1"/>
  <c r="Z19" i="22"/>
  <c r="Z12" i="22" s="1"/>
  <c r="Y19" i="22"/>
  <c r="Y12" i="22" s="1"/>
  <c r="X19" i="22"/>
  <c r="X12" i="22" s="1"/>
  <c r="W19" i="22"/>
  <c r="W12" i="22" s="1"/>
  <c r="V19" i="22"/>
  <c r="V12" i="22" s="1"/>
  <c r="U19" i="22"/>
  <c r="U12" i="22" s="1"/>
  <c r="T19" i="22"/>
  <c r="T12" i="22" s="1"/>
  <c r="S19" i="22"/>
  <c r="S12" i="22" s="1"/>
  <c r="R19" i="22"/>
  <c r="R12" i="22" s="1"/>
  <c r="Q19" i="22"/>
  <c r="Q12" i="22" s="1"/>
  <c r="P19" i="22"/>
  <c r="P12" i="22" s="1"/>
  <c r="O19" i="22"/>
  <c r="O12" i="22" s="1"/>
  <c r="N19" i="22"/>
  <c r="N12" i="22" s="1"/>
  <c r="M19" i="22"/>
  <c r="M12" i="22" s="1"/>
  <c r="L19" i="22"/>
  <c r="L12" i="22" s="1"/>
  <c r="K19" i="22"/>
  <c r="K12" i="22" s="1"/>
  <c r="J19" i="22"/>
  <c r="J12" i="22" s="1"/>
  <c r="I19" i="22"/>
  <c r="I12" i="22" s="1"/>
  <c r="H19" i="22"/>
  <c r="H12" i="22" s="1"/>
  <c r="AE18" i="22"/>
  <c r="AE11" i="22" s="1"/>
  <c r="AD18" i="22"/>
  <c r="AD11" i="22" s="1"/>
  <c r="AC18" i="22"/>
  <c r="AC11" i="22" s="1"/>
  <c r="AB18" i="22"/>
  <c r="AB11" i="22" s="1"/>
  <c r="AA18" i="22"/>
  <c r="AA11" i="22" s="1"/>
  <c r="Z18" i="22"/>
  <c r="Z11" i="22" s="1"/>
  <c r="Y18" i="22"/>
  <c r="Y11" i="22" s="1"/>
  <c r="X18" i="22"/>
  <c r="X11" i="22" s="1"/>
  <c r="W18" i="22"/>
  <c r="W11" i="22" s="1"/>
  <c r="V11" i="22"/>
  <c r="U18" i="22"/>
  <c r="U11" i="22" s="1"/>
  <c r="T18" i="22"/>
  <c r="T11" i="22" s="1"/>
  <c r="S11" i="22"/>
  <c r="R11" i="22"/>
  <c r="Q11" i="22"/>
  <c r="P11" i="22"/>
  <c r="O18" i="22"/>
  <c r="O11" i="22" s="1"/>
  <c r="N18" i="22"/>
  <c r="N11" i="22" s="1"/>
  <c r="M18" i="22"/>
  <c r="M11" i="22" s="1"/>
  <c r="L18" i="22"/>
  <c r="L11" i="22" s="1"/>
  <c r="K18" i="22"/>
  <c r="K11" i="22" s="1"/>
  <c r="J18" i="22"/>
  <c r="J11" i="22" s="1"/>
  <c r="I18" i="22"/>
  <c r="I11" i="22" s="1"/>
  <c r="H18" i="22"/>
  <c r="H11" i="22" s="1"/>
  <c r="AE17" i="22"/>
  <c r="AE10" i="22" s="1"/>
  <c r="AD17" i="22"/>
  <c r="AD10" i="22" s="1"/>
  <c r="AC17" i="22"/>
  <c r="AC10" i="22" s="1"/>
  <c r="AB17" i="22"/>
  <c r="AB10" i="22" s="1"/>
  <c r="AA17" i="22"/>
  <c r="AA10" i="22" s="1"/>
  <c r="Z17" i="22"/>
  <c r="Z10" i="22" s="1"/>
  <c r="Y17" i="22"/>
  <c r="Y10" i="22" s="1"/>
  <c r="X17" i="22"/>
  <c r="X10" i="22" s="1"/>
  <c r="W17" i="22"/>
  <c r="W10" i="22" s="1"/>
  <c r="V10" i="22"/>
  <c r="U17" i="22"/>
  <c r="U10" i="22" s="1"/>
  <c r="T17" i="22"/>
  <c r="T10" i="22" s="1"/>
  <c r="S10" i="22"/>
  <c r="R10" i="22"/>
  <c r="Q10" i="22"/>
  <c r="P10" i="22"/>
  <c r="O17" i="22"/>
  <c r="O10" i="22" s="1"/>
  <c r="N17" i="22"/>
  <c r="N10" i="22" s="1"/>
  <c r="M17" i="22"/>
  <c r="M10" i="22" s="1"/>
  <c r="L10" i="22"/>
  <c r="K17" i="22"/>
  <c r="K10" i="22" s="1"/>
  <c r="J17" i="22"/>
  <c r="J10" i="22" s="1"/>
  <c r="I17" i="22"/>
  <c r="I10" i="22" s="1"/>
  <c r="H17" i="22"/>
  <c r="H10" i="22" s="1"/>
  <c r="AE16" i="22"/>
  <c r="AE9" i="22" s="1"/>
  <c r="AD16" i="22"/>
  <c r="AD9" i="22" s="1"/>
  <c r="AC16" i="22"/>
  <c r="AC9" i="22" s="1"/>
  <c r="AB16" i="22"/>
  <c r="AB9" i="22" s="1"/>
  <c r="AA16" i="22"/>
  <c r="AA9" i="22" s="1"/>
  <c r="Z16" i="22"/>
  <c r="Z9" i="22" s="1"/>
  <c r="Y16" i="22"/>
  <c r="Y9" i="22" s="1"/>
  <c r="X16" i="22"/>
  <c r="X9" i="22" s="1"/>
  <c r="W16" i="22"/>
  <c r="W9" i="22" s="1"/>
  <c r="U16" i="22"/>
  <c r="U9" i="22" s="1"/>
  <c r="T16" i="22"/>
  <c r="T9" i="22" s="1"/>
  <c r="S9" i="22"/>
  <c r="R9" i="22"/>
  <c r="Q9" i="22"/>
  <c r="P9" i="22"/>
  <c r="O16" i="22"/>
  <c r="O9" i="22" s="1"/>
  <c r="N16" i="22"/>
  <c r="N9" i="22" s="1"/>
  <c r="M16" i="22"/>
  <c r="M9" i="22" s="1"/>
  <c r="L16" i="22"/>
  <c r="L9" i="22" s="1"/>
  <c r="K16" i="22"/>
  <c r="K9" i="22" s="1"/>
  <c r="J16" i="22"/>
  <c r="J9" i="22" s="1"/>
  <c r="I16" i="22"/>
  <c r="I9" i="22" s="1"/>
  <c r="H16" i="22"/>
  <c r="H9" i="22" s="1"/>
  <c r="AE15" i="22"/>
  <c r="AE8" i="22" s="1"/>
  <c r="AD15" i="22"/>
  <c r="AD8" i="22" s="1"/>
  <c r="AC15" i="22"/>
  <c r="AC8" i="22" s="1"/>
  <c r="AB15" i="22"/>
  <c r="AA15" i="22"/>
  <c r="AA8" i="22" s="1"/>
  <c r="Z15" i="22"/>
  <c r="Z8" i="22" s="1"/>
  <c r="Y15" i="22"/>
  <c r="Y8" i="22" s="1"/>
  <c r="X15" i="22"/>
  <c r="W15" i="22"/>
  <c r="W8" i="22" s="1"/>
  <c r="V8" i="22"/>
  <c r="U15" i="22"/>
  <c r="U8" i="22" s="1"/>
  <c r="T15" i="22"/>
  <c r="S8" i="22"/>
  <c r="R8" i="22"/>
  <c r="Q8" i="22"/>
  <c r="O15" i="22"/>
  <c r="O8" i="22" s="1"/>
  <c r="N15" i="22"/>
  <c r="N8" i="22" s="1"/>
  <c r="M15" i="22"/>
  <c r="M8" i="22" s="1"/>
  <c r="L15" i="22"/>
  <c r="K15" i="22"/>
  <c r="K8" i="22" s="1"/>
  <c r="J15" i="22"/>
  <c r="J8" i="22" s="1"/>
  <c r="I15" i="22"/>
  <c r="H15" i="22"/>
  <c r="E139" i="21"/>
  <c r="B139"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E133" i="21"/>
  <c r="C150" i="21"/>
  <c r="B133"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E114" i="21"/>
  <c r="B114"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AE108" i="21"/>
  <c r="AD108" i="21"/>
  <c r="AC108" i="21"/>
  <c r="AC106" i="21" s="1"/>
  <c r="AB108" i="21"/>
  <c r="AB106" i="21" s="1"/>
  <c r="AA108" i="21"/>
  <c r="Z108" i="21"/>
  <c r="Y108" i="21"/>
  <c r="Y106" i="21" s="1"/>
  <c r="X108" i="21"/>
  <c r="X106" i="21" s="1"/>
  <c r="W108" i="21"/>
  <c r="V108" i="21"/>
  <c r="U108" i="21"/>
  <c r="U106" i="21" s="1"/>
  <c r="T108" i="21"/>
  <c r="T106" i="21" s="1"/>
  <c r="S108" i="21"/>
  <c r="R108" i="21"/>
  <c r="Q108" i="21"/>
  <c r="Q106" i="21" s="1"/>
  <c r="P108" i="21"/>
  <c r="P106" i="21" s="1"/>
  <c r="O108" i="21"/>
  <c r="N108" i="21"/>
  <c r="M108" i="21"/>
  <c r="M106" i="21" s="1"/>
  <c r="L108" i="21"/>
  <c r="L106" i="21" s="1"/>
  <c r="K108" i="21"/>
  <c r="J108" i="21"/>
  <c r="I108" i="21"/>
  <c r="H108" i="21"/>
  <c r="C108" i="21" s="1"/>
  <c r="E96" i="21"/>
  <c r="B96" i="21"/>
  <c r="AE94" i="21"/>
  <c r="AD94" i="21"/>
  <c r="AC94" i="21"/>
  <c r="AB94" i="21"/>
  <c r="AA94" i="21"/>
  <c r="Z94" i="21"/>
  <c r="Y94" i="21"/>
  <c r="X94" i="21"/>
  <c r="W94" i="21"/>
  <c r="V94" i="21"/>
  <c r="U94" i="21"/>
  <c r="T94" i="21"/>
  <c r="S94" i="21"/>
  <c r="R94" i="21"/>
  <c r="Q94" i="21"/>
  <c r="P94" i="21"/>
  <c r="O94" i="21"/>
  <c r="N94" i="21"/>
  <c r="M94" i="21"/>
  <c r="L94" i="21"/>
  <c r="K94" i="21"/>
  <c r="J94" i="21"/>
  <c r="I94" i="21"/>
  <c r="H94" i="21"/>
  <c r="E90" i="21"/>
  <c r="B90" i="21"/>
  <c r="AE88" i="21"/>
  <c r="AD88" i="21"/>
  <c r="AC88" i="21"/>
  <c r="AB88" i="21"/>
  <c r="AA88" i="21"/>
  <c r="Z88" i="21"/>
  <c r="Y88" i="21"/>
  <c r="X88" i="21"/>
  <c r="W88" i="21"/>
  <c r="V88" i="21"/>
  <c r="U88" i="21"/>
  <c r="T88" i="21"/>
  <c r="S88" i="21"/>
  <c r="R88" i="21"/>
  <c r="Q88" i="21"/>
  <c r="P88" i="21"/>
  <c r="O88" i="21"/>
  <c r="N88" i="21"/>
  <c r="M88" i="21"/>
  <c r="L88" i="21"/>
  <c r="K88" i="21"/>
  <c r="J88" i="21"/>
  <c r="I88" i="21"/>
  <c r="H88" i="21"/>
  <c r="E84" i="21"/>
  <c r="B84" i="21"/>
  <c r="AE82" i="21"/>
  <c r="AD82" i="21"/>
  <c r="AC82" i="21"/>
  <c r="AB82" i="21"/>
  <c r="AA82" i="21"/>
  <c r="Z82" i="21"/>
  <c r="Y82" i="21"/>
  <c r="X82" i="21"/>
  <c r="W82" i="21"/>
  <c r="V82" i="21"/>
  <c r="U82" i="21"/>
  <c r="T82" i="21"/>
  <c r="S82" i="21"/>
  <c r="R82" i="21"/>
  <c r="Q82" i="21"/>
  <c r="P82" i="21"/>
  <c r="O82" i="21"/>
  <c r="N82" i="21"/>
  <c r="M82" i="21"/>
  <c r="L82" i="21"/>
  <c r="K82" i="21"/>
  <c r="J82" i="21"/>
  <c r="I82" i="21"/>
  <c r="H82" i="21"/>
  <c r="E78" i="21"/>
  <c r="B78" i="21"/>
  <c r="AE76" i="21"/>
  <c r="AD76" i="21"/>
  <c r="AC76" i="21"/>
  <c r="AB76" i="21"/>
  <c r="AA76" i="21"/>
  <c r="Z76" i="21"/>
  <c r="Y76" i="21"/>
  <c r="X76" i="21"/>
  <c r="W76" i="21"/>
  <c r="V76" i="21"/>
  <c r="U76" i="21"/>
  <c r="T76" i="21"/>
  <c r="S76" i="21"/>
  <c r="R76" i="21"/>
  <c r="Q76" i="21"/>
  <c r="P76" i="21"/>
  <c r="O76" i="21"/>
  <c r="N76" i="21"/>
  <c r="M76" i="21"/>
  <c r="L76" i="21"/>
  <c r="K76" i="21"/>
  <c r="J76" i="21"/>
  <c r="I76" i="21"/>
  <c r="H76" i="21"/>
  <c r="E72" i="21"/>
  <c r="B72" i="21"/>
  <c r="AE70" i="21"/>
  <c r="AD70" i="21"/>
  <c r="AC70" i="21"/>
  <c r="AB70" i="21"/>
  <c r="AA70" i="21"/>
  <c r="Z70" i="21"/>
  <c r="Y70" i="21"/>
  <c r="X70" i="21"/>
  <c r="W70" i="21"/>
  <c r="V70" i="21"/>
  <c r="U70" i="21"/>
  <c r="T70" i="21"/>
  <c r="S70" i="21"/>
  <c r="R70" i="21"/>
  <c r="Q70" i="21"/>
  <c r="P70" i="21"/>
  <c r="O70" i="21"/>
  <c r="N70" i="21"/>
  <c r="M70" i="21"/>
  <c r="L70" i="21"/>
  <c r="K70" i="21"/>
  <c r="J70" i="21"/>
  <c r="I70" i="21"/>
  <c r="H70" i="21"/>
  <c r="E62" i="21"/>
  <c r="C62" i="21"/>
  <c r="E61" i="21"/>
  <c r="C61" i="21"/>
  <c r="E66" i="21"/>
  <c r="B66" i="21"/>
  <c r="B60" i="21" s="1"/>
  <c r="AD64" i="21"/>
  <c r="AB64" i="21"/>
  <c r="Z64" i="21"/>
  <c r="Y64" i="21"/>
  <c r="X64" i="21"/>
  <c r="W64" i="21"/>
  <c r="V64" i="21"/>
  <c r="U64" i="21"/>
  <c r="T64" i="21"/>
  <c r="S64" i="21"/>
  <c r="R64" i="21"/>
  <c r="Q64" i="21"/>
  <c r="P64" i="21"/>
  <c r="O64" i="21"/>
  <c r="N64" i="21"/>
  <c r="M64" i="21"/>
  <c r="L64" i="21"/>
  <c r="K64" i="21"/>
  <c r="J64" i="21"/>
  <c r="I64" i="21"/>
  <c r="H64" i="21"/>
  <c r="AE62" i="21"/>
  <c r="AE56" i="21" s="1"/>
  <c r="AD62" i="21"/>
  <c r="AD56" i="21" s="1"/>
  <c r="AC62" i="21"/>
  <c r="AC56" i="21" s="1"/>
  <c r="AB62" i="21"/>
  <c r="AB56" i="21" s="1"/>
  <c r="AA62" i="21"/>
  <c r="AA56" i="21" s="1"/>
  <c r="Z62" i="21"/>
  <c r="Z56" i="21" s="1"/>
  <c r="Y62" i="21"/>
  <c r="Y56" i="21" s="1"/>
  <c r="X62" i="21"/>
  <c r="X56" i="21" s="1"/>
  <c r="W62" i="21"/>
  <c r="W56" i="21" s="1"/>
  <c r="V62" i="21"/>
  <c r="V56" i="21" s="1"/>
  <c r="U62" i="21"/>
  <c r="U56" i="21" s="1"/>
  <c r="T62" i="21"/>
  <c r="T56" i="21" s="1"/>
  <c r="S62" i="21"/>
  <c r="S56" i="21" s="1"/>
  <c r="R62" i="21"/>
  <c r="R56" i="21" s="1"/>
  <c r="Q62" i="21"/>
  <c r="Q56" i="21" s="1"/>
  <c r="P62" i="21"/>
  <c r="P56" i="21" s="1"/>
  <c r="O62" i="21"/>
  <c r="O56" i="21" s="1"/>
  <c r="N62" i="21"/>
  <c r="N56" i="21" s="1"/>
  <c r="M62" i="21"/>
  <c r="M56" i="21" s="1"/>
  <c r="L62" i="21"/>
  <c r="L56" i="21" s="1"/>
  <c r="K62" i="21"/>
  <c r="K56" i="21" s="1"/>
  <c r="J62" i="21"/>
  <c r="J56" i="21" s="1"/>
  <c r="I62" i="21"/>
  <c r="I56" i="21" s="1"/>
  <c r="H62" i="21"/>
  <c r="H56" i="21" s="1"/>
  <c r="AE61" i="21"/>
  <c r="AE55" i="21" s="1"/>
  <c r="AD61" i="21"/>
  <c r="AD55" i="21" s="1"/>
  <c r="AC61" i="21"/>
  <c r="AC55" i="21" s="1"/>
  <c r="AB61" i="21"/>
  <c r="AB55" i="21" s="1"/>
  <c r="AA61" i="21"/>
  <c r="AA55" i="21" s="1"/>
  <c r="Z61" i="21"/>
  <c r="Z55" i="21" s="1"/>
  <c r="Y61" i="21"/>
  <c r="Y55" i="21" s="1"/>
  <c r="X61" i="21"/>
  <c r="X55" i="21" s="1"/>
  <c r="W61" i="21"/>
  <c r="W55" i="21" s="1"/>
  <c r="V61" i="21"/>
  <c r="V55" i="21" s="1"/>
  <c r="U61" i="21"/>
  <c r="U55" i="21" s="1"/>
  <c r="T61" i="21"/>
  <c r="T55" i="21" s="1"/>
  <c r="S61" i="21"/>
  <c r="S55" i="21" s="1"/>
  <c r="R61" i="21"/>
  <c r="R55" i="21" s="1"/>
  <c r="Q61" i="21"/>
  <c r="Q55" i="21" s="1"/>
  <c r="P61" i="21"/>
  <c r="P55" i="21" s="1"/>
  <c r="O61" i="21"/>
  <c r="O55" i="21" s="1"/>
  <c r="N61" i="21"/>
  <c r="N55" i="21" s="1"/>
  <c r="M61" i="21"/>
  <c r="M55" i="21" s="1"/>
  <c r="L61" i="21"/>
  <c r="L55" i="21" s="1"/>
  <c r="K61" i="21"/>
  <c r="K55" i="21" s="1"/>
  <c r="J61" i="21"/>
  <c r="J55" i="21" s="1"/>
  <c r="I61" i="21"/>
  <c r="I55" i="21" s="1"/>
  <c r="H61" i="21"/>
  <c r="H55" i="21" s="1"/>
  <c r="AE60" i="21"/>
  <c r="AE54" i="21" s="1"/>
  <c r="AD60" i="21"/>
  <c r="AD54" i="21" s="1"/>
  <c r="AC60" i="21"/>
  <c r="AC54" i="21" s="1"/>
  <c r="AB60" i="21"/>
  <c r="AB54" i="21" s="1"/>
  <c r="AA60" i="21"/>
  <c r="AA54" i="21" s="1"/>
  <c r="Z60" i="21"/>
  <c r="Z54" i="21" s="1"/>
  <c r="Y60" i="21"/>
  <c r="Y54" i="21" s="1"/>
  <c r="X60" i="21"/>
  <c r="X54" i="21" s="1"/>
  <c r="W60" i="21"/>
  <c r="W54" i="21" s="1"/>
  <c r="V60" i="21"/>
  <c r="V54" i="21" s="1"/>
  <c r="U60" i="21"/>
  <c r="U54" i="21" s="1"/>
  <c r="T60" i="21"/>
  <c r="T54" i="21" s="1"/>
  <c r="S60" i="21"/>
  <c r="S54" i="21" s="1"/>
  <c r="R60" i="21"/>
  <c r="R54" i="21" s="1"/>
  <c r="Q60" i="21"/>
  <c r="Q54" i="21" s="1"/>
  <c r="P60" i="21"/>
  <c r="P54" i="21" s="1"/>
  <c r="O60" i="21"/>
  <c r="O54" i="21" s="1"/>
  <c r="N60" i="21"/>
  <c r="N54" i="21" s="1"/>
  <c r="M60" i="21"/>
  <c r="M54" i="21" s="1"/>
  <c r="L60" i="21"/>
  <c r="L54" i="21" s="1"/>
  <c r="K60" i="21"/>
  <c r="K54" i="21" s="1"/>
  <c r="J60" i="21"/>
  <c r="J54" i="21" s="1"/>
  <c r="I60" i="21"/>
  <c r="I54" i="21" s="1"/>
  <c r="H60" i="21"/>
  <c r="H54" i="21" s="1"/>
  <c r="C60" i="21"/>
  <c r="AE59" i="21"/>
  <c r="AE53" i="21" s="1"/>
  <c r="AD59" i="21"/>
  <c r="AD53" i="21" s="1"/>
  <c r="AC59" i="21"/>
  <c r="AC53" i="21" s="1"/>
  <c r="AB59" i="21"/>
  <c r="AB53" i="21" s="1"/>
  <c r="AA59" i="21"/>
  <c r="AA53" i="21" s="1"/>
  <c r="Z59" i="21"/>
  <c r="Z53" i="21" s="1"/>
  <c r="Y59" i="21"/>
  <c r="Y53" i="21" s="1"/>
  <c r="X59" i="21"/>
  <c r="X53" i="21" s="1"/>
  <c r="W59" i="21"/>
  <c r="W53" i="21" s="1"/>
  <c r="V59" i="21"/>
  <c r="V53" i="21" s="1"/>
  <c r="U59" i="21"/>
  <c r="U53" i="21" s="1"/>
  <c r="T59" i="21"/>
  <c r="T53" i="21" s="1"/>
  <c r="S59" i="21"/>
  <c r="S53" i="21" s="1"/>
  <c r="R59" i="21"/>
  <c r="R53" i="21" s="1"/>
  <c r="Q59" i="21"/>
  <c r="Q53" i="21" s="1"/>
  <c r="P59" i="21"/>
  <c r="P53" i="21" s="1"/>
  <c r="O59" i="21"/>
  <c r="O53" i="21" s="1"/>
  <c r="N59" i="21"/>
  <c r="N53" i="21" s="1"/>
  <c r="M59" i="21"/>
  <c r="M53" i="21" s="1"/>
  <c r="L59" i="21"/>
  <c r="L53" i="21" s="1"/>
  <c r="K59" i="21"/>
  <c r="K53" i="21" s="1"/>
  <c r="J59" i="21"/>
  <c r="J53" i="21" s="1"/>
  <c r="I59" i="21"/>
  <c r="I53" i="21" s="1"/>
  <c r="H59" i="21"/>
  <c r="H53" i="21" s="1"/>
  <c r="E50" i="21"/>
  <c r="B50" i="21"/>
  <c r="E49" i="21"/>
  <c r="B49" i="21"/>
  <c r="E48" i="21"/>
  <c r="B48" i="21"/>
  <c r="E47" i="21"/>
  <c r="B47" i="21"/>
  <c r="AE46" i="21"/>
  <c r="AD46" i="21"/>
  <c r="AC46" i="21"/>
  <c r="AB46" i="21"/>
  <c r="AA46" i="21"/>
  <c r="Z46" i="21"/>
  <c r="Y46" i="21"/>
  <c r="X46" i="21"/>
  <c r="W46" i="21"/>
  <c r="V46" i="21"/>
  <c r="U46" i="21"/>
  <c r="T46" i="21"/>
  <c r="S46" i="21"/>
  <c r="R46" i="21"/>
  <c r="Q46" i="21"/>
  <c r="P46" i="21"/>
  <c r="O46" i="21"/>
  <c r="N46" i="21"/>
  <c r="M46" i="21"/>
  <c r="L46" i="21"/>
  <c r="K46" i="21"/>
  <c r="J46" i="21"/>
  <c r="I46" i="21"/>
  <c r="H46" i="21"/>
  <c r="E44" i="21"/>
  <c r="B44" i="21"/>
  <c r="E43" i="21"/>
  <c r="B43" i="21"/>
  <c r="E42" i="21"/>
  <c r="B42" i="21"/>
  <c r="E41" i="21"/>
  <c r="B41" i="21"/>
  <c r="AE40" i="21"/>
  <c r="AD40" i="21"/>
  <c r="AC40" i="21"/>
  <c r="AB40" i="21"/>
  <c r="AA40" i="21"/>
  <c r="Z40" i="21"/>
  <c r="Y40" i="21"/>
  <c r="X40" i="21"/>
  <c r="W40" i="21"/>
  <c r="V40" i="21"/>
  <c r="U40" i="21"/>
  <c r="T40" i="21"/>
  <c r="S40" i="21"/>
  <c r="R40" i="21"/>
  <c r="Q40" i="21"/>
  <c r="P40" i="21"/>
  <c r="O40" i="21"/>
  <c r="N40" i="21"/>
  <c r="M40" i="21"/>
  <c r="L40" i="21"/>
  <c r="K40" i="21"/>
  <c r="J40" i="21"/>
  <c r="I40" i="21"/>
  <c r="H40" i="21"/>
  <c r="E38" i="21"/>
  <c r="B38" i="21"/>
  <c r="E36" i="21"/>
  <c r="B36" i="21"/>
  <c r="E35" i="21"/>
  <c r="B35" i="21"/>
  <c r="AE34" i="21"/>
  <c r="AD34" i="21"/>
  <c r="AC34" i="21"/>
  <c r="AB34" i="21"/>
  <c r="AA34" i="21"/>
  <c r="Z34" i="21"/>
  <c r="Y34" i="21"/>
  <c r="X34" i="21"/>
  <c r="W34" i="21"/>
  <c r="V34" i="21"/>
  <c r="U34" i="21"/>
  <c r="T34" i="21"/>
  <c r="S34" i="21"/>
  <c r="R34" i="21"/>
  <c r="Q34" i="21"/>
  <c r="P34" i="21"/>
  <c r="O34" i="21"/>
  <c r="N34" i="21"/>
  <c r="M34" i="21"/>
  <c r="L34" i="21"/>
  <c r="K34" i="21"/>
  <c r="J34" i="21"/>
  <c r="I34" i="21"/>
  <c r="H34" i="21"/>
  <c r="E30" i="21"/>
  <c r="B30" i="21"/>
  <c r="AE28" i="21"/>
  <c r="AD28" i="21"/>
  <c r="AC28" i="21"/>
  <c r="AB28" i="21"/>
  <c r="AA28" i="21"/>
  <c r="Z28" i="21"/>
  <c r="Y28" i="21"/>
  <c r="X28" i="21"/>
  <c r="W28" i="21"/>
  <c r="V28" i="21"/>
  <c r="U28" i="21"/>
  <c r="T28" i="21"/>
  <c r="S28" i="21"/>
  <c r="R28" i="21"/>
  <c r="Q28" i="21"/>
  <c r="P28" i="21"/>
  <c r="O28" i="21"/>
  <c r="N28" i="21"/>
  <c r="M28" i="21"/>
  <c r="L28" i="21"/>
  <c r="K28" i="21"/>
  <c r="J28" i="21"/>
  <c r="I28" i="21"/>
  <c r="H28" i="21"/>
  <c r="B26" i="21"/>
  <c r="F26" i="21" s="1"/>
  <c r="E24" i="21"/>
  <c r="B24" i="21"/>
  <c r="E23" i="21"/>
  <c r="B23" i="21"/>
  <c r="AE22" i="21"/>
  <c r="AD22" i="21"/>
  <c r="AC22" i="21"/>
  <c r="AB22" i="21"/>
  <c r="AA22" i="21"/>
  <c r="Z22" i="21"/>
  <c r="Y22" i="21"/>
  <c r="X22" i="21"/>
  <c r="W22" i="21"/>
  <c r="V22" i="21"/>
  <c r="U22" i="21"/>
  <c r="T22" i="21"/>
  <c r="S22" i="21"/>
  <c r="R22" i="21"/>
  <c r="Q22" i="21"/>
  <c r="P22" i="21"/>
  <c r="O22" i="21"/>
  <c r="N22" i="21"/>
  <c r="M22" i="21"/>
  <c r="L22" i="21"/>
  <c r="K22" i="21"/>
  <c r="J22" i="21"/>
  <c r="I22" i="21"/>
  <c r="H22" i="21"/>
  <c r="AE20" i="21"/>
  <c r="AD20" i="21"/>
  <c r="AC20" i="21"/>
  <c r="AB20" i="21"/>
  <c r="AA20" i="21"/>
  <c r="Z20" i="21"/>
  <c r="Y20" i="21"/>
  <c r="X20" i="21"/>
  <c r="W20" i="21"/>
  <c r="V20" i="21"/>
  <c r="U20" i="21"/>
  <c r="T20" i="21"/>
  <c r="S20" i="21"/>
  <c r="R20" i="21"/>
  <c r="Q20" i="21"/>
  <c r="P20" i="21"/>
  <c r="O20" i="21"/>
  <c r="N20" i="21"/>
  <c r="M20" i="21"/>
  <c r="L20" i="21"/>
  <c r="K20" i="21"/>
  <c r="J20" i="21"/>
  <c r="I20" i="21"/>
  <c r="H20" i="21"/>
  <c r="AE19" i="21"/>
  <c r="AD19" i="21"/>
  <c r="AC19" i="21"/>
  <c r="AB19" i="21"/>
  <c r="AA19" i="21"/>
  <c r="Z19" i="21"/>
  <c r="Y19" i="21"/>
  <c r="X19" i="21"/>
  <c r="W19" i="21"/>
  <c r="V19" i="21"/>
  <c r="U19" i="21"/>
  <c r="T19" i="21"/>
  <c r="S19" i="21"/>
  <c r="R19" i="21"/>
  <c r="Q19" i="21"/>
  <c r="P19" i="21"/>
  <c r="O19" i="21"/>
  <c r="N19" i="21"/>
  <c r="M19" i="21"/>
  <c r="L19" i="21"/>
  <c r="K19" i="21"/>
  <c r="J19" i="21"/>
  <c r="I19" i="21"/>
  <c r="H19" i="21"/>
  <c r="AE18" i="21"/>
  <c r="AD18" i="21"/>
  <c r="AC18" i="21"/>
  <c r="AB18" i="21"/>
  <c r="AA18" i="21"/>
  <c r="Z18" i="21"/>
  <c r="Y18" i="21"/>
  <c r="X18" i="21"/>
  <c r="W18" i="21"/>
  <c r="V18" i="21"/>
  <c r="U18" i="21"/>
  <c r="T18" i="21"/>
  <c r="S18" i="21"/>
  <c r="R18" i="21"/>
  <c r="Q18" i="21"/>
  <c r="P18" i="21"/>
  <c r="O18" i="21"/>
  <c r="N18" i="21"/>
  <c r="M18" i="21"/>
  <c r="L18" i="21"/>
  <c r="K18" i="21"/>
  <c r="J18" i="21"/>
  <c r="I18" i="21"/>
  <c r="H18" i="21"/>
  <c r="AE17" i="21"/>
  <c r="AD17" i="21"/>
  <c r="AC17" i="21"/>
  <c r="AB17" i="21"/>
  <c r="AA17" i="21"/>
  <c r="Z17" i="21"/>
  <c r="Y17" i="21"/>
  <c r="X17" i="21"/>
  <c r="W17" i="21"/>
  <c r="V17" i="21"/>
  <c r="U17" i="21"/>
  <c r="T17" i="21"/>
  <c r="S17" i="21"/>
  <c r="R17" i="21"/>
  <c r="Q17" i="21"/>
  <c r="P17" i="21"/>
  <c r="O17" i="21"/>
  <c r="N17" i="21"/>
  <c r="M17" i="21"/>
  <c r="L17" i="21"/>
  <c r="K17" i="21"/>
  <c r="J17" i="21"/>
  <c r="I17" i="21"/>
  <c r="H17" i="21"/>
  <c r="S16" i="21"/>
  <c r="E10" i="21"/>
  <c r="E9" i="21" s="1"/>
  <c r="B12" i="21"/>
  <c r="B11" i="21" s="1"/>
  <c r="AE11" i="21"/>
  <c r="AD11" i="21"/>
  <c r="AC11" i="21"/>
  <c r="AB11" i="21"/>
  <c r="AA11" i="21"/>
  <c r="Z11" i="21"/>
  <c r="Y11" i="21"/>
  <c r="X11" i="21"/>
  <c r="W11" i="21"/>
  <c r="V11" i="21"/>
  <c r="U11" i="21"/>
  <c r="T11" i="21"/>
  <c r="S11" i="21"/>
  <c r="R11" i="21"/>
  <c r="Q11" i="21"/>
  <c r="P11" i="21"/>
  <c r="O11" i="21"/>
  <c r="N11" i="21"/>
  <c r="M11" i="21"/>
  <c r="L11" i="21"/>
  <c r="K11" i="21"/>
  <c r="J11" i="21"/>
  <c r="I11" i="21"/>
  <c r="H11" i="21"/>
  <c r="AE10" i="21"/>
  <c r="AD10" i="21"/>
  <c r="AC10" i="21"/>
  <c r="AC9" i="21" s="1"/>
  <c r="AB10" i="21"/>
  <c r="AA10" i="21"/>
  <c r="AA9" i="21" s="1"/>
  <c r="Z10" i="21"/>
  <c r="Z9" i="21" s="1"/>
  <c r="Y10" i="21"/>
  <c r="Y9" i="21" s="1"/>
  <c r="X10" i="21"/>
  <c r="W10" i="21"/>
  <c r="W9" i="21" s="1"/>
  <c r="V10" i="21"/>
  <c r="U10" i="21"/>
  <c r="U9" i="21" s="1"/>
  <c r="T10" i="21"/>
  <c r="S10" i="21"/>
  <c r="S9" i="21" s="1"/>
  <c r="R10" i="21"/>
  <c r="Q10" i="21"/>
  <c r="Q9" i="21" s="1"/>
  <c r="P10" i="21"/>
  <c r="O10" i="21"/>
  <c r="O9" i="21" s="1"/>
  <c r="N10" i="21"/>
  <c r="M10" i="21"/>
  <c r="M9" i="21" s="1"/>
  <c r="L10" i="21"/>
  <c r="K10" i="21"/>
  <c r="K9" i="21" s="1"/>
  <c r="J10" i="21"/>
  <c r="J9" i="21" s="1"/>
  <c r="I10" i="21"/>
  <c r="I9" i="21" s="1"/>
  <c r="H10" i="21"/>
  <c r="AE9" i="21"/>
  <c r="AC54" i="19"/>
  <c r="AE56" i="19"/>
  <c r="AE54" i="19" s="1"/>
  <c r="AD56" i="19"/>
  <c r="AD54" i="19" s="1"/>
  <c r="AB56" i="19"/>
  <c r="AA56" i="19"/>
  <c r="Z56" i="19"/>
  <c r="Y56" i="19"/>
  <c r="X56" i="19"/>
  <c r="X54" i="19" s="1"/>
  <c r="W56" i="19"/>
  <c r="V56" i="19"/>
  <c r="U56" i="19"/>
  <c r="T56" i="19"/>
  <c r="S56" i="19"/>
  <c r="R56" i="19"/>
  <c r="Q56" i="19"/>
  <c r="P56" i="19"/>
  <c r="O56" i="19"/>
  <c r="N56" i="19"/>
  <c r="M56" i="19"/>
  <c r="L56" i="19"/>
  <c r="K56" i="19"/>
  <c r="J56" i="19"/>
  <c r="I56" i="19"/>
  <c r="H56" i="19"/>
  <c r="H54" i="19" s="1"/>
  <c r="E56" i="19"/>
  <c r="C56" i="19"/>
  <c r="B49" i="19"/>
  <c r="B56" i="19" s="1"/>
  <c r="C55" i="19"/>
  <c r="AE47" i="19"/>
  <c r="AD47" i="19"/>
  <c r="AC47" i="19"/>
  <c r="AB47" i="19"/>
  <c r="AA47" i="19"/>
  <c r="Z47" i="19"/>
  <c r="Y47" i="19"/>
  <c r="X47" i="19"/>
  <c r="W47" i="19"/>
  <c r="V47" i="19"/>
  <c r="U47" i="19"/>
  <c r="T47" i="19"/>
  <c r="S47" i="19"/>
  <c r="R47" i="19"/>
  <c r="Q47" i="19"/>
  <c r="P47" i="19"/>
  <c r="O47" i="19"/>
  <c r="N47" i="19"/>
  <c r="M47" i="19"/>
  <c r="L47" i="19"/>
  <c r="K47" i="19"/>
  <c r="J47" i="19"/>
  <c r="I47" i="19"/>
  <c r="H47" i="19"/>
  <c r="AE31" i="19"/>
  <c r="AD31" i="19"/>
  <c r="AC31" i="19"/>
  <c r="AB31" i="19"/>
  <c r="AA31" i="19"/>
  <c r="Z31" i="19"/>
  <c r="Y31" i="19"/>
  <c r="X31" i="19"/>
  <c r="W31" i="19"/>
  <c r="V31" i="19"/>
  <c r="U31" i="19"/>
  <c r="T31" i="19"/>
  <c r="S31" i="19"/>
  <c r="R31" i="19"/>
  <c r="Q31" i="19"/>
  <c r="P31" i="19"/>
  <c r="O31" i="19"/>
  <c r="N31" i="19"/>
  <c r="M31" i="19"/>
  <c r="L31" i="19"/>
  <c r="K31" i="19"/>
  <c r="J31" i="19"/>
  <c r="I31" i="19"/>
  <c r="H31" i="19"/>
  <c r="AE24" i="19"/>
  <c r="AD24" i="19"/>
  <c r="AC24" i="19"/>
  <c r="AB24" i="19"/>
  <c r="AA24" i="19"/>
  <c r="Z24" i="19"/>
  <c r="Y24" i="19"/>
  <c r="X24" i="19"/>
  <c r="W24" i="19"/>
  <c r="V24" i="19"/>
  <c r="U24" i="19"/>
  <c r="T24" i="19"/>
  <c r="S24" i="19"/>
  <c r="R24" i="19"/>
  <c r="Q24" i="19"/>
  <c r="P24" i="19"/>
  <c r="O24" i="19"/>
  <c r="N24" i="19"/>
  <c r="M24" i="19"/>
  <c r="L24" i="19"/>
  <c r="K24" i="19"/>
  <c r="J24" i="19"/>
  <c r="I24" i="19"/>
  <c r="H24" i="19"/>
  <c r="G146" i="18"/>
  <c r="F146" i="18"/>
  <c r="E133" i="18"/>
  <c r="D133" i="18" s="1"/>
  <c r="C132" i="18"/>
  <c r="B133"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AE130" i="18"/>
  <c r="AE146" i="18" s="1"/>
  <c r="AE145" i="18" s="1"/>
  <c r="AD130" i="18"/>
  <c r="AD146" i="18" s="1"/>
  <c r="AD145" i="18" s="1"/>
  <c r="AC130" i="18"/>
  <c r="AB130" i="18"/>
  <c r="AA130" i="18"/>
  <c r="AA146" i="18" s="1"/>
  <c r="AA145" i="18" s="1"/>
  <c r="Z130" i="18"/>
  <c r="Z146" i="18" s="1"/>
  <c r="Z145" i="18" s="1"/>
  <c r="Y130" i="18"/>
  <c r="X130" i="18"/>
  <c r="X146" i="18" s="1"/>
  <c r="X145" i="18" s="1"/>
  <c r="W130" i="18"/>
  <c r="W146" i="18" s="1"/>
  <c r="W145" i="18" s="1"/>
  <c r="V130" i="18"/>
  <c r="V146" i="18" s="1"/>
  <c r="V145" i="18" s="1"/>
  <c r="U130" i="18"/>
  <c r="T130" i="18"/>
  <c r="T146" i="18" s="1"/>
  <c r="T145" i="18" s="1"/>
  <c r="S130" i="18"/>
  <c r="S146" i="18" s="1"/>
  <c r="S145" i="18" s="1"/>
  <c r="R130" i="18"/>
  <c r="R146" i="18" s="1"/>
  <c r="R145" i="18" s="1"/>
  <c r="Q130" i="18"/>
  <c r="P130" i="18"/>
  <c r="P146" i="18" s="1"/>
  <c r="P145" i="18" s="1"/>
  <c r="O130" i="18"/>
  <c r="O146" i="18" s="1"/>
  <c r="O145" i="18" s="1"/>
  <c r="N130" i="18"/>
  <c r="N146" i="18" s="1"/>
  <c r="N145" i="18" s="1"/>
  <c r="M130" i="18"/>
  <c r="L130" i="18"/>
  <c r="L146" i="18" s="1"/>
  <c r="L145" i="18" s="1"/>
  <c r="K130" i="18"/>
  <c r="K146" i="18" s="1"/>
  <c r="K145" i="18" s="1"/>
  <c r="J130" i="18"/>
  <c r="J146" i="18" s="1"/>
  <c r="J145" i="18" s="1"/>
  <c r="I130" i="18"/>
  <c r="H130" i="18"/>
  <c r="H146" i="18" s="1"/>
  <c r="H145" i="18" s="1"/>
  <c r="E126" i="18"/>
  <c r="B126" i="18"/>
  <c r="E125" i="18"/>
  <c r="B125" i="18"/>
  <c r="E124" i="18"/>
  <c r="C123" i="18"/>
  <c r="B124"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E121" i="18"/>
  <c r="D121" i="18" s="1"/>
  <c r="B121" i="18"/>
  <c r="E120" i="18"/>
  <c r="D120" i="18" s="1"/>
  <c r="B120" i="18"/>
  <c r="E119" i="18"/>
  <c r="D119" i="18" s="1"/>
  <c r="B119"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C118" i="18"/>
  <c r="E116" i="18"/>
  <c r="D116" i="18" s="1"/>
  <c r="B116" i="18"/>
  <c r="E115" i="18"/>
  <c r="D115" i="18" s="1"/>
  <c r="B115" i="18"/>
  <c r="E114" i="18"/>
  <c r="D114" i="18" s="1"/>
  <c r="B114"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C113" i="18"/>
  <c r="E111" i="18"/>
  <c r="D111" i="18" s="1"/>
  <c r="B111" i="18"/>
  <c r="E110" i="18"/>
  <c r="D110" i="18" s="1"/>
  <c r="B110" i="18"/>
  <c r="E109" i="18"/>
  <c r="D109" i="18" s="1"/>
  <c r="B109"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C108" i="18"/>
  <c r="E106" i="18"/>
  <c r="D106" i="18" s="1"/>
  <c r="B106" i="18"/>
  <c r="E105" i="18"/>
  <c r="D105" i="18" s="1"/>
  <c r="B105" i="18"/>
  <c r="E104" i="18"/>
  <c r="D104" i="18" s="1"/>
  <c r="B104"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C103" i="18"/>
  <c r="E101" i="18"/>
  <c r="D101" i="18" s="1"/>
  <c r="B101" i="18"/>
  <c r="E100" i="18"/>
  <c r="D100" i="18" s="1"/>
  <c r="B100" i="18"/>
  <c r="E99" i="18"/>
  <c r="D99" i="18" s="1"/>
  <c r="B99" i="18"/>
  <c r="AE98" i="18"/>
  <c r="AD98" i="18"/>
  <c r="AC98" i="18"/>
  <c r="AB98" i="18"/>
  <c r="AA98" i="18"/>
  <c r="Z98" i="18"/>
  <c r="Y98" i="18"/>
  <c r="X98" i="18"/>
  <c r="W98" i="18"/>
  <c r="V98" i="18"/>
  <c r="U98" i="18"/>
  <c r="T98" i="18"/>
  <c r="S98" i="18"/>
  <c r="R98" i="18"/>
  <c r="Q98" i="18"/>
  <c r="P98" i="18"/>
  <c r="O98" i="18"/>
  <c r="N98" i="18"/>
  <c r="M98" i="18"/>
  <c r="L98" i="18"/>
  <c r="K98" i="18"/>
  <c r="J98" i="18"/>
  <c r="I98" i="18"/>
  <c r="H98" i="18"/>
  <c r="C98" i="18"/>
  <c r="E96" i="18"/>
  <c r="D96" i="18" s="1"/>
  <c r="B96" i="18"/>
  <c r="E95" i="18"/>
  <c r="D95" i="18" s="1"/>
  <c r="B95" i="18"/>
  <c r="E94" i="18"/>
  <c r="D94" i="18" s="1"/>
  <c r="B94" i="18"/>
  <c r="AE93" i="18"/>
  <c r="AD93" i="18"/>
  <c r="AC93" i="18"/>
  <c r="AB93" i="18"/>
  <c r="AA93" i="18"/>
  <c r="Z93" i="18"/>
  <c r="Y93" i="18"/>
  <c r="X93" i="18"/>
  <c r="W93" i="18"/>
  <c r="V93" i="18"/>
  <c r="U93" i="18"/>
  <c r="T93" i="18"/>
  <c r="S93" i="18"/>
  <c r="R93" i="18"/>
  <c r="Q93" i="18"/>
  <c r="P93" i="18"/>
  <c r="O93" i="18"/>
  <c r="N93" i="18"/>
  <c r="M93" i="18"/>
  <c r="L93" i="18"/>
  <c r="K93" i="18"/>
  <c r="J93" i="18"/>
  <c r="I93" i="18"/>
  <c r="H93" i="18"/>
  <c r="C93" i="18"/>
  <c r="E91" i="18"/>
  <c r="D91" i="18" s="1"/>
  <c r="B91" i="18"/>
  <c r="E90" i="18"/>
  <c r="D90" i="18" s="1"/>
  <c r="B90" i="18"/>
  <c r="E89" i="18"/>
  <c r="D89" i="18" s="1"/>
  <c r="B89" i="18"/>
  <c r="AE88" i="18"/>
  <c r="AD88" i="18"/>
  <c r="AC88" i="18"/>
  <c r="AB88" i="18"/>
  <c r="AA88" i="18"/>
  <c r="Z88" i="18"/>
  <c r="Y88" i="18"/>
  <c r="X88" i="18"/>
  <c r="W88" i="18"/>
  <c r="V88" i="18"/>
  <c r="U88" i="18"/>
  <c r="T88" i="18"/>
  <c r="S88" i="18"/>
  <c r="R88" i="18"/>
  <c r="Q88" i="18"/>
  <c r="P88" i="18"/>
  <c r="O88" i="18"/>
  <c r="N88" i="18"/>
  <c r="M88" i="18"/>
  <c r="L88" i="18"/>
  <c r="K88" i="18"/>
  <c r="J88" i="18"/>
  <c r="I88" i="18"/>
  <c r="H88" i="18"/>
  <c r="E86" i="18"/>
  <c r="D86" i="18" s="1"/>
  <c r="B86" i="18"/>
  <c r="E85" i="18"/>
  <c r="D85" i="18" s="1"/>
  <c r="B85" i="18"/>
  <c r="E84" i="18"/>
  <c r="D84" i="18" s="1"/>
  <c r="B84" i="18"/>
  <c r="AE83" i="18"/>
  <c r="AD83" i="18"/>
  <c r="AC83" i="18"/>
  <c r="AB83" i="18"/>
  <c r="AA83" i="18"/>
  <c r="Z83" i="18"/>
  <c r="Y83" i="18"/>
  <c r="X83" i="18"/>
  <c r="W83" i="18"/>
  <c r="V83" i="18"/>
  <c r="U83" i="18"/>
  <c r="T83" i="18"/>
  <c r="S83" i="18"/>
  <c r="R83" i="18"/>
  <c r="Q83" i="18"/>
  <c r="P83" i="18"/>
  <c r="O83" i="18"/>
  <c r="N83" i="18"/>
  <c r="M83" i="18"/>
  <c r="L83" i="18"/>
  <c r="K83" i="18"/>
  <c r="J83" i="18"/>
  <c r="I83" i="18"/>
  <c r="H83" i="18"/>
  <c r="E81" i="18"/>
  <c r="D81" i="18" s="1"/>
  <c r="B81" i="18"/>
  <c r="E80" i="18"/>
  <c r="D80" i="18" s="1"/>
  <c r="B80" i="18"/>
  <c r="E79" i="18"/>
  <c r="C78" i="18"/>
  <c r="B79" i="18"/>
  <c r="AE78" i="18"/>
  <c r="AD78" i="18"/>
  <c r="AC78" i="18"/>
  <c r="AB78" i="18"/>
  <c r="AA78" i="18"/>
  <c r="Z78" i="18"/>
  <c r="Y78" i="18"/>
  <c r="X78" i="18"/>
  <c r="W78" i="18"/>
  <c r="V78" i="18"/>
  <c r="U78" i="18"/>
  <c r="T78" i="18"/>
  <c r="S78" i="18"/>
  <c r="R78" i="18"/>
  <c r="Q78" i="18"/>
  <c r="P78" i="18"/>
  <c r="O78" i="18"/>
  <c r="N78" i="18"/>
  <c r="M78" i="18"/>
  <c r="L78" i="18"/>
  <c r="K78" i="18"/>
  <c r="J78" i="18"/>
  <c r="I78" i="18"/>
  <c r="H78" i="18"/>
  <c r="E76" i="18"/>
  <c r="B76" i="18"/>
  <c r="E75" i="18"/>
  <c r="B75" i="18"/>
  <c r="E74" i="18"/>
  <c r="B74" i="18"/>
  <c r="AE73" i="18"/>
  <c r="AD73" i="18"/>
  <c r="AC73" i="18"/>
  <c r="AB73" i="18"/>
  <c r="AA73" i="18"/>
  <c r="Z73" i="18"/>
  <c r="Y73" i="18"/>
  <c r="X73" i="18"/>
  <c r="W73" i="18"/>
  <c r="V73" i="18"/>
  <c r="U73" i="18"/>
  <c r="T73" i="18"/>
  <c r="S73" i="18"/>
  <c r="R73" i="18"/>
  <c r="Q73" i="18"/>
  <c r="P73" i="18"/>
  <c r="O73" i="18"/>
  <c r="N73" i="18"/>
  <c r="M73" i="18"/>
  <c r="L73" i="18"/>
  <c r="K73" i="18"/>
  <c r="J73" i="18"/>
  <c r="I73" i="18"/>
  <c r="H73" i="18"/>
  <c r="AE71" i="18"/>
  <c r="AD71" i="18"/>
  <c r="AC71" i="18"/>
  <c r="AB71" i="18"/>
  <c r="AA71" i="18"/>
  <c r="Z71" i="18"/>
  <c r="Y71" i="18"/>
  <c r="X71" i="18"/>
  <c r="W71" i="18"/>
  <c r="V71" i="18"/>
  <c r="U71" i="18"/>
  <c r="T71" i="18"/>
  <c r="S71" i="18"/>
  <c r="R71" i="18"/>
  <c r="Q71" i="18"/>
  <c r="P71" i="18"/>
  <c r="O71" i="18"/>
  <c r="N71" i="18"/>
  <c r="M71" i="18"/>
  <c r="L71" i="18"/>
  <c r="K71" i="18"/>
  <c r="J71" i="18"/>
  <c r="I71" i="18"/>
  <c r="H71" i="18"/>
  <c r="AE70" i="18"/>
  <c r="AD70" i="18"/>
  <c r="AC70" i="18"/>
  <c r="AB70" i="18"/>
  <c r="AA70" i="18"/>
  <c r="Z70" i="18"/>
  <c r="Y70" i="18"/>
  <c r="X70" i="18"/>
  <c r="W70" i="18"/>
  <c r="V70" i="18"/>
  <c r="U70" i="18"/>
  <c r="T70" i="18"/>
  <c r="S70" i="18"/>
  <c r="R70" i="18"/>
  <c r="Q70" i="18"/>
  <c r="P70" i="18"/>
  <c r="O70" i="18"/>
  <c r="N70" i="18"/>
  <c r="M70" i="18"/>
  <c r="L70" i="18"/>
  <c r="K70" i="18"/>
  <c r="J70" i="18"/>
  <c r="I70" i="18"/>
  <c r="H70" i="18"/>
  <c r="AE69" i="18"/>
  <c r="AD69" i="18"/>
  <c r="AC69" i="18"/>
  <c r="AC68" i="18" s="1"/>
  <c r="AB69" i="18"/>
  <c r="AB68" i="18" s="1"/>
  <c r="AA69" i="18"/>
  <c r="AA68" i="18" s="1"/>
  <c r="Z69" i="18"/>
  <c r="Y69" i="18"/>
  <c r="Y68" i="18" s="1"/>
  <c r="X69" i="18"/>
  <c r="X68" i="18" s="1"/>
  <c r="W69" i="18"/>
  <c r="W68" i="18" s="1"/>
  <c r="V69" i="18"/>
  <c r="U69" i="18"/>
  <c r="U68" i="18" s="1"/>
  <c r="T69" i="18"/>
  <c r="T68" i="18" s="1"/>
  <c r="S69" i="18"/>
  <c r="R69" i="18"/>
  <c r="Q69" i="18"/>
  <c r="Q68" i="18" s="1"/>
  <c r="P69" i="18"/>
  <c r="O69" i="18"/>
  <c r="O68" i="18" s="1"/>
  <c r="N69" i="18"/>
  <c r="M69" i="18"/>
  <c r="M68" i="18" s="1"/>
  <c r="L69" i="18"/>
  <c r="L68" i="18" s="1"/>
  <c r="K69" i="18"/>
  <c r="K68" i="18" s="1"/>
  <c r="J69" i="18"/>
  <c r="I69" i="18"/>
  <c r="H69" i="18"/>
  <c r="AE68" i="18"/>
  <c r="AE66" i="18"/>
  <c r="AD66" i="18"/>
  <c r="AC66" i="18"/>
  <c r="AB66" i="18"/>
  <c r="AA66" i="18"/>
  <c r="Z66" i="18"/>
  <c r="Y66" i="18"/>
  <c r="X66" i="18"/>
  <c r="W66" i="18"/>
  <c r="V66" i="18"/>
  <c r="U66" i="18"/>
  <c r="T66" i="18"/>
  <c r="S66" i="18"/>
  <c r="R66" i="18"/>
  <c r="AE65" i="18"/>
  <c r="AD65" i="18"/>
  <c r="AC65" i="18"/>
  <c r="AB65" i="18"/>
  <c r="AA65" i="18"/>
  <c r="Z65" i="18"/>
  <c r="Y65" i="18"/>
  <c r="X65" i="18"/>
  <c r="W65" i="18"/>
  <c r="V65" i="18"/>
  <c r="U65" i="18"/>
  <c r="T65" i="18"/>
  <c r="S65" i="18"/>
  <c r="R65" i="18"/>
  <c r="AE64" i="18"/>
  <c r="AD64" i="18"/>
  <c r="AC64" i="18"/>
  <c r="AB64" i="18"/>
  <c r="AA64" i="18"/>
  <c r="Z64" i="18"/>
  <c r="Y64" i="18"/>
  <c r="X64" i="18"/>
  <c r="W64" i="18"/>
  <c r="V64" i="18"/>
  <c r="U64" i="18"/>
  <c r="T64" i="18"/>
  <c r="S64" i="18"/>
  <c r="R64" i="18"/>
  <c r="P63" i="18"/>
  <c r="L63" i="18"/>
  <c r="H63" i="18"/>
  <c r="E61" i="18"/>
  <c r="D61" i="18" s="1"/>
  <c r="B61" i="18"/>
  <c r="E60" i="18"/>
  <c r="D60" i="18" s="1"/>
  <c r="B60" i="18"/>
  <c r="E59" i="18"/>
  <c r="D59" i="18" s="1"/>
  <c r="B59" i="18"/>
  <c r="AE58" i="18"/>
  <c r="AD58" i="18"/>
  <c r="AC58" i="18"/>
  <c r="AB58" i="18"/>
  <c r="AA58" i="18"/>
  <c r="Z58" i="18"/>
  <c r="Y58" i="18"/>
  <c r="X58" i="18"/>
  <c r="W58" i="18"/>
  <c r="V58" i="18"/>
  <c r="U58" i="18"/>
  <c r="T58" i="18"/>
  <c r="S58" i="18"/>
  <c r="R58" i="18"/>
  <c r="Q58" i="18"/>
  <c r="P58" i="18"/>
  <c r="O58" i="18"/>
  <c r="N58" i="18"/>
  <c r="M58" i="18"/>
  <c r="L58" i="18"/>
  <c r="K58" i="18"/>
  <c r="J58" i="18"/>
  <c r="I58" i="18"/>
  <c r="H58" i="18"/>
  <c r="AE56" i="18"/>
  <c r="AE46" i="18" s="1"/>
  <c r="AE41" i="18" s="1"/>
  <c r="AD56" i="18"/>
  <c r="AD46" i="18" s="1"/>
  <c r="AD41" i="18" s="1"/>
  <c r="AC56" i="18"/>
  <c r="AB56" i="18"/>
  <c r="AB46" i="18" s="1"/>
  <c r="AB41" i="18" s="1"/>
  <c r="AA56" i="18"/>
  <c r="AA46" i="18" s="1"/>
  <c r="AA41" i="18" s="1"/>
  <c r="Z56" i="18"/>
  <c r="Z46" i="18" s="1"/>
  <c r="Z41" i="18" s="1"/>
  <c r="Y56" i="18"/>
  <c r="Y46" i="18" s="1"/>
  <c r="Y41" i="18" s="1"/>
  <c r="X56" i="18"/>
  <c r="X46" i="18" s="1"/>
  <c r="X41" i="18" s="1"/>
  <c r="W56" i="18"/>
  <c r="W46" i="18" s="1"/>
  <c r="W41" i="18" s="1"/>
  <c r="V56" i="18"/>
  <c r="V46" i="18" s="1"/>
  <c r="V41" i="18" s="1"/>
  <c r="U56" i="18"/>
  <c r="U46" i="18" s="1"/>
  <c r="U41" i="18" s="1"/>
  <c r="T56" i="18"/>
  <c r="T46" i="18" s="1"/>
  <c r="T41" i="18" s="1"/>
  <c r="S56" i="18"/>
  <c r="S46" i="18" s="1"/>
  <c r="S41" i="18" s="1"/>
  <c r="R56" i="18"/>
  <c r="R46" i="18" s="1"/>
  <c r="Q56" i="18"/>
  <c r="Q46" i="18" s="1"/>
  <c r="Q41" i="18" s="1"/>
  <c r="P56" i="18"/>
  <c r="P46" i="18" s="1"/>
  <c r="P41" i="18" s="1"/>
  <c r="O56" i="18"/>
  <c r="O46" i="18" s="1"/>
  <c r="O41" i="18" s="1"/>
  <c r="N56" i="18"/>
  <c r="N46" i="18" s="1"/>
  <c r="N41" i="18" s="1"/>
  <c r="M56" i="18"/>
  <c r="M46" i="18" s="1"/>
  <c r="M41" i="18" s="1"/>
  <c r="L56" i="18"/>
  <c r="L46" i="18" s="1"/>
  <c r="L41" i="18" s="1"/>
  <c r="K56" i="18"/>
  <c r="K46" i="18" s="1"/>
  <c r="K41" i="18" s="1"/>
  <c r="J56" i="18"/>
  <c r="I56" i="18"/>
  <c r="H56" i="18"/>
  <c r="AE55" i="18"/>
  <c r="AE45" i="18" s="1"/>
  <c r="AE40" i="18" s="1"/>
  <c r="AD55" i="18"/>
  <c r="AD45" i="18" s="1"/>
  <c r="AC55" i="18"/>
  <c r="AC45" i="18" s="1"/>
  <c r="AC40" i="18" s="1"/>
  <c r="AB55" i="18"/>
  <c r="AB45" i="18" s="1"/>
  <c r="AB40" i="18" s="1"/>
  <c r="AA55" i="18"/>
  <c r="AA45" i="18" s="1"/>
  <c r="AA40" i="18" s="1"/>
  <c r="Z55" i="18"/>
  <c r="Z45" i="18" s="1"/>
  <c r="Y55" i="18"/>
  <c r="Y45" i="18" s="1"/>
  <c r="Y40" i="18" s="1"/>
  <c r="X55" i="18"/>
  <c r="X45" i="18" s="1"/>
  <c r="X40" i="18" s="1"/>
  <c r="W55" i="18"/>
  <c r="W45" i="18" s="1"/>
  <c r="V55" i="18"/>
  <c r="V45" i="18" s="1"/>
  <c r="U55" i="18"/>
  <c r="U45" i="18" s="1"/>
  <c r="U40" i="18" s="1"/>
  <c r="T55" i="18"/>
  <c r="T45" i="18" s="1"/>
  <c r="T40" i="18" s="1"/>
  <c r="S55" i="18"/>
  <c r="S45" i="18" s="1"/>
  <c r="S40" i="18" s="1"/>
  <c r="R55" i="18"/>
  <c r="R45" i="18" s="1"/>
  <c r="Q55" i="18"/>
  <c r="Q45" i="18" s="1"/>
  <c r="Q40" i="18" s="1"/>
  <c r="P55" i="18"/>
  <c r="P45" i="18" s="1"/>
  <c r="P40" i="18" s="1"/>
  <c r="O55" i="18"/>
  <c r="O45" i="18" s="1"/>
  <c r="O40" i="18" s="1"/>
  <c r="N55" i="18"/>
  <c r="N45" i="18" s="1"/>
  <c r="M55" i="18"/>
  <c r="M45" i="18" s="1"/>
  <c r="M40" i="18" s="1"/>
  <c r="L55" i="18"/>
  <c r="L45" i="18" s="1"/>
  <c r="L40" i="18" s="1"/>
  <c r="K55" i="18"/>
  <c r="K45" i="18" s="1"/>
  <c r="K40" i="18" s="1"/>
  <c r="J55" i="18"/>
  <c r="J45" i="18" s="1"/>
  <c r="I55" i="18"/>
  <c r="H55" i="18"/>
  <c r="AE54" i="18"/>
  <c r="AE53" i="18" s="1"/>
  <c r="AD54" i="18"/>
  <c r="AD44" i="18" s="1"/>
  <c r="AD39" i="18" s="1"/>
  <c r="AC54" i="18"/>
  <c r="AC53" i="18" s="1"/>
  <c r="AB54" i="18"/>
  <c r="AB44" i="18" s="1"/>
  <c r="AB39" i="18" s="1"/>
  <c r="AA54" i="18"/>
  <c r="AA44" i="18" s="1"/>
  <c r="Z54" i="18"/>
  <c r="Z44" i="18" s="1"/>
  <c r="Z39" i="18" s="1"/>
  <c r="Y54" i="18"/>
  <c r="Y53" i="18" s="1"/>
  <c r="X54" i="18"/>
  <c r="X44" i="18" s="1"/>
  <c r="X39" i="18" s="1"/>
  <c r="W54" i="18"/>
  <c r="W53" i="18" s="1"/>
  <c r="V54" i="18"/>
  <c r="V44" i="18" s="1"/>
  <c r="V39" i="18" s="1"/>
  <c r="U54" i="18"/>
  <c r="U53" i="18" s="1"/>
  <c r="T54" i="18"/>
  <c r="T44" i="18" s="1"/>
  <c r="T43" i="18" s="1"/>
  <c r="S54" i="18"/>
  <c r="S53" i="18" s="1"/>
  <c r="R54" i="18"/>
  <c r="R44" i="18" s="1"/>
  <c r="Q54" i="18"/>
  <c r="Q53" i="18" s="1"/>
  <c r="P54" i="18"/>
  <c r="P44" i="18" s="1"/>
  <c r="P39" i="18" s="1"/>
  <c r="O54" i="18"/>
  <c r="O53" i="18" s="1"/>
  <c r="N54" i="18"/>
  <c r="N44" i="18" s="1"/>
  <c r="N39" i="18" s="1"/>
  <c r="M54" i="18"/>
  <c r="M53" i="18" s="1"/>
  <c r="L54" i="18"/>
  <c r="L44" i="18" s="1"/>
  <c r="L39" i="18" s="1"/>
  <c r="K54" i="18"/>
  <c r="K44" i="18" s="1"/>
  <c r="J54" i="18"/>
  <c r="I54" i="18"/>
  <c r="I44" i="18" s="1"/>
  <c r="I39" i="18" s="1"/>
  <c r="H54" i="18"/>
  <c r="E51" i="18"/>
  <c r="D51" i="18" s="1"/>
  <c r="B51" i="18"/>
  <c r="E50" i="18"/>
  <c r="D50" i="18" s="1"/>
  <c r="B50" i="18"/>
  <c r="E49" i="18"/>
  <c r="D49" i="18" s="1"/>
  <c r="B49" i="18"/>
  <c r="AE48" i="18"/>
  <c r="AD48" i="18"/>
  <c r="AC48" i="18"/>
  <c r="AB48" i="18"/>
  <c r="AA48" i="18"/>
  <c r="Z48" i="18"/>
  <c r="Y48" i="18"/>
  <c r="X48" i="18"/>
  <c r="W48" i="18"/>
  <c r="V48" i="18"/>
  <c r="U48" i="18"/>
  <c r="T48" i="18"/>
  <c r="S48" i="18"/>
  <c r="R48" i="18"/>
  <c r="Q48" i="18"/>
  <c r="P48" i="18"/>
  <c r="O48" i="18"/>
  <c r="N48" i="18"/>
  <c r="M48" i="18"/>
  <c r="L48" i="18"/>
  <c r="K48" i="18"/>
  <c r="J48" i="18"/>
  <c r="I48" i="18"/>
  <c r="H48" i="18"/>
  <c r="AC46" i="18"/>
  <c r="AC41" i="18" s="1"/>
  <c r="AE34" i="18"/>
  <c r="AE32" i="18" s="1"/>
  <c r="AD34" i="18"/>
  <c r="AD32" i="18" s="1"/>
  <c r="AC34" i="18"/>
  <c r="AC32" i="18" s="1"/>
  <c r="AB34" i="18"/>
  <c r="AB32" i="18" s="1"/>
  <c r="AA34" i="18"/>
  <c r="AA32" i="18" s="1"/>
  <c r="Z34" i="18"/>
  <c r="Z32" i="18" s="1"/>
  <c r="Y34" i="18"/>
  <c r="Y32" i="18" s="1"/>
  <c r="X34" i="18"/>
  <c r="X32" i="18" s="1"/>
  <c r="W34" i="18"/>
  <c r="W32" i="18" s="1"/>
  <c r="V34" i="18"/>
  <c r="V32" i="18" s="1"/>
  <c r="U34" i="18"/>
  <c r="U32" i="18" s="1"/>
  <c r="T34" i="18"/>
  <c r="S34" i="18"/>
  <c r="S32" i="18" s="1"/>
  <c r="R34" i="18"/>
  <c r="R32" i="18" s="1"/>
  <c r="Q34" i="18"/>
  <c r="Q32" i="18" s="1"/>
  <c r="P34" i="18"/>
  <c r="P32" i="18" s="1"/>
  <c r="O34" i="18"/>
  <c r="O32" i="18" s="1"/>
  <c r="N34" i="18"/>
  <c r="N32" i="18" s="1"/>
  <c r="M34" i="18"/>
  <c r="M32" i="18" s="1"/>
  <c r="L34" i="18"/>
  <c r="L32" i="18" s="1"/>
  <c r="K34" i="18"/>
  <c r="K32" i="18" s="1"/>
  <c r="J34" i="18"/>
  <c r="J32" i="18" s="1"/>
  <c r="I34" i="18"/>
  <c r="I32" i="18" s="1"/>
  <c r="H34" i="18"/>
  <c r="E30" i="18"/>
  <c r="B30" i="18"/>
  <c r="B28" i="18" s="1"/>
  <c r="E26" i="18"/>
  <c r="B26" i="18"/>
  <c r="B24" i="18" s="1"/>
  <c r="E22" i="18"/>
  <c r="B22" i="18"/>
  <c r="B20" i="18" s="1"/>
  <c r="E18" i="18"/>
  <c r="D18" i="18" s="1"/>
  <c r="D17" i="18" s="1"/>
  <c r="B18" i="18"/>
  <c r="B17" i="18" s="1"/>
  <c r="AE17" i="18"/>
  <c r="AD17" i="18"/>
  <c r="AC17" i="18"/>
  <c r="AB17" i="18"/>
  <c r="AA17" i="18"/>
  <c r="Z17" i="18"/>
  <c r="Y17" i="18"/>
  <c r="X17" i="18"/>
  <c r="W17" i="18"/>
  <c r="V17" i="18"/>
  <c r="U17" i="18"/>
  <c r="T17" i="18"/>
  <c r="S17" i="18"/>
  <c r="R17" i="18"/>
  <c r="Q17" i="18"/>
  <c r="P17" i="18"/>
  <c r="O17" i="18"/>
  <c r="N17" i="18"/>
  <c r="M17" i="18"/>
  <c r="L17" i="18"/>
  <c r="K17" i="18"/>
  <c r="J17" i="18"/>
  <c r="I17" i="18"/>
  <c r="H17" i="18"/>
  <c r="E15" i="18"/>
  <c r="E14" i="18" s="1"/>
  <c r="C14" i="18"/>
  <c r="B15" i="18"/>
  <c r="AE14" i="18"/>
  <c r="AD14" i="18"/>
  <c r="AC14" i="18"/>
  <c r="AB14" i="18"/>
  <c r="AA14" i="18"/>
  <c r="Z14" i="18"/>
  <c r="Y14" i="18"/>
  <c r="X14" i="18"/>
  <c r="W14" i="18"/>
  <c r="V14" i="18"/>
  <c r="U14" i="18"/>
  <c r="T14" i="18"/>
  <c r="S14" i="18"/>
  <c r="R14" i="18"/>
  <c r="Q14" i="18"/>
  <c r="P14" i="18"/>
  <c r="O14" i="18"/>
  <c r="N14" i="18"/>
  <c r="M14" i="18"/>
  <c r="L14" i="18"/>
  <c r="K14" i="18"/>
  <c r="J14" i="18"/>
  <c r="I14" i="18"/>
  <c r="H14" i="18"/>
  <c r="AE12" i="18"/>
  <c r="AD12" i="18"/>
  <c r="AC12" i="18"/>
  <c r="AB12" i="18"/>
  <c r="AB11" i="18" s="1"/>
  <c r="AA12" i="18"/>
  <c r="Z12" i="18"/>
  <c r="Y12" i="18"/>
  <c r="X12" i="18"/>
  <c r="X11" i="18" s="1"/>
  <c r="W12" i="18"/>
  <c r="V12" i="18"/>
  <c r="U12" i="18"/>
  <c r="T12" i="18"/>
  <c r="T11" i="18" s="1"/>
  <c r="S12" i="18"/>
  <c r="R12" i="18"/>
  <c r="Q12" i="18"/>
  <c r="P12" i="18"/>
  <c r="P11" i="18" s="1"/>
  <c r="O12" i="18"/>
  <c r="N12" i="18"/>
  <c r="M12" i="18"/>
  <c r="L12" i="18"/>
  <c r="L11" i="18" s="1"/>
  <c r="K12" i="18"/>
  <c r="J12" i="18"/>
  <c r="I12" i="18"/>
  <c r="H12" i="18"/>
  <c r="H11" i="18" s="1"/>
  <c r="AE11" i="18"/>
  <c r="T32" i="18" l="1"/>
  <c r="C34" i="18"/>
  <c r="E64" i="18"/>
  <c r="G64" i="18" s="1"/>
  <c r="D124" i="18"/>
  <c r="AG124" i="18"/>
  <c r="D126" i="18"/>
  <c r="AG126" i="18"/>
  <c r="D125" i="18"/>
  <c r="AG125" i="18"/>
  <c r="D76" i="18"/>
  <c r="E66" i="18"/>
  <c r="T63" i="18"/>
  <c r="X63" i="18"/>
  <c r="AB63" i="18"/>
  <c r="D75" i="18"/>
  <c r="D65" i="18" s="1"/>
  <c r="E65" i="18"/>
  <c r="AB146" i="18"/>
  <c r="AB145" i="18" s="1"/>
  <c r="AB137" i="18"/>
  <c r="J44" i="18"/>
  <c r="J39" i="18" s="1"/>
  <c r="S68" i="18"/>
  <c r="R41" i="18"/>
  <c r="R143" i="18" s="1"/>
  <c r="R138" i="18" s="1"/>
  <c r="D30" i="18"/>
  <c r="D28" i="18" s="1"/>
  <c r="E28" i="18"/>
  <c r="D22" i="18"/>
  <c r="D20" i="18" s="1"/>
  <c r="E20" i="18"/>
  <c r="D26" i="18"/>
  <c r="D24" i="18" s="1"/>
  <c r="E24" i="18"/>
  <c r="C32" i="18"/>
  <c r="R39" i="18"/>
  <c r="O118" i="21"/>
  <c r="W118" i="21"/>
  <c r="H32" i="18"/>
  <c r="E56" i="18"/>
  <c r="D56" i="18" s="1"/>
  <c r="D108" i="18"/>
  <c r="B118" i="18"/>
  <c r="I157" i="18"/>
  <c r="I155" i="18" s="1"/>
  <c r="K157" i="18"/>
  <c r="K155" i="18" s="1"/>
  <c r="M157" i="18"/>
  <c r="M155" i="18" s="1"/>
  <c r="O157" i="18"/>
  <c r="O155" i="18" s="1"/>
  <c r="Q157" i="18"/>
  <c r="Q155" i="18" s="1"/>
  <c r="S157" i="18"/>
  <c r="S155" i="18" s="1"/>
  <c r="U157" i="18"/>
  <c r="U155" i="18" s="1"/>
  <c r="W157" i="18"/>
  <c r="W155" i="18" s="1"/>
  <c r="Y157" i="18"/>
  <c r="Y155" i="18" s="1"/>
  <c r="AA157" i="18"/>
  <c r="AA155" i="18" s="1"/>
  <c r="AC157" i="18"/>
  <c r="AC155" i="18" s="1"/>
  <c r="AE157" i="18"/>
  <c r="AE155" i="18" s="1"/>
  <c r="Y44" i="18"/>
  <c r="Y39" i="18" s="1"/>
  <c r="Y141" i="18" s="1"/>
  <c r="Y152" i="18" s="1"/>
  <c r="Y148" i="18" s="1"/>
  <c r="O11" i="18"/>
  <c r="U125" i="21"/>
  <c r="W11" i="18"/>
  <c r="I46" i="18"/>
  <c r="I41" i="18" s="1"/>
  <c r="I143" i="18" s="1"/>
  <c r="R129" i="18"/>
  <c r="T129" i="18"/>
  <c r="X43" i="18"/>
  <c r="S129" i="18"/>
  <c r="J120" i="21"/>
  <c r="N120" i="21"/>
  <c r="R120" i="21"/>
  <c r="V120" i="21"/>
  <c r="Z120" i="21"/>
  <c r="AD120" i="21"/>
  <c r="R121" i="21"/>
  <c r="V121" i="21"/>
  <c r="Z121" i="21"/>
  <c r="W44" i="18"/>
  <c r="W39" i="18" s="1"/>
  <c r="W141" i="18" s="1"/>
  <c r="W152" i="18" s="1"/>
  <c r="W148" i="18" s="1"/>
  <c r="J141" i="18"/>
  <c r="J136" i="18" s="1"/>
  <c r="N141" i="18"/>
  <c r="N136" i="18" s="1"/>
  <c r="R141" i="18"/>
  <c r="R152" i="18" s="1"/>
  <c r="R148" i="18" s="1"/>
  <c r="V141" i="18"/>
  <c r="V152" i="18" s="1"/>
  <c r="V148" i="18" s="1"/>
  <c r="Z141" i="18"/>
  <c r="Z152" i="18" s="1"/>
  <c r="Z148" i="18" s="1"/>
  <c r="AD141" i="18"/>
  <c r="AD152" i="18" s="1"/>
  <c r="AD148" i="18" s="1"/>
  <c r="L142" i="18"/>
  <c r="L153" i="18" s="1"/>
  <c r="P142" i="18"/>
  <c r="P153" i="18" s="1"/>
  <c r="T142" i="18"/>
  <c r="T153" i="18" s="1"/>
  <c r="X142" i="18"/>
  <c r="X153" i="18" s="1"/>
  <c r="AB142" i="18"/>
  <c r="AB153" i="18" s="1"/>
  <c r="L143" i="18"/>
  <c r="L154" i="18" s="1"/>
  <c r="L150" i="18" s="1"/>
  <c r="P143" i="18"/>
  <c r="P154" i="18" s="1"/>
  <c r="P150" i="18" s="1"/>
  <c r="V143" i="18"/>
  <c r="V154" i="18" s="1"/>
  <c r="V150" i="18" s="1"/>
  <c r="X143" i="18"/>
  <c r="X138" i="18" s="1"/>
  <c r="AB143" i="18"/>
  <c r="AB154" i="18" s="1"/>
  <c r="AB150" i="18" s="1"/>
  <c r="F90" i="18"/>
  <c r="F91" i="18"/>
  <c r="F100" i="18"/>
  <c r="F101" i="18"/>
  <c r="F111" i="18"/>
  <c r="Z129" i="18"/>
  <c r="L129" i="18"/>
  <c r="J157" i="18"/>
  <c r="J155" i="18" s="1"/>
  <c r="N157" i="18"/>
  <c r="N155" i="18" s="1"/>
  <c r="R157" i="18"/>
  <c r="R155" i="18" s="1"/>
  <c r="V157" i="18"/>
  <c r="V155" i="18" s="1"/>
  <c r="Z157" i="18"/>
  <c r="Z155" i="18" s="1"/>
  <c r="AD157" i="18"/>
  <c r="AD155" i="18" s="1"/>
  <c r="K143" i="18"/>
  <c r="K138" i="18" s="1"/>
  <c r="O143" i="18"/>
  <c r="O154" i="18" s="1"/>
  <c r="O150" i="18" s="1"/>
  <c r="W143" i="18"/>
  <c r="W138" i="18" s="1"/>
  <c r="AA143" i="18"/>
  <c r="AA138" i="18" s="1"/>
  <c r="AE143" i="18"/>
  <c r="AE154" i="18" s="1"/>
  <c r="AE150" i="18" s="1"/>
  <c r="H129" i="18"/>
  <c r="AD129" i="18"/>
  <c r="Q119" i="21"/>
  <c r="U119" i="21"/>
  <c r="Y119" i="21"/>
  <c r="AC119" i="21"/>
  <c r="I120" i="21"/>
  <c r="M120" i="21"/>
  <c r="Q120" i="21"/>
  <c r="U120" i="21"/>
  <c r="Y120" i="21"/>
  <c r="AC120" i="21"/>
  <c r="I121" i="21"/>
  <c r="M121" i="21"/>
  <c r="Q121" i="21"/>
  <c r="U121" i="21"/>
  <c r="Y121" i="21"/>
  <c r="AC121" i="21"/>
  <c r="D93" i="18"/>
  <c r="J118" i="21"/>
  <c r="N118" i="21"/>
  <c r="V118" i="21"/>
  <c r="Z118" i="21"/>
  <c r="AD118" i="21"/>
  <c r="N119" i="21"/>
  <c r="R119" i="21"/>
  <c r="V119" i="21"/>
  <c r="Z119" i="21"/>
  <c r="AD119" i="21"/>
  <c r="AE142" i="18"/>
  <c r="AE153" i="18" s="1"/>
  <c r="O142" i="18"/>
  <c r="O153" i="18" s="1"/>
  <c r="H46" i="18"/>
  <c r="AC143" i="18"/>
  <c r="AC154" i="18" s="1"/>
  <c r="AC150" i="18" s="1"/>
  <c r="I141" i="18"/>
  <c r="I136" i="18" s="1"/>
  <c r="M142" i="18"/>
  <c r="M153" i="18" s="1"/>
  <c r="Q142" i="18"/>
  <c r="Q153" i="18" s="1"/>
  <c r="U142" i="18"/>
  <c r="U153" i="18" s="1"/>
  <c r="Y142" i="18"/>
  <c r="Y153" i="18" s="1"/>
  <c r="AC142" i="18"/>
  <c r="AC153" i="18" s="1"/>
  <c r="M143" i="18"/>
  <c r="M138" i="18" s="1"/>
  <c r="P68" i="18"/>
  <c r="F95" i="18"/>
  <c r="F106" i="18"/>
  <c r="B113" i="18"/>
  <c r="N129" i="18"/>
  <c r="X129" i="18"/>
  <c r="B16" i="19"/>
  <c r="I119" i="21"/>
  <c r="M119" i="21"/>
  <c r="C68" i="18"/>
  <c r="K11" i="18"/>
  <c r="S11" i="18"/>
  <c r="AA11" i="18"/>
  <c r="D48" i="18"/>
  <c r="D103" i="18"/>
  <c r="F110" i="18"/>
  <c r="J129" i="18"/>
  <c r="P129" i="18"/>
  <c r="V129" i="18"/>
  <c r="AA129" i="18"/>
  <c r="J121" i="21"/>
  <c r="B48" i="18"/>
  <c r="B54" i="18"/>
  <c r="H68" i="18"/>
  <c r="B69" i="18"/>
  <c r="F96" i="18"/>
  <c r="D98" i="18"/>
  <c r="F105" i="18"/>
  <c r="E118" i="18"/>
  <c r="G118" i="18" s="1"/>
  <c r="K129" i="18"/>
  <c r="W129" i="18"/>
  <c r="AB129" i="18"/>
  <c r="B24" i="19"/>
  <c r="E31" i="19"/>
  <c r="C47" i="19"/>
  <c r="K119" i="21"/>
  <c r="O119" i="21"/>
  <c r="S119" i="21"/>
  <c r="W119" i="21"/>
  <c r="AA119" i="21"/>
  <c r="AE119" i="21"/>
  <c r="K120" i="21"/>
  <c r="O120" i="21"/>
  <c r="S120" i="21"/>
  <c r="W120" i="21"/>
  <c r="AA120" i="21"/>
  <c r="AE120" i="21"/>
  <c r="K121" i="21"/>
  <c r="O121" i="21"/>
  <c r="S121" i="21"/>
  <c r="W121" i="21"/>
  <c r="AA121" i="21"/>
  <c r="AE121" i="21"/>
  <c r="R58" i="21"/>
  <c r="H118" i="21"/>
  <c r="L118" i="21"/>
  <c r="P118" i="21"/>
  <c r="T118" i="21"/>
  <c r="X118" i="21"/>
  <c r="H119" i="21"/>
  <c r="L119" i="21"/>
  <c r="P119" i="21"/>
  <c r="T119" i="21"/>
  <c r="X119" i="21"/>
  <c r="AB119" i="21"/>
  <c r="H120" i="21"/>
  <c r="L120" i="21"/>
  <c r="P120" i="21"/>
  <c r="T120" i="21"/>
  <c r="X120" i="21"/>
  <c r="AB120" i="21"/>
  <c r="H121" i="21"/>
  <c r="L121" i="21"/>
  <c r="P121" i="21"/>
  <c r="T121" i="21"/>
  <c r="X121" i="21"/>
  <c r="AB121" i="21"/>
  <c r="D118" i="18"/>
  <c r="D79" i="18"/>
  <c r="D78" i="18" s="1"/>
  <c r="E78" i="18"/>
  <c r="G78" i="18" s="1"/>
  <c r="E88" i="18"/>
  <c r="E108" i="18"/>
  <c r="G108" i="18" s="1"/>
  <c r="M146" i="18"/>
  <c r="M145" i="18" s="1"/>
  <c r="M129" i="18"/>
  <c r="AC146" i="18"/>
  <c r="AC145" i="18" s="1"/>
  <c r="AC129" i="18"/>
  <c r="B31" i="19"/>
  <c r="D113" i="18"/>
  <c r="E93" i="18"/>
  <c r="G93" i="18" s="1"/>
  <c r="E103" i="18"/>
  <c r="G103" i="18" s="1"/>
  <c r="D123" i="18"/>
  <c r="I146" i="18"/>
  <c r="I145" i="18" s="1"/>
  <c r="I129" i="18"/>
  <c r="U146" i="18"/>
  <c r="U145" i="18" s="1"/>
  <c r="U129" i="18"/>
  <c r="U44" i="18"/>
  <c r="U39" i="18" s="1"/>
  <c r="U141" i="18" s="1"/>
  <c r="U152" i="18" s="1"/>
  <c r="U148" i="18" s="1"/>
  <c r="C48" i="18"/>
  <c r="K53" i="18"/>
  <c r="I63" i="18"/>
  <c r="M63" i="18"/>
  <c r="Q63" i="18"/>
  <c r="U63" i="18"/>
  <c r="Y63" i="18"/>
  <c r="AC63" i="18"/>
  <c r="E123" i="18"/>
  <c r="G123" i="18" s="1"/>
  <c r="O129" i="18"/>
  <c r="AE129" i="18"/>
  <c r="N7" i="22"/>
  <c r="E43" i="22"/>
  <c r="E98" i="18"/>
  <c r="G98" i="18" s="1"/>
  <c r="E113" i="18"/>
  <c r="Q146" i="18"/>
  <c r="Q145" i="18" s="1"/>
  <c r="Q129" i="18"/>
  <c r="Y146" i="18"/>
  <c r="Y145" i="18" s="1"/>
  <c r="Y129" i="18"/>
  <c r="C24" i="19"/>
  <c r="M44" i="18"/>
  <c r="M43" i="18" s="1"/>
  <c r="AC44" i="18"/>
  <c r="U143" i="18"/>
  <c r="U138" i="18" s="1"/>
  <c r="L53" i="18"/>
  <c r="B56" i="18"/>
  <c r="F56" i="18" s="1"/>
  <c r="B93" i="18"/>
  <c r="B98" i="18"/>
  <c r="B103" i="18"/>
  <c r="B108" i="18"/>
  <c r="C130" i="18"/>
  <c r="E16" i="19"/>
  <c r="E24" i="19"/>
  <c r="G24" i="19" s="1"/>
  <c r="N14" i="22"/>
  <c r="AD14" i="22"/>
  <c r="E69" i="18"/>
  <c r="E70" i="18"/>
  <c r="D70" i="18" s="1"/>
  <c r="E71" i="18"/>
  <c r="D71" i="18" s="1"/>
  <c r="C73" i="18"/>
  <c r="F80" i="18"/>
  <c r="D83" i="18"/>
  <c r="F89" i="18"/>
  <c r="F94" i="18"/>
  <c r="F99" i="18"/>
  <c r="F104" i="18"/>
  <c r="F109" i="18"/>
  <c r="C31" i="19"/>
  <c r="R160" i="21"/>
  <c r="R155" i="21" s="1"/>
  <c r="D31" i="19"/>
  <c r="D132" i="18"/>
  <c r="D130" i="18"/>
  <c r="Q143" i="18"/>
  <c r="Q138" i="18" s="1"/>
  <c r="T53" i="18"/>
  <c r="B58" i="18"/>
  <c r="J63" i="18"/>
  <c r="N63" i="18"/>
  <c r="R63" i="18"/>
  <c r="V63" i="18"/>
  <c r="Z63" i="18"/>
  <c r="AD63" i="18"/>
  <c r="B66" i="18"/>
  <c r="F85" i="18"/>
  <c r="E130" i="18"/>
  <c r="F133" i="18"/>
  <c r="E132" i="18"/>
  <c r="G132" i="18" s="1"/>
  <c r="Y143" i="18"/>
  <c r="Y138" i="18" s="1"/>
  <c r="X53" i="18"/>
  <c r="B64" i="18"/>
  <c r="F64" i="18" s="1"/>
  <c r="K63" i="18"/>
  <c r="O63" i="18"/>
  <c r="S63" i="18"/>
  <c r="W63" i="18"/>
  <c r="AA63" i="18"/>
  <c r="AE63" i="18"/>
  <c r="F84" i="18"/>
  <c r="C83" i="18"/>
  <c r="F124" i="18"/>
  <c r="F125" i="18"/>
  <c r="F126" i="18"/>
  <c r="B130" i="18"/>
  <c r="N16" i="21"/>
  <c r="R16" i="21"/>
  <c r="V16" i="21"/>
  <c r="AD16" i="21"/>
  <c r="C82" i="21"/>
  <c r="C12" i="18"/>
  <c r="C11" i="18" s="1"/>
  <c r="L43" i="18"/>
  <c r="K142" i="18"/>
  <c r="K153" i="18" s="1"/>
  <c r="S142" i="18"/>
  <c r="S153" i="18" s="1"/>
  <c r="AA142" i="18"/>
  <c r="AA153" i="18" s="1"/>
  <c r="N143" i="18"/>
  <c r="N154" i="18" s="1"/>
  <c r="N150" i="18" s="1"/>
  <c r="Z143" i="18"/>
  <c r="Z154" i="18" s="1"/>
  <c r="Z150" i="18" s="1"/>
  <c r="AD143" i="18"/>
  <c r="AD154" i="18" s="1"/>
  <c r="AD150" i="18" s="1"/>
  <c r="F114" i="18"/>
  <c r="F115" i="18"/>
  <c r="F116" i="18"/>
  <c r="F119" i="18"/>
  <c r="F120" i="18"/>
  <c r="F121" i="18"/>
  <c r="E127" i="21"/>
  <c r="G127" i="21" s="1"/>
  <c r="P16" i="21"/>
  <c r="X16" i="21"/>
  <c r="B19" i="21"/>
  <c r="B20" i="21"/>
  <c r="B10" i="22"/>
  <c r="G53" i="22"/>
  <c r="E46" i="21"/>
  <c r="R52" i="21"/>
  <c r="C70" i="21"/>
  <c r="C137" i="21"/>
  <c r="L52" i="21"/>
  <c r="P52" i="21"/>
  <c r="T52" i="21"/>
  <c r="X52" i="21"/>
  <c r="L58" i="21"/>
  <c r="Z58" i="21"/>
  <c r="C56" i="21"/>
  <c r="AC125" i="21"/>
  <c r="B10" i="21"/>
  <c r="B9" i="21" s="1"/>
  <c r="F9" i="21" s="1"/>
  <c r="B137" i="21"/>
  <c r="B131" i="21"/>
  <c r="E112" i="21"/>
  <c r="B112" i="21"/>
  <c r="E94" i="21"/>
  <c r="AD160" i="21"/>
  <c r="AD155" i="21" s="1"/>
  <c r="B88" i="21"/>
  <c r="G84" i="21"/>
  <c r="G82" i="21" s="1"/>
  <c r="AC58" i="21"/>
  <c r="I58" i="21"/>
  <c r="V58" i="21"/>
  <c r="B70" i="21"/>
  <c r="Y58" i="21"/>
  <c r="AB58" i="21"/>
  <c r="AB52" i="21"/>
  <c r="M58" i="21"/>
  <c r="Q58" i="21"/>
  <c r="U58" i="21"/>
  <c r="O58" i="21"/>
  <c r="G66" i="21"/>
  <c r="C55" i="21"/>
  <c r="B46" i="21"/>
  <c r="G49" i="21"/>
  <c r="B34" i="21"/>
  <c r="B22" i="21"/>
  <c r="B17" i="21"/>
  <c r="G42" i="21"/>
  <c r="G35" i="21"/>
  <c r="E34" i="21"/>
  <c r="G30" i="21"/>
  <c r="E22" i="21"/>
  <c r="G24" i="21"/>
  <c r="G12" i="21"/>
  <c r="L141" i="18"/>
  <c r="L136" i="18" s="1"/>
  <c r="L38" i="18"/>
  <c r="P141" i="18"/>
  <c r="P152" i="18" s="1"/>
  <c r="P148" i="18" s="1"/>
  <c r="P38" i="18"/>
  <c r="X141" i="18"/>
  <c r="X152" i="18" s="1"/>
  <c r="X148" i="18" s="1"/>
  <c r="X38" i="18"/>
  <c r="AB141" i="18"/>
  <c r="AB38" i="18"/>
  <c r="K43" i="18"/>
  <c r="K39" i="18"/>
  <c r="AA43" i="18"/>
  <c r="AA39" i="18"/>
  <c r="W40" i="18"/>
  <c r="W142" i="18" s="1"/>
  <c r="W153" i="18" s="1"/>
  <c r="S44" i="18"/>
  <c r="J68" i="18"/>
  <c r="V68" i="18"/>
  <c r="B132" i="18"/>
  <c r="E128" i="21"/>
  <c r="D128" i="21" s="1"/>
  <c r="C131" i="21"/>
  <c r="C148" i="21"/>
  <c r="E55" i="19"/>
  <c r="G55" i="19" s="1"/>
  <c r="D55" i="19"/>
  <c r="AD7" i="22"/>
  <c r="S143" i="18"/>
  <c r="S154" i="18" s="1"/>
  <c r="S150" i="18" s="1"/>
  <c r="E48" i="18"/>
  <c r="F48" i="18" s="1"/>
  <c r="H44" i="18"/>
  <c r="C58" i="18"/>
  <c r="N68" i="18"/>
  <c r="Z68" i="18"/>
  <c r="N160" i="21"/>
  <c r="N155" i="21" s="1"/>
  <c r="V160" i="21"/>
  <c r="V155" i="21" s="1"/>
  <c r="M11" i="18"/>
  <c r="U11" i="18"/>
  <c r="AC11" i="18"/>
  <c r="C17" i="18"/>
  <c r="T143" i="18"/>
  <c r="T154" i="18" s="1"/>
  <c r="T150" i="18" s="1"/>
  <c r="P43" i="18"/>
  <c r="O44" i="18"/>
  <c r="AE44" i="18"/>
  <c r="R43" i="18"/>
  <c r="R40" i="18"/>
  <c r="R142" i="18" s="1"/>
  <c r="R153" i="18" s="1"/>
  <c r="P53" i="18"/>
  <c r="AA53" i="18"/>
  <c r="E55" i="18"/>
  <c r="D55" i="18" s="1"/>
  <c r="F74" i="18"/>
  <c r="F86" i="18"/>
  <c r="B47" i="19"/>
  <c r="C54" i="21"/>
  <c r="E64" i="21"/>
  <c r="E59" i="21"/>
  <c r="H14" i="22"/>
  <c r="H8" i="22"/>
  <c r="L8" i="22"/>
  <c r="P8" i="22"/>
  <c r="T14" i="22"/>
  <c r="T8" i="22"/>
  <c r="X14" i="22"/>
  <c r="X8" i="22"/>
  <c r="AB14" i="22"/>
  <c r="AB8" i="22"/>
  <c r="V9" i="22"/>
  <c r="J43" i="18"/>
  <c r="J40" i="18"/>
  <c r="J142" i="18" s="1"/>
  <c r="J153" i="18" s="1"/>
  <c r="Z43" i="18"/>
  <c r="Z40" i="18"/>
  <c r="Z142" i="18" s="1"/>
  <c r="Z153" i="18" s="1"/>
  <c r="D74" i="18"/>
  <c r="D64" i="18" s="1"/>
  <c r="E73" i="18"/>
  <c r="B12" i="18"/>
  <c r="V43" i="18"/>
  <c r="V40" i="18"/>
  <c r="V142" i="18" s="1"/>
  <c r="V153" i="18" s="1"/>
  <c r="H45" i="18"/>
  <c r="R68" i="18"/>
  <c r="AD68" i="18"/>
  <c r="B123" i="18"/>
  <c r="B82" i="21"/>
  <c r="Q11" i="18"/>
  <c r="Y11" i="18"/>
  <c r="B34" i="18"/>
  <c r="B32" i="18" s="1"/>
  <c r="F28" i="18"/>
  <c r="AB43" i="18"/>
  <c r="E54" i="18"/>
  <c r="J11" i="18"/>
  <c r="N11" i="18"/>
  <c r="R11" i="18"/>
  <c r="V11" i="18"/>
  <c r="Z11" i="18"/>
  <c r="AD11" i="18"/>
  <c r="H157" i="18"/>
  <c r="H155" i="18" s="1"/>
  <c r="L157" i="18"/>
  <c r="L155" i="18" s="1"/>
  <c r="P157" i="18"/>
  <c r="P155" i="18" s="1"/>
  <c r="T157" i="18"/>
  <c r="T155" i="18" s="1"/>
  <c r="X157" i="18"/>
  <c r="X155" i="18" s="1"/>
  <c r="AB157" i="18"/>
  <c r="AB155" i="18" s="1"/>
  <c r="B14" i="18"/>
  <c r="F14" i="18" s="1"/>
  <c r="E17" i="18"/>
  <c r="F17" i="18" s="1"/>
  <c r="T39" i="18"/>
  <c r="Q44" i="18"/>
  <c r="I45" i="18"/>
  <c r="I43" i="18" s="1"/>
  <c r="N43" i="18"/>
  <c r="N40" i="18"/>
  <c r="N142" i="18" s="1"/>
  <c r="N153" i="18" s="1"/>
  <c r="AD43" i="18"/>
  <c r="AD40" i="18"/>
  <c r="AD142" i="18" s="1"/>
  <c r="AD153" i="18" s="1"/>
  <c r="J46" i="18"/>
  <c r="H53" i="18"/>
  <c r="AB53" i="18"/>
  <c r="E58" i="18"/>
  <c r="B65" i="18"/>
  <c r="B73" i="18"/>
  <c r="E83" i="18"/>
  <c r="C88" i="18"/>
  <c r="C16" i="19"/>
  <c r="H16" i="21"/>
  <c r="T16" i="21"/>
  <c r="E40" i="21"/>
  <c r="I125" i="21"/>
  <c r="E126" i="21"/>
  <c r="M125" i="21"/>
  <c r="Q125" i="21"/>
  <c r="Y148" i="21"/>
  <c r="Y125" i="21"/>
  <c r="H150" i="21"/>
  <c r="B150" i="21" s="1"/>
  <c r="B127" i="21"/>
  <c r="G15" i="22"/>
  <c r="I8" i="22"/>
  <c r="E8" i="22" s="1"/>
  <c r="D8" i="22" s="1"/>
  <c r="H160" i="21"/>
  <c r="H155" i="21" s="1"/>
  <c r="L160" i="21"/>
  <c r="L155" i="21" s="1"/>
  <c r="P160" i="21"/>
  <c r="P155" i="21" s="1"/>
  <c r="T160" i="21"/>
  <c r="T155" i="21" s="1"/>
  <c r="X160" i="21"/>
  <c r="X155" i="21" s="1"/>
  <c r="AB160" i="21"/>
  <c r="AB155" i="21" s="1"/>
  <c r="J16" i="21"/>
  <c r="Z16" i="21"/>
  <c r="B28" i="21"/>
  <c r="K58" i="21"/>
  <c r="O52" i="21"/>
  <c r="S58" i="21"/>
  <c r="W52" i="21"/>
  <c r="AA58" i="21"/>
  <c r="AE52" i="21"/>
  <c r="AE58" i="21"/>
  <c r="E70" i="21"/>
  <c r="B61" i="21"/>
  <c r="F61" i="21" s="1"/>
  <c r="E76" i="21"/>
  <c r="B94" i="21"/>
  <c r="J14" i="22"/>
  <c r="Z14" i="22"/>
  <c r="J53" i="18"/>
  <c r="N53" i="18"/>
  <c r="R53" i="18"/>
  <c r="V53" i="18"/>
  <c r="Z53" i="18"/>
  <c r="AD53" i="18"/>
  <c r="D58" i="18"/>
  <c r="F75" i="18"/>
  <c r="F79" i="18"/>
  <c r="D88" i="18"/>
  <c r="B55" i="19"/>
  <c r="L54" i="19"/>
  <c r="P54" i="19"/>
  <c r="T54" i="19"/>
  <c r="AB54" i="19"/>
  <c r="I160" i="21"/>
  <c r="I155" i="21" s="1"/>
  <c r="Q160" i="21"/>
  <c r="Q155" i="21" s="1"/>
  <c r="Y160" i="21"/>
  <c r="Y155" i="21" s="1"/>
  <c r="E11" i="21"/>
  <c r="F11" i="21" s="1"/>
  <c r="C28" i="21"/>
  <c r="G43" i="21"/>
  <c r="W58" i="21"/>
  <c r="P58" i="21"/>
  <c r="T58" i="21"/>
  <c r="J119" i="21"/>
  <c r="J58" i="21"/>
  <c r="Z52" i="21"/>
  <c r="B64" i="21"/>
  <c r="B129" i="21"/>
  <c r="N58" i="21"/>
  <c r="AD58" i="21"/>
  <c r="G72" i="21"/>
  <c r="G70" i="21" s="1"/>
  <c r="B76" i="21"/>
  <c r="E82" i="21"/>
  <c r="E88" i="21"/>
  <c r="J106" i="21"/>
  <c r="N106" i="21"/>
  <c r="R106" i="21"/>
  <c r="V106" i="21"/>
  <c r="Z106" i="21"/>
  <c r="AD106" i="21"/>
  <c r="B108" i="21"/>
  <c r="E131" i="21"/>
  <c r="G51" i="22"/>
  <c r="E47" i="19"/>
  <c r="D49" i="19"/>
  <c r="D56" i="19" s="1"/>
  <c r="D62" i="19" s="1"/>
  <c r="E34" i="18"/>
  <c r="E32" i="18" s="1"/>
  <c r="G24" i="18"/>
  <c r="I11" i="18"/>
  <c r="G20" i="18"/>
  <c r="E12" i="18"/>
  <c r="D15" i="18"/>
  <c r="B55" i="18"/>
  <c r="B70" i="18"/>
  <c r="V52" i="21"/>
  <c r="B71" i="18"/>
  <c r="F18" i="18"/>
  <c r="F22" i="18"/>
  <c r="F26" i="18"/>
  <c r="F30" i="18"/>
  <c r="F49" i="18"/>
  <c r="F50" i="18"/>
  <c r="F51" i="18"/>
  <c r="I53" i="18"/>
  <c r="F59" i="18"/>
  <c r="F60" i="18"/>
  <c r="F61" i="18"/>
  <c r="I68" i="18"/>
  <c r="B78" i="18"/>
  <c r="B83" i="18"/>
  <c r="B88" i="18"/>
  <c r="F76" i="18"/>
  <c r="F81" i="18"/>
  <c r="N9" i="21"/>
  <c r="R9" i="21"/>
  <c r="V9" i="21"/>
  <c r="AD9" i="21"/>
  <c r="K160" i="21"/>
  <c r="K155" i="21" s="1"/>
  <c r="O160" i="21"/>
  <c r="O155" i="21" s="1"/>
  <c r="S160" i="21"/>
  <c r="S155" i="21" s="1"/>
  <c r="W160" i="21"/>
  <c r="W155" i="21" s="1"/>
  <c r="AA160" i="21"/>
  <c r="AA155" i="21" s="1"/>
  <c r="AE160" i="21"/>
  <c r="AE155" i="21" s="1"/>
  <c r="L16" i="21"/>
  <c r="W16" i="21"/>
  <c r="AB16" i="21"/>
  <c r="B18" i="21"/>
  <c r="G23" i="21"/>
  <c r="C22" i="21"/>
  <c r="C40" i="21"/>
  <c r="G44" i="21"/>
  <c r="G48" i="21"/>
  <c r="K52" i="21"/>
  <c r="S52" i="21"/>
  <c r="AA52" i="21"/>
  <c r="B59" i="21"/>
  <c r="C64" i="21"/>
  <c r="E60" i="21"/>
  <c r="F60" i="21" s="1"/>
  <c r="B62" i="21"/>
  <c r="F62" i="21" s="1"/>
  <c r="I16" i="21"/>
  <c r="M16" i="21"/>
  <c r="Q16" i="21"/>
  <c r="U16" i="21"/>
  <c r="Y16" i="21"/>
  <c r="AC16" i="21"/>
  <c r="G47" i="21"/>
  <c r="C46" i="21"/>
  <c r="H52" i="21"/>
  <c r="G61" i="21"/>
  <c r="C67" i="19"/>
  <c r="H9" i="21"/>
  <c r="L9" i="21"/>
  <c r="P9" i="21"/>
  <c r="T9" i="21"/>
  <c r="X9" i="21"/>
  <c r="AB9" i="21"/>
  <c r="M160" i="21"/>
  <c r="M155" i="21" s="1"/>
  <c r="U160" i="21"/>
  <c r="U155" i="21" s="1"/>
  <c r="AC160" i="21"/>
  <c r="AC155" i="21" s="1"/>
  <c r="C11" i="21"/>
  <c r="O16" i="21"/>
  <c r="AE16" i="21"/>
  <c r="C34" i="21"/>
  <c r="G38" i="21"/>
  <c r="B40" i="21"/>
  <c r="I118" i="21"/>
  <c r="M52" i="21"/>
  <c r="Q52" i="21"/>
  <c r="U52" i="21"/>
  <c r="Y52" i="21"/>
  <c r="AC52" i="21"/>
  <c r="B55" i="21"/>
  <c r="E56" i="21"/>
  <c r="D56" i="21" s="1"/>
  <c r="N52" i="21"/>
  <c r="AD52" i="21"/>
  <c r="H58" i="21"/>
  <c r="X58" i="21"/>
  <c r="C76" i="21"/>
  <c r="C9" i="19"/>
  <c r="C10" i="21"/>
  <c r="G10" i="21" s="1"/>
  <c r="Z160" i="21"/>
  <c r="Z155" i="21" s="1"/>
  <c r="K16" i="21"/>
  <c r="AA16" i="21"/>
  <c r="E28" i="21"/>
  <c r="E54" i="21"/>
  <c r="E55" i="21"/>
  <c r="D55" i="21" s="1"/>
  <c r="G62" i="21"/>
  <c r="G96" i="21"/>
  <c r="G94" i="21" s="1"/>
  <c r="C94" i="21"/>
  <c r="H106" i="21"/>
  <c r="C88" i="21"/>
  <c r="O159" i="21"/>
  <c r="O154" i="21" s="1"/>
  <c r="W159" i="21"/>
  <c r="W154" i="21" s="1"/>
  <c r="E18" i="21"/>
  <c r="K161" i="21"/>
  <c r="O161" i="21"/>
  <c r="S161" i="21"/>
  <c r="W161" i="21"/>
  <c r="AA161" i="21"/>
  <c r="AE161" i="21"/>
  <c r="I162" i="21"/>
  <c r="I157" i="21" s="1"/>
  <c r="M162" i="21"/>
  <c r="M157" i="21" s="1"/>
  <c r="Q162" i="21"/>
  <c r="Q157" i="21" s="1"/>
  <c r="U162" i="21"/>
  <c r="U157" i="21" s="1"/>
  <c r="Y162" i="21"/>
  <c r="Y157" i="21" s="1"/>
  <c r="AC162" i="21"/>
  <c r="AC157" i="21" s="1"/>
  <c r="G36" i="21"/>
  <c r="G41" i="21"/>
  <c r="G50" i="21"/>
  <c r="G78" i="21"/>
  <c r="G76" i="21" s="1"/>
  <c r="G90" i="21"/>
  <c r="G88" i="21" s="1"/>
  <c r="G114" i="21"/>
  <c r="G112" i="21" s="1"/>
  <c r="J125" i="21"/>
  <c r="N125" i="21"/>
  <c r="R125" i="21"/>
  <c r="V125" i="21"/>
  <c r="Z125" i="21"/>
  <c r="AD125" i="21"/>
  <c r="O148" i="21"/>
  <c r="S148" i="21"/>
  <c r="W148" i="21"/>
  <c r="AA148" i="21"/>
  <c r="AE148" i="21"/>
  <c r="B128" i="21"/>
  <c r="B11" i="22"/>
  <c r="E12" i="22"/>
  <c r="K14" i="22"/>
  <c r="O14" i="22"/>
  <c r="W14" i="22"/>
  <c r="AA14" i="22"/>
  <c r="AE14" i="22"/>
  <c r="G16" i="22"/>
  <c r="E19" i="22"/>
  <c r="F19" i="22" s="1"/>
  <c r="G54" i="22"/>
  <c r="K125" i="21"/>
  <c r="O125" i="21"/>
  <c r="S125" i="21"/>
  <c r="W125" i="21"/>
  <c r="AA125" i="21"/>
  <c r="AE125" i="21"/>
  <c r="E129" i="21"/>
  <c r="D129" i="21" s="1"/>
  <c r="J7" i="22"/>
  <c r="R7" i="22"/>
  <c r="Z7" i="22"/>
  <c r="G17" i="22"/>
  <c r="B43" i="22"/>
  <c r="K106" i="21"/>
  <c r="O106" i="21"/>
  <c r="S106" i="21"/>
  <c r="W106" i="21"/>
  <c r="AA106" i="21"/>
  <c r="AE106" i="21"/>
  <c r="E108" i="21"/>
  <c r="C112" i="21"/>
  <c r="H125" i="21"/>
  <c r="L125" i="21"/>
  <c r="P125" i="21"/>
  <c r="T125" i="21"/>
  <c r="X125" i="21"/>
  <c r="AB125" i="21"/>
  <c r="B126" i="21"/>
  <c r="M148" i="21"/>
  <c r="U148" i="21"/>
  <c r="AC148" i="21"/>
  <c r="B12" i="22"/>
  <c r="M14" i="22"/>
  <c r="U14" i="22"/>
  <c r="Y14" i="22"/>
  <c r="AC14" i="22"/>
  <c r="C43" i="22"/>
  <c r="G52" i="22"/>
  <c r="G14" i="18"/>
  <c r="G18" i="18"/>
  <c r="G22" i="18"/>
  <c r="G26" i="18"/>
  <c r="G30" i="18"/>
  <c r="G49" i="18"/>
  <c r="G50" i="18"/>
  <c r="G51" i="18"/>
  <c r="G59" i="18"/>
  <c r="G60" i="18"/>
  <c r="G61" i="18"/>
  <c r="G74" i="18"/>
  <c r="G75" i="18"/>
  <c r="G76" i="18"/>
  <c r="G79" i="18"/>
  <c r="G80" i="18"/>
  <c r="G81" i="18"/>
  <c r="G84" i="18"/>
  <c r="G85" i="18"/>
  <c r="G86" i="18"/>
  <c r="G89" i="18"/>
  <c r="G90" i="18"/>
  <c r="G91" i="18"/>
  <c r="G94" i="18"/>
  <c r="G95" i="18"/>
  <c r="G96" i="18"/>
  <c r="G99" i="18"/>
  <c r="G100" i="18"/>
  <c r="G101" i="18"/>
  <c r="G104" i="18"/>
  <c r="G105" i="18"/>
  <c r="G106" i="18"/>
  <c r="G109" i="18"/>
  <c r="G110" i="18"/>
  <c r="G111" i="18"/>
  <c r="G114" i="18"/>
  <c r="G115" i="18"/>
  <c r="G116" i="18"/>
  <c r="G119" i="18"/>
  <c r="G120" i="18"/>
  <c r="G121" i="18"/>
  <c r="G124" i="18"/>
  <c r="G125" i="18"/>
  <c r="G126" i="18"/>
  <c r="G133" i="18"/>
  <c r="N67" i="19"/>
  <c r="V67" i="19"/>
  <c r="AD67" i="19"/>
  <c r="K62" i="19"/>
  <c r="K76" i="19" s="1"/>
  <c r="M62" i="19"/>
  <c r="M76" i="19" s="1"/>
  <c r="O62" i="19"/>
  <c r="O76" i="19" s="1"/>
  <c r="S62" i="19"/>
  <c r="S76" i="19" s="1"/>
  <c r="W62" i="19"/>
  <c r="W76" i="19" s="1"/>
  <c r="AA62" i="19"/>
  <c r="AA76" i="19" s="1"/>
  <c r="AC62" i="19"/>
  <c r="AC76" i="19" s="1"/>
  <c r="AE62" i="19"/>
  <c r="AE76" i="19" s="1"/>
  <c r="I41" i="19"/>
  <c r="I63" i="19" s="1"/>
  <c r="I77" i="19" s="1"/>
  <c r="J41" i="19"/>
  <c r="J38" i="19" s="1"/>
  <c r="K41" i="19"/>
  <c r="K63" i="19" s="1"/>
  <c r="K77" i="19" s="1"/>
  <c r="M41" i="19"/>
  <c r="M63" i="19" s="1"/>
  <c r="M77" i="19" s="1"/>
  <c r="N41" i="19"/>
  <c r="N63" i="19" s="1"/>
  <c r="N77" i="19" s="1"/>
  <c r="O41" i="19"/>
  <c r="O63" i="19" s="1"/>
  <c r="O77" i="19" s="1"/>
  <c r="Q41" i="19"/>
  <c r="Q63" i="19" s="1"/>
  <c r="Q77" i="19" s="1"/>
  <c r="R41" i="19"/>
  <c r="R63" i="19" s="1"/>
  <c r="R77" i="19" s="1"/>
  <c r="S41" i="19"/>
  <c r="S63" i="19" s="1"/>
  <c r="S77" i="19" s="1"/>
  <c r="U41" i="19"/>
  <c r="U63" i="19" s="1"/>
  <c r="U77" i="19" s="1"/>
  <c r="V41" i="19"/>
  <c r="V63" i="19" s="1"/>
  <c r="V77" i="19" s="1"/>
  <c r="W41" i="19"/>
  <c r="W63" i="19" s="1"/>
  <c r="W77" i="19" s="1"/>
  <c r="Y41" i="19"/>
  <c r="Y63" i="19" s="1"/>
  <c r="Y77" i="19" s="1"/>
  <c r="Z41" i="19"/>
  <c r="Z38" i="19" s="1"/>
  <c r="AA41" i="19"/>
  <c r="AA63" i="19" s="1"/>
  <c r="AA77" i="19" s="1"/>
  <c r="AC41" i="19"/>
  <c r="AC63" i="19" s="1"/>
  <c r="AC77" i="19" s="1"/>
  <c r="AD41" i="19"/>
  <c r="AD63" i="19" s="1"/>
  <c r="AD77" i="19" s="1"/>
  <c r="AE41" i="19"/>
  <c r="AE63" i="19" s="1"/>
  <c r="AE77" i="19" s="1"/>
  <c r="C62" i="19"/>
  <c r="C41" i="19"/>
  <c r="D41" i="19"/>
  <c r="D63" i="19" s="1"/>
  <c r="D77" i="19" s="1"/>
  <c r="I62" i="19"/>
  <c r="I76" i="19" s="1"/>
  <c r="Q62" i="19"/>
  <c r="Q76" i="19" s="1"/>
  <c r="U62" i="19"/>
  <c r="U76" i="19" s="1"/>
  <c r="Y62" i="19"/>
  <c r="Y76" i="19" s="1"/>
  <c r="I54" i="19"/>
  <c r="K54" i="19"/>
  <c r="M54" i="19"/>
  <c r="O54" i="19"/>
  <c r="Q54" i="19"/>
  <c r="S54" i="19"/>
  <c r="U54" i="19"/>
  <c r="W54" i="19"/>
  <c r="Y54" i="19"/>
  <c r="AA54" i="19"/>
  <c r="C8" i="22"/>
  <c r="C10" i="22"/>
  <c r="C12" i="22"/>
  <c r="F15" i="18"/>
  <c r="L137" i="18"/>
  <c r="L149" i="18" s="1"/>
  <c r="P137" i="18"/>
  <c r="P149" i="18" s="1"/>
  <c r="T137" i="18"/>
  <c r="T149" i="18" s="1"/>
  <c r="X137" i="18"/>
  <c r="X149" i="18" s="1"/>
  <c r="AB149" i="18"/>
  <c r="L62" i="19"/>
  <c r="L76" i="19" s="1"/>
  <c r="P62" i="19"/>
  <c r="P76" i="19" s="1"/>
  <c r="X62" i="19"/>
  <c r="X76" i="19" s="1"/>
  <c r="AB62" i="19"/>
  <c r="AB76" i="19" s="1"/>
  <c r="G56" i="19"/>
  <c r="H62" i="19"/>
  <c r="H76" i="19" s="1"/>
  <c r="T62" i="19"/>
  <c r="T76" i="19" s="1"/>
  <c r="F133" i="21"/>
  <c r="D133" i="21"/>
  <c r="G133" i="21"/>
  <c r="K148" i="21"/>
  <c r="M161" i="21"/>
  <c r="U161" i="21"/>
  <c r="AC161" i="21"/>
  <c r="O162" i="21"/>
  <c r="O157" i="21" s="1"/>
  <c r="W162" i="21"/>
  <c r="AE162" i="21"/>
  <c r="AE157" i="21" s="1"/>
  <c r="E10" i="22"/>
  <c r="G44" i="22"/>
  <c r="G45" i="22"/>
  <c r="G46" i="22"/>
  <c r="G47" i="22"/>
  <c r="G48" i="22"/>
  <c r="G15" i="18"/>
  <c r="K137" i="18"/>
  <c r="K149" i="18" s="1"/>
  <c r="M137" i="18"/>
  <c r="M149" i="18" s="1"/>
  <c r="O137" i="18"/>
  <c r="O149" i="18" s="1"/>
  <c r="Q137" i="18"/>
  <c r="Q149" i="18" s="1"/>
  <c r="S137" i="18"/>
  <c r="S149" i="18" s="1"/>
  <c r="U137" i="18"/>
  <c r="U149" i="18" s="1"/>
  <c r="Y137" i="18"/>
  <c r="Y149" i="18" s="1"/>
  <c r="AA137" i="18"/>
  <c r="AA149" i="18" s="1"/>
  <c r="AC137" i="18"/>
  <c r="AC149" i="18" s="1"/>
  <c r="AE137" i="18"/>
  <c r="AE149" i="18" s="1"/>
  <c r="H67" i="19"/>
  <c r="J67" i="19"/>
  <c r="L67" i="19"/>
  <c r="P67" i="19"/>
  <c r="R67" i="19"/>
  <c r="T67" i="19"/>
  <c r="X67" i="19"/>
  <c r="Z67" i="19"/>
  <c r="AB67" i="19"/>
  <c r="D24" i="19"/>
  <c r="R62" i="19"/>
  <c r="R76" i="19" s="1"/>
  <c r="H41" i="19"/>
  <c r="L41" i="19"/>
  <c r="L63" i="19" s="1"/>
  <c r="L77" i="19" s="1"/>
  <c r="P41" i="19"/>
  <c r="P63" i="19" s="1"/>
  <c r="P77" i="19" s="1"/>
  <c r="T41" i="19"/>
  <c r="T63" i="19" s="1"/>
  <c r="T77" i="19" s="1"/>
  <c r="X41" i="19"/>
  <c r="X63" i="19" s="1"/>
  <c r="X77" i="19" s="1"/>
  <c r="AB41" i="19"/>
  <c r="AB63" i="19" s="1"/>
  <c r="AB77" i="19" s="1"/>
  <c r="C54" i="19"/>
  <c r="F49" i="19"/>
  <c r="J54" i="19"/>
  <c r="N54" i="19"/>
  <c r="R54" i="19"/>
  <c r="V54" i="19"/>
  <c r="Z54" i="19"/>
  <c r="F56" i="19"/>
  <c r="D10" i="21"/>
  <c r="F12" i="21"/>
  <c r="D12" i="21"/>
  <c r="D11" i="21" s="1"/>
  <c r="E17" i="21"/>
  <c r="E19" i="21"/>
  <c r="E20" i="21"/>
  <c r="F23" i="21"/>
  <c r="D23" i="21"/>
  <c r="F24" i="21"/>
  <c r="D24" i="21"/>
  <c r="F30" i="21"/>
  <c r="D30" i="21"/>
  <c r="F35" i="21"/>
  <c r="D35" i="21"/>
  <c r="F36" i="21"/>
  <c r="D36" i="21"/>
  <c r="F38" i="21"/>
  <c r="D38" i="21"/>
  <c r="F41" i="21"/>
  <c r="D41" i="21"/>
  <c r="F42" i="21"/>
  <c r="D42" i="21"/>
  <c r="F43" i="21"/>
  <c r="D43" i="21"/>
  <c r="F44" i="21"/>
  <c r="D44" i="21"/>
  <c r="F47" i="21"/>
  <c r="D47" i="21"/>
  <c r="F48" i="21"/>
  <c r="D48" i="21"/>
  <c r="F49" i="21"/>
  <c r="D49" i="21"/>
  <c r="F50" i="21"/>
  <c r="D50" i="21"/>
  <c r="F66" i="21"/>
  <c r="D66" i="21"/>
  <c r="F72" i="21"/>
  <c r="F70" i="21" s="1"/>
  <c r="D72" i="21"/>
  <c r="F78" i="21"/>
  <c r="F76" i="21" s="1"/>
  <c r="D78" i="21"/>
  <c r="F84" i="21"/>
  <c r="F82" i="21" s="1"/>
  <c r="D84" i="21"/>
  <c r="F90" i="21"/>
  <c r="F88" i="21" s="1"/>
  <c r="D90" i="21"/>
  <c r="I106" i="21"/>
  <c r="J148" i="21"/>
  <c r="L148" i="21"/>
  <c r="N148" i="21"/>
  <c r="P148" i="21"/>
  <c r="R148" i="21"/>
  <c r="T148" i="21"/>
  <c r="V148" i="21"/>
  <c r="X148" i="21"/>
  <c r="Z148" i="21"/>
  <c r="AB148" i="21"/>
  <c r="AD148" i="21"/>
  <c r="E150" i="21"/>
  <c r="E137" i="21"/>
  <c r="F139" i="21"/>
  <c r="D139" i="21"/>
  <c r="G139" i="21"/>
  <c r="Q148" i="21"/>
  <c r="I161" i="21"/>
  <c r="Q161" i="21"/>
  <c r="Y161" i="21"/>
  <c r="K162" i="21"/>
  <c r="S162" i="21"/>
  <c r="S157" i="21" s="1"/>
  <c r="AA162" i="21"/>
  <c r="K7" i="22"/>
  <c r="M7" i="22"/>
  <c r="O7" i="22"/>
  <c r="S7" i="22"/>
  <c r="U7" i="22"/>
  <c r="W7" i="22"/>
  <c r="Y7" i="22"/>
  <c r="AA7" i="22"/>
  <c r="AC7" i="22"/>
  <c r="AE7" i="22"/>
  <c r="E9" i="22"/>
  <c r="E11" i="22"/>
  <c r="I14" i="22"/>
  <c r="G49" i="19"/>
  <c r="H159" i="21"/>
  <c r="J159" i="21"/>
  <c r="L159" i="21"/>
  <c r="N159" i="21"/>
  <c r="P159" i="21"/>
  <c r="T159" i="21"/>
  <c r="V159" i="21"/>
  <c r="X159" i="21"/>
  <c r="Z159" i="21"/>
  <c r="AD159" i="21"/>
  <c r="H161" i="21"/>
  <c r="J161" i="21"/>
  <c r="L161" i="21"/>
  <c r="N161" i="21"/>
  <c r="P161" i="21"/>
  <c r="R161" i="21"/>
  <c r="T161" i="21"/>
  <c r="V161" i="21"/>
  <c r="X161" i="21"/>
  <c r="Z161" i="21"/>
  <c r="AB161" i="21"/>
  <c r="AD161" i="21"/>
  <c r="H162" i="21"/>
  <c r="H157" i="21" s="1"/>
  <c r="J162" i="21"/>
  <c r="J157" i="21" s="1"/>
  <c r="L162" i="21"/>
  <c r="L157" i="21" s="1"/>
  <c r="P162" i="21"/>
  <c r="P157" i="21" s="1"/>
  <c r="R162" i="21"/>
  <c r="R157" i="21" s="1"/>
  <c r="T162" i="21"/>
  <c r="T157" i="21" s="1"/>
  <c r="V162" i="21"/>
  <c r="V157" i="21" s="1"/>
  <c r="X162" i="21"/>
  <c r="X157" i="21" s="1"/>
  <c r="Z162" i="21"/>
  <c r="Z157" i="21" s="1"/>
  <c r="AB162" i="21"/>
  <c r="AB157" i="21" s="1"/>
  <c r="F96" i="21"/>
  <c r="F94" i="21" s="1"/>
  <c r="D96" i="21"/>
  <c r="F114" i="21"/>
  <c r="F112" i="21" s="1"/>
  <c r="D114" i="21"/>
  <c r="F44" i="22"/>
  <c r="D44" i="22"/>
  <c r="F45" i="22"/>
  <c r="D45" i="22"/>
  <c r="F46" i="22"/>
  <c r="D46" i="22"/>
  <c r="F47" i="22"/>
  <c r="D47" i="22"/>
  <c r="F48" i="22"/>
  <c r="D48" i="22"/>
  <c r="F51" i="22"/>
  <c r="D51" i="22"/>
  <c r="F52" i="22"/>
  <c r="D52" i="22"/>
  <c r="F53" i="22"/>
  <c r="F54" i="22"/>
  <c r="D54" i="22"/>
  <c r="AG123" i="18" l="1"/>
  <c r="D66" i="18"/>
  <c r="F66" i="18"/>
  <c r="G66" i="18"/>
  <c r="G65" i="18"/>
  <c r="F65" i="18"/>
  <c r="F32" i="18"/>
  <c r="G32" i="18"/>
  <c r="Y136" i="18"/>
  <c r="D19" i="22"/>
  <c r="H41" i="18"/>
  <c r="H143" i="18" s="1"/>
  <c r="H154" i="18" s="1"/>
  <c r="H150" i="18" s="1"/>
  <c r="G56" i="18"/>
  <c r="N152" i="18"/>
  <c r="N148" i="18" s="1"/>
  <c r="Y38" i="18"/>
  <c r="F108" i="18"/>
  <c r="F113" i="18"/>
  <c r="G19" i="22"/>
  <c r="U154" i="18"/>
  <c r="U150" i="18" s="1"/>
  <c r="Z136" i="18"/>
  <c r="F103" i="18"/>
  <c r="F18" i="22"/>
  <c r="D12" i="22"/>
  <c r="G71" i="18"/>
  <c r="M154" i="18"/>
  <c r="M150" i="18" s="1"/>
  <c r="R154" i="18"/>
  <c r="R150" i="18" s="1"/>
  <c r="G28" i="18"/>
  <c r="Y43" i="18"/>
  <c r="D67" i="19"/>
  <c r="AD38" i="19"/>
  <c r="T138" i="18"/>
  <c r="AB140" i="18"/>
  <c r="F118" i="18"/>
  <c r="I7" i="22"/>
  <c r="M159" i="21"/>
  <c r="M158" i="21" s="1"/>
  <c r="G129" i="21"/>
  <c r="F12" i="18"/>
  <c r="G17" i="18"/>
  <c r="X154" i="18"/>
  <c r="X150" i="18" s="1"/>
  <c r="AB136" i="18"/>
  <c r="AB135" i="18" s="1"/>
  <c r="P136" i="18"/>
  <c r="P135" i="18" s="1"/>
  <c r="J152" i="18"/>
  <c r="J148" i="18" s="1"/>
  <c r="K159" i="21"/>
  <c r="K154" i="21" s="1"/>
  <c r="G40" i="21"/>
  <c r="F83" i="18"/>
  <c r="G88" i="18"/>
  <c r="F123" i="18"/>
  <c r="G73" i="18"/>
  <c r="F12" i="22"/>
  <c r="AA154" i="18"/>
  <c r="AA150" i="18" s="1"/>
  <c r="Q154" i="18"/>
  <c r="Q150" i="18" s="1"/>
  <c r="AB152" i="18"/>
  <c r="X136" i="18"/>
  <c r="X135" i="18" s="1"/>
  <c r="E46" i="18"/>
  <c r="E41" i="18" s="1"/>
  <c r="G12" i="18"/>
  <c r="G128" i="21"/>
  <c r="AE138" i="18"/>
  <c r="W154" i="18"/>
  <c r="W150" i="18" s="1"/>
  <c r="K154" i="18"/>
  <c r="K150" i="18" s="1"/>
  <c r="Y140" i="18"/>
  <c r="I152" i="18"/>
  <c r="I148" i="18" s="1"/>
  <c r="AB138" i="18"/>
  <c r="V138" i="18"/>
  <c r="L138" i="18"/>
  <c r="AD136" i="18"/>
  <c r="V136" i="18"/>
  <c r="L152" i="18"/>
  <c r="G18" i="22"/>
  <c r="F55" i="18"/>
  <c r="G16" i="19"/>
  <c r="C41" i="18"/>
  <c r="C143" i="18" s="1"/>
  <c r="I138" i="18"/>
  <c r="I154" i="18"/>
  <c r="I150" i="18" s="1"/>
  <c r="AC138" i="18"/>
  <c r="S138" i="18"/>
  <c r="Z138" i="18"/>
  <c r="P138" i="18"/>
  <c r="R136" i="18"/>
  <c r="E62" i="19"/>
  <c r="G62" i="19" s="1"/>
  <c r="G70" i="18"/>
  <c r="F130" i="18"/>
  <c r="F58" i="18"/>
  <c r="F16" i="22"/>
  <c r="G130" i="18"/>
  <c r="Z137" i="18"/>
  <c r="Z149" i="18" s="1"/>
  <c r="N137" i="18"/>
  <c r="N149" i="18" s="1"/>
  <c r="Y154" i="18"/>
  <c r="Y150" i="18" s="1"/>
  <c r="L140" i="18"/>
  <c r="F40" i="21"/>
  <c r="F88" i="18"/>
  <c r="F70" i="18"/>
  <c r="F50" i="22"/>
  <c r="F54" i="18"/>
  <c r="G58" i="18"/>
  <c r="C157" i="18"/>
  <c r="C155" i="18" s="1"/>
  <c r="F69" i="18"/>
  <c r="F16" i="19"/>
  <c r="F98" i="18"/>
  <c r="F10" i="21"/>
  <c r="D9" i="19"/>
  <c r="P140" i="18"/>
  <c r="E41" i="19"/>
  <c r="E63" i="19" s="1"/>
  <c r="D76" i="19"/>
  <c r="G113" i="18"/>
  <c r="L7" i="22"/>
  <c r="G108" i="21"/>
  <c r="G106" i="21" s="1"/>
  <c r="F78" i="18"/>
  <c r="B45" i="18"/>
  <c r="B40" i="18" s="1"/>
  <c r="D54" i="19"/>
  <c r="F131" i="21"/>
  <c r="W43" i="18"/>
  <c r="E63" i="18"/>
  <c r="D16" i="19"/>
  <c r="F93" i="18"/>
  <c r="B54" i="19"/>
  <c r="G55" i="18"/>
  <c r="G83" i="18"/>
  <c r="F43" i="22"/>
  <c r="C121" i="21"/>
  <c r="C120" i="21"/>
  <c r="C157" i="21"/>
  <c r="J63" i="19"/>
  <c r="J77" i="19" s="1"/>
  <c r="V137" i="18"/>
  <c r="V149" i="18" s="1"/>
  <c r="W136" i="18"/>
  <c r="G34" i="18"/>
  <c r="R140" i="18"/>
  <c r="V38" i="18"/>
  <c r="F71" i="18"/>
  <c r="F73" i="18"/>
  <c r="F55" i="19"/>
  <c r="G55" i="21"/>
  <c r="C118" i="21"/>
  <c r="E9" i="19"/>
  <c r="G9" i="19" s="1"/>
  <c r="F31" i="19"/>
  <c r="Z63" i="19"/>
  <c r="Z77" i="19" s="1"/>
  <c r="O138" i="18"/>
  <c r="W140" i="18"/>
  <c r="V140" i="18"/>
  <c r="R38" i="18"/>
  <c r="R137" i="18"/>
  <c r="R149" i="18" s="1"/>
  <c r="J137" i="18"/>
  <c r="J149" i="18" s="1"/>
  <c r="F34" i="18"/>
  <c r="J140" i="18"/>
  <c r="G43" i="22"/>
  <c r="J38" i="18"/>
  <c r="B119" i="21"/>
  <c r="M39" i="18"/>
  <c r="M141" i="18" s="1"/>
  <c r="M152" i="18" s="1"/>
  <c r="U140" i="18"/>
  <c r="C119" i="21"/>
  <c r="F127" i="21"/>
  <c r="B120" i="21"/>
  <c r="G54" i="21"/>
  <c r="F15" i="22"/>
  <c r="G69" i="18"/>
  <c r="AD140" i="18"/>
  <c r="D127" i="21"/>
  <c r="V38" i="19"/>
  <c r="AD137" i="18"/>
  <c r="AD149" i="18" s="1"/>
  <c r="U136" i="18"/>
  <c r="U135" i="18" s="1"/>
  <c r="AD138" i="18"/>
  <c r="N138" i="18"/>
  <c r="X140" i="18"/>
  <c r="G31" i="19"/>
  <c r="F24" i="19"/>
  <c r="AB7" i="22"/>
  <c r="C162" i="21"/>
  <c r="Z38" i="18"/>
  <c r="U38" i="18"/>
  <c r="D69" i="18"/>
  <c r="D68" i="18" s="1"/>
  <c r="F132" i="18"/>
  <c r="W137" i="18"/>
  <c r="W149" i="18" s="1"/>
  <c r="E68" i="18"/>
  <c r="G68" i="18" s="1"/>
  <c r="E54" i="19"/>
  <c r="G54" i="19" s="1"/>
  <c r="Z140" i="18"/>
  <c r="T7" i="22"/>
  <c r="B9" i="22"/>
  <c r="B63" i="18"/>
  <c r="U43" i="18"/>
  <c r="AA118" i="21"/>
  <c r="AA117" i="21" s="1"/>
  <c r="N121" i="21"/>
  <c r="N117" i="21" s="1"/>
  <c r="U118" i="21"/>
  <c r="U117" i="21" s="1"/>
  <c r="S118" i="21"/>
  <c r="S117" i="21" s="1"/>
  <c r="Q118" i="21"/>
  <c r="Q117" i="21" s="1"/>
  <c r="AB118" i="21"/>
  <c r="K118" i="21"/>
  <c r="K117" i="21" s="1"/>
  <c r="R118" i="21"/>
  <c r="R117" i="21" s="1"/>
  <c r="AC118" i="21"/>
  <c r="AC117" i="21" s="1"/>
  <c r="M118" i="21"/>
  <c r="M117" i="21" s="1"/>
  <c r="AE118" i="21"/>
  <c r="AE117" i="21" s="1"/>
  <c r="AD121" i="21"/>
  <c r="Y118" i="21"/>
  <c r="Y117" i="21" s="1"/>
  <c r="F20" i="18"/>
  <c r="G50" i="22"/>
  <c r="AD38" i="18"/>
  <c r="C146" i="18"/>
  <c r="C145" i="18" s="1"/>
  <c r="C129" i="18"/>
  <c r="AC43" i="18"/>
  <c r="AC39" i="18"/>
  <c r="B53" i="18"/>
  <c r="F46" i="21"/>
  <c r="F108" i="21"/>
  <c r="F106" i="21" s="1"/>
  <c r="E146" i="18"/>
  <c r="E145" i="18" s="1"/>
  <c r="E129" i="18"/>
  <c r="G129" i="18" s="1"/>
  <c r="C38" i="19"/>
  <c r="G48" i="18"/>
  <c r="H7" i="22"/>
  <c r="B146" i="18"/>
  <c r="B145" i="18" s="1"/>
  <c r="B129" i="18"/>
  <c r="D146" i="18"/>
  <c r="D145" i="18" s="1"/>
  <c r="D129" i="18"/>
  <c r="F17" i="22"/>
  <c r="B8" i="22"/>
  <c r="B106" i="21"/>
  <c r="G46" i="21"/>
  <c r="E53" i="18"/>
  <c r="G14" i="22"/>
  <c r="G54" i="18"/>
  <c r="N140" i="18"/>
  <c r="X7" i="22"/>
  <c r="R159" i="21"/>
  <c r="R158" i="21" s="1"/>
  <c r="E58" i="21"/>
  <c r="G22" i="21"/>
  <c r="I148" i="21"/>
  <c r="G131" i="21"/>
  <c r="D54" i="21"/>
  <c r="C125" i="21"/>
  <c r="F18" i="21"/>
  <c r="G28" i="21"/>
  <c r="B53" i="21"/>
  <c r="B159" i="21" s="1"/>
  <c r="F22" i="21"/>
  <c r="F34" i="21"/>
  <c r="G60" i="21"/>
  <c r="F126" i="21"/>
  <c r="D126" i="21"/>
  <c r="G126" i="21"/>
  <c r="H148" i="21"/>
  <c r="F128" i="21"/>
  <c r="F129" i="21"/>
  <c r="E125" i="21"/>
  <c r="B125" i="21"/>
  <c r="D108" i="21"/>
  <c r="E106" i="21"/>
  <c r="Q159" i="21"/>
  <c r="Q154" i="21" s="1"/>
  <c r="Q153" i="21" s="1"/>
  <c r="AC159" i="21"/>
  <c r="AC158" i="21" s="1"/>
  <c r="U159" i="21"/>
  <c r="U154" i="21" s="1"/>
  <c r="U153" i="21" s="1"/>
  <c r="I159" i="21"/>
  <c r="I154" i="21" s="1"/>
  <c r="N162" i="21"/>
  <c r="N157" i="21" s="1"/>
  <c r="Y159" i="21"/>
  <c r="Y154" i="21" s="1"/>
  <c r="Y153" i="21" s="1"/>
  <c r="AD162" i="21"/>
  <c r="AD157" i="21" s="1"/>
  <c r="G56" i="21"/>
  <c r="AB159" i="21"/>
  <c r="AB158" i="21" s="1"/>
  <c r="F59" i="21"/>
  <c r="F55" i="21"/>
  <c r="AA159" i="21"/>
  <c r="AA154" i="21" s="1"/>
  <c r="AE159" i="21"/>
  <c r="AE154" i="21" s="1"/>
  <c r="AE153" i="21" s="1"/>
  <c r="F64" i="21"/>
  <c r="G64" i="21"/>
  <c r="B16" i="21"/>
  <c r="W117" i="21"/>
  <c r="G34" i="21"/>
  <c r="F28" i="21"/>
  <c r="E160" i="21"/>
  <c r="O117" i="21"/>
  <c r="G18" i="21"/>
  <c r="D18" i="21"/>
  <c r="E119" i="21"/>
  <c r="E155" i="21"/>
  <c r="D155" i="21" s="1"/>
  <c r="G11" i="21"/>
  <c r="T141" i="18"/>
  <c r="T38" i="18"/>
  <c r="B157" i="18"/>
  <c r="B155" i="18" s="1"/>
  <c r="B11" i="18"/>
  <c r="D63" i="18"/>
  <c r="D73" i="18"/>
  <c r="J160" i="21"/>
  <c r="J155" i="21" s="1"/>
  <c r="C155" i="21" s="1"/>
  <c r="B68" i="18"/>
  <c r="B54" i="21"/>
  <c r="F54" i="21" s="1"/>
  <c r="D54" i="18"/>
  <c r="D53" i="18" s="1"/>
  <c r="F47" i="19"/>
  <c r="B46" i="18"/>
  <c r="J41" i="18"/>
  <c r="J143" i="18" s="1"/>
  <c r="AE43" i="18"/>
  <c r="AE39" i="18"/>
  <c r="V7" i="22"/>
  <c r="K141" i="18"/>
  <c r="K38" i="18"/>
  <c r="J52" i="21"/>
  <c r="E45" i="18"/>
  <c r="I40" i="18"/>
  <c r="O39" i="18"/>
  <c r="O43" i="18"/>
  <c r="H43" i="18"/>
  <c r="H39" i="18"/>
  <c r="B44" i="18"/>
  <c r="S43" i="18"/>
  <c r="S39" i="18"/>
  <c r="W38" i="18"/>
  <c r="B161" i="21"/>
  <c r="N38" i="18"/>
  <c r="F24" i="18"/>
  <c r="C63" i="18"/>
  <c r="Q43" i="18"/>
  <c r="Q39" i="18"/>
  <c r="C40" i="18"/>
  <c r="C142" i="18" s="1"/>
  <c r="H40" i="18"/>
  <c r="C53" i="18"/>
  <c r="E44" i="18"/>
  <c r="AA141" i="18"/>
  <c r="AA38" i="18"/>
  <c r="G47" i="19"/>
  <c r="D47" i="19"/>
  <c r="C63" i="19"/>
  <c r="C77" i="19" s="1"/>
  <c r="E157" i="18"/>
  <c r="E155" i="18" s="1"/>
  <c r="E11" i="18"/>
  <c r="C76" i="19"/>
  <c r="AD62" i="19"/>
  <c r="AD76" i="19" s="1"/>
  <c r="AD74" i="19" s="1"/>
  <c r="C160" i="21"/>
  <c r="C9" i="21"/>
  <c r="G9" i="21" s="1"/>
  <c r="C161" i="21"/>
  <c r="G59" i="21"/>
  <c r="C58" i="21"/>
  <c r="C52" i="21"/>
  <c r="B56" i="21"/>
  <c r="C16" i="21"/>
  <c r="S159" i="21"/>
  <c r="S154" i="21" s="1"/>
  <c r="S153" i="21" s="1"/>
  <c r="C106" i="21"/>
  <c r="E53" i="21"/>
  <c r="E118" i="21" s="1"/>
  <c r="I52" i="21"/>
  <c r="B58" i="21"/>
  <c r="D34" i="18"/>
  <c r="D32" i="18" s="1"/>
  <c r="D14" i="18"/>
  <c r="D12" i="18"/>
  <c r="AA157" i="21"/>
  <c r="K157" i="21"/>
  <c r="B148" i="21"/>
  <c r="N62" i="19"/>
  <c r="N76" i="19" s="1"/>
  <c r="N38" i="19"/>
  <c r="W157" i="21"/>
  <c r="W153" i="21" s="1"/>
  <c r="W158" i="21"/>
  <c r="I117" i="21"/>
  <c r="AE67" i="19"/>
  <c r="AE38" i="19"/>
  <c r="AC67" i="19"/>
  <c r="AC38" i="19"/>
  <c r="AA67" i="19"/>
  <c r="AA38" i="19"/>
  <c r="Y67" i="19"/>
  <c r="Y38" i="19"/>
  <c r="W67" i="19"/>
  <c r="W38" i="19"/>
  <c r="U67" i="19"/>
  <c r="U38" i="19"/>
  <c r="S67" i="19"/>
  <c r="S38" i="19"/>
  <c r="Q67" i="19"/>
  <c r="Q38" i="19"/>
  <c r="O67" i="19"/>
  <c r="O38" i="19"/>
  <c r="M67" i="19"/>
  <c r="M38" i="19"/>
  <c r="K67" i="19"/>
  <c r="K38" i="19"/>
  <c r="I67" i="19"/>
  <c r="I38" i="19"/>
  <c r="AD154" i="21"/>
  <c r="Z158" i="21"/>
  <c r="Z154" i="21"/>
  <c r="Z153" i="21" s="1"/>
  <c r="X158" i="21"/>
  <c r="X154" i="21"/>
  <c r="X153" i="21" s="1"/>
  <c r="V158" i="21"/>
  <c r="V154" i="21"/>
  <c r="V153" i="21" s="1"/>
  <c r="T158" i="21"/>
  <c r="T154" i="21"/>
  <c r="T153" i="21" s="1"/>
  <c r="P158" i="21"/>
  <c r="P154" i="21"/>
  <c r="P153" i="21" s="1"/>
  <c r="N154" i="21"/>
  <c r="L158" i="21"/>
  <c r="L154" i="21"/>
  <c r="L153" i="21" s="1"/>
  <c r="J154" i="21"/>
  <c r="H158" i="21"/>
  <c r="H154" i="21"/>
  <c r="F11" i="22"/>
  <c r="D11" i="22"/>
  <c r="G11" i="22"/>
  <c r="D9" i="22"/>
  <c r="G9" i="22"/>
  <c r="F137" i="21"/>
  <c r="G137" i="21"/>
  <c r="E120" i="21"/>
  <c r="F19" i="21"/>
  <c r="D19" i="21"/>
  <c r="E161" i="21"/>
  <c r="G19" i="21"/>
  <c r="D9" i="21"/>
  <c r="Y74" i="19"/>
  <c r="Y60" i="19"/>
  <c r="Q74" i="19"/>
  <c r="Q60" i="19"/>
  <c r="I74" i="19"/>
  <c r="I60" i="19"/>
  <c r="AB74" i="19"/>
  <c r="AB60" i="19"/>
  <c r="X74" i="19"/>
  <c r="X60" i="19"/>
  <c r="T74" i="19"/>
  <c r="T60" i="19"/>
  <c r="P74" i="19"/>
  <c r="P60" i="19"/>
  <c r="L74" i="19"/>
  <c r="L60" i="19"/>
  <c r="B41" i="19"/>
  <c r="AB38" i="19"/>
  <c r="T38" i="19"/>
  <c r="L38" i="19"/>
  <c r="F10" i="22"/>
  <c r="D10" i="22"/>
  <c r="G10" i="22"/>
  <c r="E7" i="22"/>
  <c r="AA60" i="19"/>
  <c r="AA74" i="19"/>
  <c r="S60" i="19"/>
  <c r="S74" i="19"/>
  <c r="K60" i="19"/>
  <c r="K74" i="19"/>
  <c r="W151" i="18"/>
  <c r="G8" i="22"/>
  <c r="C7" i="22"/>
  <c r="O158" i="21"/>
  <c r="R38" i="19"/>
  <c r="AD151" i="18"/>
  <c r="Z151" i="18"/>
  <c r="V151" i="18"/>
  <c r="R151" i="18"/>
  <c r="D43" i="22"/>
  <c r="D112" i="21"/>
  <c r="D94" i="21"/>
  <c r="Z117" i="21"/>
  <c r="X117" i="21"/>
  <c r="V117" i="21"/>
  <c r="T117" i="21"/>
  <c r="P117" i="21"/>
  <c r="L117" i="21"/>
  <c r="J117" i="21"/>
  <c r="H117" i="21"/>
  <c r="D131" i="21"/>
  <c r="F150" i="21"/>
  <c r="D150" i="21"/>
  <c r="G150" i="21"/>
  <c r="D88" i="21"/>
  <c r="D82" i="21"/>
  <c r="D76" i="21"/>
  <c r="D70" i="21"/>
  <c r="D62" i="21"/>
  <c r="D61" i="21"/>
  <c r="D60" i="21"/>
  <c r="D64" i="21"/>
  <c r="D59" i="21"/>
  <c r="D46" i="21"/>
  <c r="D40" i="21"/>
  <c r="D34" i="21"/>
  <c r="D28" i="21"/>
  <c r="D22" i="21"/>
  <c r="E162" i="21"/>
  <c r="F20" i="21"/>
  <c r="D20" i="21"/>
  <c r="E121" i="21"/>
  <c r="G20" i="21"/>
  <c r="F17" i="21"/>
  <c r="D17" i="21"/>
  <c r="E16" i="21"/>
  <c r="G17" i="21"/>
  <c r="AC74" i="19"/>
  <c r="AC60" i="19"/>
  <c r="U74" i="19"/>
  <c r="U60" i="19"/>
  <c r="M74" i="19"/>
  <c r="M60" i="19"/>
  <c r="H63" i="19"/>
  <c r="H77" i="19" s="1"/>
  <c r="R74" i="19"/>
  <c r="R60" i="19"/>
  <c r="X38" i="19"/>
  <c r="P38" i="19"/>
  <c r="H38" i="19"/>
  <c r="B9" i="19"/>
  <c r="O153" i="21"/>
  <c r="D137" i="21"/>
  <c r="AE60" i="19"/>
  <c r="AE74" i="19"/>
  <c r="W60" i="19"/>
  <c r="W74" i="19"/>
  <c r="O60" i="19"/>
  <c r="O74" i="19"/>
  <c r="Z62" i="19"/>
  <c r="V62" i="19"/>
  <c r="V76" i="19" s="1"/>
  <c r="J62" i="19"/>
  <c r="Y135" i="18"/>
  <c r="Y151" i="18"/>
  <c r="Y147" i="18"/>
  <c r="U151" i="18"/>
  <c r="U147" i="18"/>
  <c r="G12" i="22"/>
  <c r="E148" i="21"/>
  <c r="X147" i="18"/>
  <c r="X151" i="18"/>
  <c r="P147" i="18"/>
  <c r="P151" i="18"/>
  <c r="L135" i="18"/>
  <c r="AB148" i="18" l="1"/>
  <c r="AB147" i="18" s="1"/>
  <c r="L148" i="18"/>
  <c r="L147" i="18" s="1"/>
  <c r="M148" i="18"/>
  <c r="M147" i="18" s="1"/>
  <c r="F155" i="18"/>
  <c r="G155" i="18"/>
  <c r="N151" i="18"/>
  <c r="H138" i="18"/>
  <c r="M136" i="18"/>
  <c r="M135" i="18" s="1"/>
  <c r="J151" i="18"/>
  <c r="M154" i="21"/>
  <c r="M153" i="21" s="1"/>
  <c r="K153" i="21"/>
  <c r="AB151" i="18"/>
  <c r="R135" i="18"/>
  <c r="E76" i="19"/>
  <c r="G76" i="19" s="1"/>
  <c r="Z135" i="18"/>
  <c r="K158" i="21"/>
  <c r="G46" i="18"/>
  <c r="L151" i="18"/>
  <c r="G63" i="18"/>
  <c r="D46" i="18"/>
  <c r="D41" i="18" s="1"/>
  <c r="D143" i="18" s="1"/>
  <c r="D154" i="18" s="1"/>
  <c r="D150" i="18" s="1"/>
  <c r="E60" i="19"/>
  <c r="V135" i="18"/>
  <c r="G119" i="21"/>
  <c r="AD135" i="18"/>
  <c r="N135" i="18"/>
  <c r="E67" i="19"/>
  <c r="G67" i="19" s="1"/>
  <c r="F63" i="18"/>
  <c r="D7" i="22"/>
  <c r="F53" i="18"/>
  <c r="W135" i="18"/>
  <c r="N60" i="19"/>
  <c r="R147" i="18"/>
  <c r="Z147" i="18"/>
  <c r="W147" i="18"/>
  <c r="D38" i="19"/>
  <c r="M151" i="18"/>
  <c r="N147" i="18"/>
  <c r="AD147" i="18"/>
  <c r="G53" i="18"/>
  <c r="F45" i="18"/>
  <c r="E77" i="19"/>
  <c r="G77" i="19" s="1"/>
  <c r="V147" i="18"/>
  <c r="AB154" i="21"/>
  <c r="AB153" i="21" s="1"/>
  <c r="G41" i="19"/>
  <c r="M38" i="18"/>
  <c r="M140" i="18"/>
  <c r="E38" i="19"/>
  <c r="G38" i="19" s="1"/>
  <c r="J147" i="18"/>
  <c r="F54" i="19"/>
  <c r="F129" i="18"/>
  <c r="D125" i="21"/>
  <c r="J135" i="18"/>
  <c r="C154" i="21"/>
  <c r="C153" i="21" s="1"/>
  <c r="F9" i="19"/>
  <c r="B7" i="22"/>
  <c r="F7" i="22" s="1"/>
  <c r="B121" i="21"/>
  <c r="F121" i="21" s="1"/>
  <c r="B118" i="21"/>
  <c r="R154" i="21"/>
  <c r="R153" i="21" s="1"/>
  <c r="F68" i="18"/>
  <c r="AD60" i="19"/>
  <c r="F9" i="22"/>
  <c r="AB117" i="21"/>
  <c r="G125" i="21"/>
  <c r="C138" i="18"/>
  <c r="C154" i="18"/>
  <c r="C150" i="18" s="1"/>
  <c r="G58" i="21"/>
  <c r="B52" i="21"/>
  <c r="AC141" i="18"/>
  <c r="AC38" i="18"/>
  <c r="B157" i="21"/>
  <c r="B155" i="21"/>
  <c r="F155" i="21" s="1"/>
  <c r="AA158" i="21"/>
  <c r="F8" i="22"/>
  <c r="G145" i="18"/>
  <c r="F145" i="18"/>
  <c r="AE158" i="21"/>
  <c r="F58" i="21"/>
  <c r="D106" i="21"/>
  <c r="D119" i="21"/>
  <c r="I158" i="21"/>
  <c r="N153" i="21"/>
  <c r="F125" i="21"/>
  <c r="AC154" i="21"/>
  <c r="AC153" i="21" s="1"/>
  <c r="Q158" i="21"/>
  <c r="U158" i="21"/>
  <c r="C117" i="21"/>
  <c r="J153" i="21"/>
  <c r="N158" i="21"/>
  <c r="B160" i="21"/>
  <c r="F160" i="21" s="1"/>
  <c r="AD117" i="21"/>
  <c r="AA153" i="21"/>
  <c r="Y158" i="21"/>
  <c r="AD153" i="21"/>
  <c r="AD158" i="21"/>
  <c r="E159" i="21"/>
  <c r="F159" i="21" s="1"/>
  <c r="J158" i="21"/>
  <c r="G160" i="21"/>
  <c r="F119" i="21"/>
  <c r="S158" i="21"/>
  <c r="D160" i="21"/>
  <c r="G155" i="21"/>
  <c r="C74" i="19"/>
  <c r="S141" i="18"/>
  <c r="S38" i="18"/>
  <c r="E143" i="18"/>
  <c r="G41" i="18"/>
  <c r="F46" i="18"/>
  <c r="B41" i="18"/>
  <c r="B143" i="18" s="1"/>
  <c r="D58" i="21"/>
  <c r="H142" i="18"/>
  <c r="H153" i="18" s="1"/>
  <c r="H137" i="18"/>
  <c r="H149" i="18" s="1"/>
  <c r="C39" i="18"/>
  <c r="C43" i="18"/>
  <c r="AE141" i="18"/>
  <c r="AE38" i="18"/>
  <c r="AA152" i="18"/>
  <c r="AA148" i="18" s="1"/>
  <c r="AA140" i="18"/>
  <c r="AA136" i="18"/>
  <c r="AA135" i="18" s="1"/>
  <c r="C153" i="18"/>
  <c r="C149" i="18" s="1"/>
  <c r="C137" i="18"/>
  <c r="B39" i="18"/>
  <c r="B141" i="18" s="1"/>
  <c r="B152" i="18" s="1"/>
  <c r="B148" i="18" s="1"/>
  <c r="B43" i="18"/>
  <c r="I142" i="18"/>
  <c r="I38" i="18"/>
  <c r="I137" i="18"/>
  <c r="K152" i="18"/>
  <c r="K148" i="18" s="1"/>
  <c r="K140" i="18"/>
  <c r="K136" i="18"/>
  <c r="K135" i="18" s="1"/>
  <c r="T136" i="18"/>
  <c r="T135" i="18" s="1"/>
  <c r="T152" i="18"/>
  <c r="T148" i="18" s="1"/>
  <c r="T140" i="18"/>
  <c r="E43" i="18"/>
  <c r="F44" i="18"/>
  <c r="G44" i="18"/>
  <c r="E39" i="18"/>
  <c r="D44" i="18"/>
  <c r="Q141" i="18"/>
  <c r="Q38" i="18"/>
  <c r="H141" i="18"/>
  <c r="H38" i="18"/>
  <c r="O141" i="18"/>
  <c r="O38" i="18"/>
  <c r="G45" i="18"/>
  <c r="E40" i="18"/>
  <c r="F40" i="18" s="1"/>
  <c r="D45" i="18"/>
  <c r="D40" i="18" s="1"/>
  <c r="J154" i="18"/>
  <c r="J150" i="18" s="1"/>
  <c r="J138" i="18"/>
  <c r="D60" i="19"/>
  <c r="D74" i="19"/>
  <c r="N74" i="19"/>
  <c r="C60" i="19"/>
  <c r="G63" i="19"/>
  <c r="F11" i="18"/>
  <c r="G11" i="18"/>
  <c r="G157" i="18"/>
  <c r="F157" i="18"/>
  <c r="D148" i="21"/>
  <c r="G53" i="21"/>
  <c r="F53" i="21"/>
  <c r="D53" i="21"/>
  <c r="D52" i="21" s="1"/>
  <c r="E52" i="21"/>
  <c r="B142" i="18"/>
  <c r="C159" i="21"/>
  <c r="C158" i="21" s="1"/>
  <c r="B162" i="21"/>
  <c r="F56" i="21"/>
  <c r="D157" i="18"/>
  <c r="D155" i="18" s="1"/>
  <c r="D11" i="18"/>
  <c r="J76" i="19"/>
  <c r="J74" i="19" s="1"/>
  <c r="J60" i="19"/>
  <c r="Z76" i="19"/>
  <c r="Z74" i="19" s="1"/>
  <c r="Z60" i="19"/>
  <c r="E157" i="21"/>
  <c r="F148" i="21"/>
  <c r="G148" i="21"/>
  <c r="B67" i="19"/>
  <c r="B38" i="19"/>
  <c r="V60" i="19"/>
  <c r="D162" i="21"/>
  <c r="D121" i="21"/>
  <c r="G162" i="21"/>
  <c r="I153" i="21"/>
  <c r="G7" i="22"/>
  <c r="H60" i="19"/>
  <c r="H74" i="19"/>
  <c r="F161" i="21"/>
  <c r="G161" i="21"/>
  <c r="V74" i="19"/>
  <c r="F16" i="21"/>
  <c r="G16" i="21"/>
  <c r="D16" i="21"/>
  <c r="G118" i="21"/>
  <c r="E117" i="21"/>
  <c r="G121" i="21"/>
  <c r="B62" i="19"/>
  <c r="F41" i="19"/>
  <c r="B63" i="19"/>
  <c r="D161" i="21"/>
  <c r="D120" i="21"/>
  <c r="F120" i="21"/>
  <c r="G120" i="21"/>
  <c r="H153" i="21"/>
  <c r="F67" i="19" l="1"/>
  <c r="D138" i="18"/>
  <c r="B117" i="21"/>
  <c r="F117" i="21" s="1"/>
  <c r="F38" i="19"/>
  <c r="G60" i="19"/>
  <c r="B154" i="21"/>
  <c r="B153" i="21" s="1"/>
  <c r="AC152" i="18"/>
  <c r="AC148" i="18" s="1"/>
  <c r="AC140" i="18"/>
  <c r="AC136" i="18"/>
  <c r="AC135" i="18" s="1"/>
  <c r="F43" i="18"/>
  <c r="E154" i="21"/>
  <c r="G159" i="21"/>
  <c r="F118" i="21"/>
  <c r="E158" i="21"/>
  <c r="G158" i="21" s="1"/>
  <c r="B158" i="21"/>
  <c r="D159" i="21"/>
  <c r="D158" i="21" s="1"/>
  <c r="F162" i="21"/>
  <c r="E142" i="18"/>
  <c r="F142" i="18" s="1"/>
  <c r="E137" i="18"/>
  <c r="G137" i="18" s="1"/>
  <c r="G40" i="18"/>
  <c r="D43" i="18"/>
  <c r="D39" i="18"/>
  <c r="AA151" i="18"/>
  <c r="AA147" i="18"/>
  <c r="H152" i="18"/>
  <c r="H148" i="18" s="1"/>
  <c r="H140" i="18"/>
  <c r="H136" i="18"/>
  <c r="H135" i="18" s="1"/>
  <c r="G39" i="18"/>
  <c r="F39" i="18"/>
  <c r="E38" i="18"/>
  <c r="E141" i="18"/>
  <c r="I153" i="18"/>
  <c r="I151" i="18" s="1"/>
  <c r="I140" i="18"/>
  <c r="S152" i="18"/>
  <c r="S148" i="18" s="1"/>
  <c r="S140" i="18"/>
  <c r="S136" i="18"/>
  <c r="S135" i="18" s="1"/>
  <c r="B38" i="18"/>
  <c r="T147" i="18"/>
  <c r="T151" i="18"/>
  <c r="K151" i="18"/>
  <c r="K147" i="18"/>
  <c r="G43" i="18"/>
  <c r="F41" i="18"/>
  <c r="D142" i="18"/>
  <c r="D153" i="18" s="1"/>
  <c r="D149" i="18" s="1"/>
  <c r="D137" i="18"/>
  <c r="O140" i="18"/>
  <c r="O136" i="18"/>
  <c r="O135" i="18" s="1"/>
  <c r="O152" i="18"/>
  <c r="O148" i="18" s="1"/>
  <c r="Q136" i="18"/>
  <c r="Q135" i="18" s="1"/>
  <c r="Q152" i="18"/>
  <c r="Q148" i="18" s="1"/>
  <c r="Q140" i="18"/>
  <c r="I149" i="18"/>
  <c r="I147" i="18" s="1"/>
  <c r="I135" i="18"/>
  <c r="B136" i="18"/>
  <c r="AE140" i="18"/>
  <c r="AE136" i="18"/>
  <c r="AE135" i="18" s="1"/>
  <c r="AE152" i="18"/>
  <c r="AE148" i="18" s="1"/>
  <c r="C141" i="18"/>
  <c r="C140" i="18" s="1"/>
  <c r="C38" i="18"/>
  <c r="B154" i="18"/>
  <c r="B150" i="18" s="1"/>
  <c r="B138" i="18"/>
  <c r="E154" i="18"/>
  <c r="G143" i="18"/>
  <c r="E138" i="18"/>
  <c r="F143" i="18"/>
  <c r="B60" i="19"/>
  <c r="F60" i="19" s="1"/>
  <c r="D118" i="21"/>
  <c r="D117" i="21" s="1"/>
  <c r="B140" i="18"/>
  <c r="B153" i="18"/>
  <c r="B137" i="18"/>
  <c r="F52" i="21"/>
  <c r="G52" i="21"/>
  <c r="D157" i="21"/>
  <c r="G157" i="21"/>
  <c r="F157" i="21"/>
  <c r="B77" i="19"/>
  <c r="F77" i="19" s="1"/>
  <c r="F63" i="19"/>
  <c r="B76" i="19"/>
  <c r="F62" i="19"/>
  <c r="G117" i="21"/>
  <c r="F154" i="21" l="1"/>
  <c r="F38" i="18"/>
  <c r="E74" i="19"/>
  <c r="G74" i="19" s="1"/>
  <c r="E153" i="21"/>
  <c r="G153" i="21" s="1"/>
  <c r="D154" i="21"/>
  <c r="D153" i="21" s="1"/>
  <c r="G154" i="21"/>
  <c r="G38" i="18"/>
  <c r="AC151" i="18"/>
  <c r="AC147" i="18"/>
  <c r="F158" i="21"/>
  <c r="H147" i="18"/>
  <c r="H151" i="18"/>
  <c r="E150" i="18"/>
  <c r="F154" i="18"/>
  <c r="G154" i="18"/>
  <c r="C152" i="18"/>
  <c r="C148" i="18" s="1"/>
  <c r="C136" i="18"/>
  <c r="C135" i="18" s="1"/>
  <c r="O147" i="18"/>
  <c r="O151" i="18"/>
  <c r="AE147" i="18"/>
  <c r="AE151" i="18"/>
  <c r="Q151" i="18"/>
  <c r="Q147" i="18"/>
  <c r="E152" i="18"/>
  <c r="E148" i="18" s="1"/>
  <c r="G141" i="18"/>
  <c r="E140" i="18"/>
  <c r="F140" i="18" s="1"/>
  <c r="E136" i="18"/>
  <c r="F141" i="18"/>
  <c r="G138" i="18"/>
  <c r="F138" i="18"/>
  <c r="S151" i="18"/>
  <c r="S147" i="18"/>
  <c r="D141" i="18"/>
  <c r="D38" i="18"/>
  <c r="E153" i="18"/>
  <c r="F153" i="18" s="1"/>
  <c r="G142" i="18"/>
  <c r="B149" i="18"/>
  <c r="B147" i="18" s="1"/>
  <c r="B151" i="18"/>
  <c r="B135" i="18"/>
  <c r="F137" i="18"/>
  <c r="F76" i="19"/>
  <c r="B74" i="19"/>
  <c r="F153" i="21" l="1"/>
  <c r="F148" i="18"/>
  <c r="G148" i="18"/>
  <c r="F74" i="19"/>
  <c r="D140" i="18"/>
  <c r="D152" i="18"/>
  <c r="D148" i="18" s="1"/>
  <c r="D136" i="18"/>
  <c r="D135" i="18" s="1"/>
  <c r="F152" i="18"/>
  <c r="G152" i="18"/>
  <c r="E151" i="18"/>
  <c r="G140" i="18"/>
  <c r="G150" i="18"/>
  <c r="F150" i="18"/>
  <c r="G153" i="18"/>
  <c r="E149" i="18"/>
  <c r="E135" i="18"/>
  <c r="F136" i="18"/>
  <c r="G136" i="18"/>
  <c r="C147" i="18"/>
  <c r="C151" i="18"/>
  <c r="AE115" i="17"/>
  <c r="AD115" i="17"/>
  <c r="AC115" i="17"/>
  <c r="AB115" i="17"/>
  <c r="AA115" i="17"/>
  <c r="Z115" i="17"/>
  <c r="Y115" i="17"/>
  <c r="X115" i="17"/>
  <c r="W115" i="17"/>
  <c r="V115" i="17"/>
  <c r="U115" i="17"/>
  <c r="T115" i="17"/>
  <c r="S115" i="17"/>
  <c r="R115" i="17"/>
  <c r="Q115" i="17"/>
  <c r="P115" i="17"/>
  <c r="O115" i="17"/>
  <c r="O126" i="17" s="1"/>
  <c r="N115" i="17"/>
  <c r="M115" i="17"/>
  <c r="L115" i="17"/>
  <c r="K115" i="17"/>
  <c r="K126" i="17" s="1"/>
  <c r="J115" i="17"/>
  <c r="I115" i="17"/>
  <c r="H115" i="17"/>
  <c r="AE114" i="17"/>
  <c r="AD114" i="17"/>
  <c r="AD125" i="17" s="1"/>
  <c r="AC114" i="17"/>
  <c r="AB114" i="17"/>
  <c r="AB125" i="17" s="1"/>
  <c r="AA114" i="17"/>
  <c r="Z114" i="17"/>
  <c r="Z125" i="17" s="1"/>
  <c r="Y114" i="17"/>
  <c r="X114" i="17"/>
  <c r="X125" i="17" s="1"/>
  <c r="W114" i="17"/>
  <c r="V114" i="17"/>
  <c r="V125" i="17" s="1"/>
  <c r="U114" i="17"/>
  <c r="T114" i="17"/>
  <c r="T125" i="17" s="1"/>
  <c r="S114" i="17"/>
  <c r="R114" i="17"/>
  <c r="R125" i="17" s="1"/>
  <c r="Q114" i="17"/>
  <c r="P114" i="17"/>
  <c r="P125" i="17" s="1"/>
  <c r="O114" i="17"/>
  <c r="N114" i="17"/>
  <c r="N125" i="17" s="1"/>
  <c r="M114" i="17"/>
  <c r="L114" i="17"/>
  <c r="L125" i="17" s="1"/>
  <c r="K114" i="17"/>
  <c r="J114" i="17"/>
  <c r="J125" i="17" s="1"/>
  <c r="I114" i="17"/>
  <c r="H114" i="17"/>
  <c r="H125" i="17" s="1"/>
  <c r="AE113" i="17"/>
  <c r="AE124" i="17" s="1"/>
  <c r="AD113" i="17"/>
  <c r="AC113" i="17"/>
  <c r="AB113" i="17"/>
  <c r="AA113" i="17"/>
  <c r="AA124" i="17" s="1"/>
  <c r="Z113" i="17"/>
  <c r="Y113" i="17"/>
  <c r="X113" i="17"/>
  <c r="W113" i="17"/>
  <c r="W124" i="17" s="1"/>
  <c r="V113" i="17"/>
  <c r="U113" i="17"/>
  <c r="T113" i="17"/>
  <c r="S113" i="17"/>
  <c r="S124" i="17" s="1"/>
  <c r="R113" i="17"/>
  <c r="Q113" i="17"/>
  <c r="Q124" i="17" s="1"/>
  <c r="P113" i="17"/>
  <c r="O113" i="17"/>
  <c r="O124" i="17" s="1"/>
  <c r="N113" i="17"/>
  <c r="M113" i="17"/>
  <c r="M124" i="17" s="1"/>
  <c r="L113" i="17"/>
  <c r="K113" i="17"/>
  <c r="K124" i="17" s="1"/>
  <c r="J113" i="17"/>
  <c r="I113" i="17"/>
  <c r="I124" i="17" s="1"/>
  <c r="H113" i="17"/>
  <c r="AE112" i="17"/>
  <c r="AD112" i="17"/>
  <c r="AC112" i="17"/>
  <c r="AB112" i="17"/>
  <c r="AA112" i="17"/>
  <c r="Z112" i="17"/>
  <c r="Y112" i="17"/>
  <c r="X112" i="17"/>
  <c r="W112" i="17"/>
  <c r="V112" i="17"/>
  <c r="U112" i="17"/>
  <c r="T112" i="17"/>
  <c r="T111" i="17" s="1"/>
  <c r="S112" i="17"/>
  <c r="R112" i="17"/>
  <c r="Q112" i="17"/>
  <c r="P112" i="17"/>
  <c r="O112" i="17"/>
  <c r="N112" i="17"/>
  <c r="M112" i="17"/>
  <c r="L112" i="17"/>
  <c r="L111" i="17" s="1"/>
  <c r="K112" i="17"/>
  <c r="J112" i="17"/>
  <c r="I112" i="17"/>
  <c r="H112" i="17"/>
  <c r="S126" i="17"/>
  <c r="X105" i="17"/>
  <c r="W105" i="17"/>
  <c r="S105" i="17"/>
  <c r="P105" i="17"/>
  <c r="O105" i="17"/>
  <c r="K105" i="17"/>
  <c r="H105" i="17"/>
  <c r="AE105" i="17"/>
  <c r="AA105" i="17"/>
  <c r="E104" i="17"/>
  <c r="D104" i="17" s="1"/>
  <c r="B104" i="17"/>
  <c r="AG104" i="17" s="1"/>
  <c r="E103" i="17"/>
  <c r="B103" i="17"/>
  <c r="D102" i="17"/>
  <c r="B102" i="17"/>
  <c r="E101" i="17"/>
  <c r="B101" i="17"/>
  <c r="AG101" i="17" s="1"/>
  <c r="AE100" i="17"/>
  <c r="AC100" i="17"/>
  <c r="AB100" i="17"/>
  <c r="AA100" i="17"/>
  <c r="Z100" i="17"/>
  <c r="Y100" i="17"/>
  <c r="X100" i="17"/>
  <c r="W100" i="17"/>
  <c r="V100" i="17"/>
  <c r="U100" i="17"/>
  <c r="T100" i="17"/>
  <c r="S100" i="17"/>
  <c r="R100" i="17"/>
  <c r="Q100" i="17"/>
  <c r="P100" i="17"/>
  <c r="O100" i="17"/>
  <c r="N100" i="17"/>
  <c r="M100" i="17"/>
  <c r="L100" i="17"/>
  <c r="K100" i="17"/>
  <c r="J100" i="17"/>
  <c r="I100" i="17"/>
  <c r="H100" i="17"/>
  <c r="AG99" i="17"/>
  <c r="E98" i="17"/>
  <c r="D98" i="17" s="1"/>
  <c r="B98" i="17"/>
  <c r="AG98" i="17" s="1"/>
  <c r="E97" i="17"/>
  <c r="B97" i="17"/>
  <c r="AG97" i="17" s="1"/>
  <c r="E96" i="17"/>
  <c r="D96" i="17" s="1"/>
  <c r="B96" i="17"/>
  <c r="E95" i="17"/>
  <c r="B95" i="17"/>
  <c r="AG95" i="17" s="1"/>
  <c r="AE94" i="17"/>
  <c r="AD94" i="17"/>
  <c r="AC94" i="17"/>
  <c r="AB94" i="17"/>
  <c r="AA94" i="17"/>
  <c r="Z94" i="17"/>
  <c r="Y94" i="17"/>
  <c r="X94" i="17"/>
  <c r="W94" i="17"/>
  <c r="V94" i="17"/>
  <c r="U94" i="17"/>
  <c r="T94" i="17"/>
  <c r="S94" i="17"/>
  <c r="R94" i="17"/>
  <c r="Q94" i="17"/>
  <c r="P94" i="17"/>
  <c r="O94" i="17"/>
  <c r="N94" i="17"/>
  <c r="M94" i="17"/>
  <c r="L94" i="17"/>
  <c r="K94" i="17"/>
  <c r="J94" i="17"/>
  <c r="I94" i="17"/>
  <c r="H94" i="17"/>
  <c r="AG93" i="17"/>
  <c r="E92" i="17"/>
  <c r="D92" i="17" s="1"/>
  <c r="B92" i="17"/>
  <c r="AG92" i="17" s="1"/>
  <c r="E91" i="17"/>
  <c r="B91" i="17"/>
  <c r="AG91" i="17" s="1"/>
  <c r="E90" i="17"/>
  <c r="D90" i="17" s="1"/>
  <c r="B90" i="17"/>
  <c r="E89" i="17"/>
  <c r="B89" i="17"/>
  <c r="AG89" i="17" s="1"/>
  <c r="AE88" i="17"/>
  <c r="AD88" i="17"/>
  <c r="AC88" i="17"/>
  <c r="AB88" i="17"/>
  <c r="AA88" i="17"/>
  <c r="Z88" i="17"/>
  <c r="Y88" i="17"/>
  <c r="X88" i="17"/>
  <c r="W88" i="17"/>
  <c r="V88" i="17"/>
  <c r="U88" i="17"/>
  <c r="T88" i="17"/>
  <c r="S88" i="17"/>
  <c r="R88" i="17"/>
  <c r="Q88" i="17"/>
  <c r="P88" i="17"/>
  <c r="O88" i="17"/>
  <c r="N88" i="17"/>
  <c r="M88" i="17"/>
  <c r="L88" i="17"/>
  <c r="K88" i="17"/>
  <c r="J88" i="17"/>
  <c r="I88" i="17"/>
  <c r="H88" i="17"/>
  <c r="AG87" i="17"/>
  <c r="AG86" i="17"/>
  <c r="AG85" i="17"/>
  <c r="E84" i="17"/>
  <c r="D84" i="17" s="1"/>
  <c r="B84" i="17"/>
  <c r="AG84" i="17" s="1"/>
  <c r="E83" i="17"/>
  <c r="B83" i="17"/>
  <c r="AG83" i="17" s="1"/>
  <c r="E82" i="17"/>
  <c r="D82" i="17" s="1"/>
  <c r="B82" i="17"/>
  <c r="AG82" i="17" s="1"/>
  <c r="E81" i="17"/>
  <c r="B81" i="17"/>
  <c r="AG81" i="17" s="1"/>
  <c r="AE80" i="17"/>
  <c r="AD80" i="17"/>
  <c r="AC80" i="17"/>
  <c r="AB80" i="17"/>
  <c r="AA80" i="17"/>
  <c r="Z80" i="17"/>
  <c r="Y80" i="17"/>
  <c r="X80" i="17"/>
  <c r="W80" i="17"/>
  <c r="V80" i="17"/>
  <c r="U80" i="17"/>
  <c r="T80" i="17"/>
  <c r="S80" i="17"/>
  <c r="R80" i="17"/>
  <c r="Q80" i="17"/>
  <c r="P80" i="17"/>
  <c r="O80" i="17"/>
  <c r="N80" i="17"/>
  <c r="M80" i="17"/>
  <c r="L80" i="17"/>
  <c r="K80" i="17"/>
  <c r="J80" i="17"/>
  <c r="I80" i="17"/>
  <c r="H80" i="17"/>
  <c r="AG79" i="17"/>
  <c r="E78" i="17"/>
  <c r="D78" i="17" s="1"/>
  <c r="B78" i="17"/>
  <c r="E77" i="17"/>
  <c r="B77" i="17"/>
  <c r="AG77" i="17" s="1"/>
  <c r="E76" i="17"/>
  <c r="D76" i="17" s="1"/>
  <c r="B76" i="17"/>
  <c r="AG76" i="17" s="1"/>
  <c r="E75" i="17"/>
  <c r="B75" i="17"/>
  <c r="AG75" i="17" s="1"/>
  <c r="AE74" i="17"/>
  <c r="AD74" i="17"/>
  <c r="AC74" i="17"/>
  <c r="AB74" i="17"/>
  <c r="AA74" i="17"/>
  <c r="Z74" i="17"/>
  <c r="Y74" i="17"/>
  <c r="X74" i="17"/>
  <c r="W74" i="17"/>
  <c r="V74" i="17"/>
  <c r="U74" i="17"/>
  <c r="T74" i="17"/>
  <c r="S74" i="17"/>
  <c r="R74" i="17"/>
  <c r="Q74" i="17"/>
  <c r="P74" i="17"/>
  <c r="O74" i="17"/>
  <c r="N74" i="17"/>
  <c r="M74" i="17"/>
  <c r="L74" i="17"/>
  <c r="K74" i="17"/>
  <c r="J74" i="17"/>
  <c r="I74" i="17"/>
  <c r="H74" i="17"/>
  <c r="AG73" i="17"/>
  <c r="E72" i="17"/>
  <c r="D72" i="17" s="1"/>
  <c r="B72" i="17"/>
  <c r="AG72" i="17" s="1"/>
  <c r="E71" i="17"/>
  <c r="B71" i="17"/>
  <c r="AG71" i="17" s="1"/>
  <c r="E70" i="17"/>
  <c r="D70" i="17" s="1"/>
  <c r="B70" i="17"/>
  <c r="AG70" i="17" s="1"/>
  <c r="E69" i="17"/>
  <c r="B69" i="17"/>
  <c r="AG69" i="17" s="1"/>
  <c r="AE68" i="17"/>
  <c r="AD68" i="17"/>
  <c r="AC68" i="17"/>
  <c r="AB68" i="17"/>
  <c r="AA68" i="17"/>
  <c r="Z68" i="17"/>
  <c r="Y68" i="17"/>
  <c r="X68" i="17"/>
  <c r="W68" i="17"/>
  <c r="V68" i="17"/>
  <c r="U68" i="17"/>
  <c r="T68" i="17"/>
  <c r="S68" i="17"/>
  <c r="R68" i="17"/>
  <c r="Q68" i="17"/>
  <c r="P68" i="17"/>
  <c r="O68" i="17"/>
  <c r="N68" i="17"/>
  <c r="M68" i="17"/>
  <c r="L68" i="17"/>
  <c r="K68" i="17"/>
  <c r="J68" i="17"/>
  <c r="I68" i="17"/>
  <c r="H68" i="17"/>
  <c r="AG67" i="17"/>
  <c r="E66" i="17"/>
  <c r="D66" i="17" s="1"/>
  <c r="B66" i="17"/>
  <c r="E64" i="17"/>
  <c r="B64" i="17"/>
  <c r="AG64" i="17" s="1"/>
  <c r="E63" i="17"/>
  <c r="D63" i="17" s="1"/>
  <c r="B63" i="17"/>
  <c r="E62" i="17"/>
  <c r="B62" i="17"/>
  <c r="AG62" i="17" s="1"/>
  <c r="AE61" i="17"/>
  <c r="AD61" i="17"/>
  <c r="AC61" i="17"/>
  <c r="AB61" i="17"/>
  <c r="AA61" i="17"/>
  <c r="Z61" i="17"/>
  <c r="Y61" i="17"/>
  <c r="X61" i="17"/>
  <c r="W61" i="17"/>
  <c r="V61" i="17"/>
  <c r="U61" i="17"/>
  <c r="T61" i="17"/>
  <c r="S61" i="17"/>
  <c r="R61" i="17"/>
  <c r="Q61" i="17"/>
  <c r="P61" i="17"/>
  <c r="O61" i="17"/>
  <c r="N61" i="17"/>
  <c r="M61" i="17"/>
  <c r="L61" i="17"/>
  <c r="K61" i="17"/>
  <c r="J61" i="17"/>
  <c r="I61" i="17"/>
  <c r="H61" i="17"/>
  <c r="AG60" i="17"/>
  <c r="AG59" i="17"/>
  <c r="AG58" i="17"/>
  <c r="E50" i="17"/>
  <c r="B50" i="17"/>
  <c r="E49" i="17"/>
  <c r="B49" i="17"/>
  <c r="AG49" i="17" s="1"/>
  <c r="E48" i="17"/>
  <c r="D48" i="17" s="1"/>
  <c r="B48" i="17"/>
  <c r="E47" i="17"/>
  <c r="B47" i="17"/>
  <c r="AG47" i="17" s="1"/>
  <c r="AE46" i="17"/>
  <c r="AD46" i="17"/>
  <c r="AC46" i="17"/>
  <c r="AB46" i="17"/>
  <c r="AA46" i="17"/>
  <c r="Z46" i="17"/>
  <c r="Y46" i="17"/>
  <c r="X46" i="17"/>
  <c r="W46" i="17"/>
  <c r="V46" i="17"/>
  <c r="U46" i="17"/>
  <c r="T46" i="17"/>
  <c r="S46" i="17"/>
  <c r="R46" i="17"/>
  <c r="Q46" i="17"/>
  <c r="P46" i="17"/>
  <c r="O46" i="17"/>
  <c r="N46" i="17"/>
  <c r="M46" i="17"/>
  <c r="L46" i="17"/>
  <c r="K46" i="17"/>
  <c r="J46" i="17"/>
  <c r="I46" i="17"/>
  <c r="H46" i="17"/>
  <c r="AG45" i="17"/>
  <c r="E44" i="17"/>
  <c r="D44" i="17" s="1"/>
  <c r="B44" i="17"/>
  <c r="AG44" i="17" s="1"/>
  <c r="E42" i="17"/>
  <c r="B42" i="17"/>
  <c r="AG42" i="17" s="1"/>
  <c r="E41" i="17"/>
  <c r="B41" i="17"/>
  <c r="AG41" i="17" s="1"/>
  <c r="E40" i="17"/>
  <c r="B40" i="17"/>
  <c r="AG40" i="17" s="1"/>
  <c r="AE39" i="17"/>
  <c r="AD39" i="17"/>
  <c r="AC39" i="17"/>
  <c r="AB39" i="17"/>
  <c r="AA39" i="17"/>
  <c r="Z39" i="17"/>
  <c r="Y39" i="17"/>
  <c r="X39" i="17"/>
  <c r="W39" i="17"/>
  <c r="V39" i="17"/>
  <c r="U39" i="17"/>
  <c r="T39" i="17"/>
  <c r="S39" i="17"/>
  <c r="R39" i="17"/>
  <c r="Q39" i="17"/>
  <c r="P39" i="17"/>
  <c r="O39" i="17"/>
  <c r="N39" i="17"/>
  <c r="M39" i="17"/>
  <c r="L39" i="17"/>
  <c r="K39" i="17"/>
  <c r="J39" i="17"/>
  <c r="I39" i="17"/>
  <c r="H39" i="17"/>
  <c r="AG38" i="17"/>
  <c r="E37" i="17"/>
  <c r="D37" i="17" s="1"/>
  <c r="B37" i="17"/>
  <c r="E35" i="17"/>
  <c r="B35" i="17"/>
  <c r="AG35" i="17" s="1"/>
  <c r="E34" i="17"/>
  <c r="B34" i="17"/>
  <c r="E33" i="17"/>
  <c r="B33" i="17"/>
  <c r="AG33" i="17" s="1"/>
  <c r="AE32" i="17"/>
  <c r="AD32" i="17"/>
  <c r="AC32" i="17"/>
  <c r="AB32" i="17"/>
  <c r="AA32" i="17"/>
  <c r="Z32" i="17"/>
  <c r="Y32" i="17"/>
  <c r="X32" i="17"/>
  <c r="W32" i="17"/>
  <c r="V32" i="17"/>
  <c r="U32" i="17"/>
  <c r="T32" i="17"/>
  <c r="S32" i="17"/>
  <c r="R32" i="17"/>
  <c r="Q32" i="17"/>
  <c r="P32" i="17"/>
  <c r="O32" i="17"/>
  <c r="N32" i="17"/>
  <c r="M32" i="17"/>
  <c r="L32" i="17"/>
  <c r="K32" i="17"/>
  <c r="J32" i="17"/>
  <c r="I32" i="17"/>
  <c r="H32" i="17"/>
  <c r="AG31" i="17"/>
  <c r="E30" i="17"/>
  <c r="B30" i="17"/>
  <c r="E28" i="17"/>
  <c r="B28" i="17"/>
  <c r="E27" i="17"/>
  <c r="D27" i="17" s="1"/>
  <c r="B27" i="17"/>
  <c r="E26" i="17"/>
  <c r="B26" i="17"/>
  <c r="AE25" i="17"/>
  <c r="AD25" i="17"/>
  <c r="AC25" i="17"/>
  <c r="AB25" i="17"/>
  <c r="AA25" i="17"/>
  <c r="Z25" i="17"/>
  <c r="Y25" i="17"/>
  <c r="X25" i="17"/>
  <c r="W25" i="17"/>
  <c r="V25" i="17"/>
  <c r="U25" i="17"/>
  <c r="T25" i="17"/>
  <c r="S25" i="17"/>
  <c r="R25" i="17"/>
  <c r="Q25" i="17"/>
  <c r="P25" i="17"/>
  <c r="O25" i="17"/>
  <c r="N25" i="17"/>
  <c r="M25" i="17"/>
  <c r="L25" i="17"/>
  <c r="K25" i="17"/>
  <c r="J25" i="17"/>
  <c r="I25" i="17"/>
  <c r="H25" i="17"/>
  <c r="AG24" i="17"/>
  <c r="AG23" i="17"/>
  <c r="E22" i="17"/>
  <c r="C22" i="17"/>
  <c r="B22" i="17"/>
  <c r="AG22" i="17" s="1"/>
  <c r="E21" i="17"/>
  <c r="D21" i="17" s="1"/>
  <c r="C21" i="17"/>
  <c r="B21" i="17"/>
  <c r="AG21" i="17" s="1"/>
  <c r="E20" i="17"/>
  <c r="C20" i="17"/>
  <c r="B20" i="17"/>
  <c r="AG20" i="17" s="1"/>
  <c r="E19" i="17"/>
  <c r="D19" i="17" s="1"/>
  <c r="C19" i="17"/>
  <c r="B19" i="17"/>
  <c r="AE18" i="17"/>
  <c r="AD18" i="17"/>
  <c r="AC18" i="17"/>
  <c r="AB18" i="17"/>
  <c r="AA18" i="17"/>
  <c r="Z18" i="17"/>
  <c r="Y18" i="17"/>
  <c r="X18" i="17"/>
  <c r="W18" i="17"/>
  <c r="V18" i="17"/>
  <c r="U18" i="17"/>
  <c r="T18" i="17"/>
  <c r="S18" i="17"/>
  <c r="R18" i="17"/>
  <c r="Q18" i="17"/>
  <c r="P18" i="17"/>
  <c r="O18" i="17"/>
  <c r="N18" i="17"/>
  <c r="M18" i="17"/>
  <c r="L18" i="17"/>
  <c r="K18" i="17"/>
  <c r="J18" i="17"/>
  <c r="I18" i="17"/>
  <c r="H18" i="17"/>
  <c r="AG17" i="17"/>
  <c r="E16" i="17"/>
  <c r="C16" i="17"/>
  <c r="B16" i="17"/>
  <c r="E15" i="17"/>
  <c r="D15" i="17" s="1"/>
  <c r="C15" i="17"/>
  <c r="B15" i="17"/>
  <c r="E14" i="17"/>
  <c r="C14" i="17"/>
  <c r="B14" i="17"/>
  <c r="E13" i="17"/>
  <c r="C13" i="17"/>
  <c r="B13" i="17"/>
  <c r="AE12" i="17"/>
  <c r="AD12" i="17"/>
  <c r="AC12" i="17"/>
  <c r="AB12" i="17"/>
  <c r="AA12" i="17"/>
  <c r="Z12" i="17"/>
  <c r="Y12" i="17"/>
  <c r="X12" i="17"/>
  <c r="W12" i="17"/>
  <c r="V12" i="17"/>
  <c r="U12" i="17"/>
  <c r="T12" i="17"/>
  <c r="S12" i="17"/>
  <c r="R12" i="17"/>
  <c r="Q12" i="17"/>
  <c r="P12" i="17"/>
  <c r="O12" i="17"/>
  <c r="N12" i="17"/>
  <c r="M12" i="17"/>
  <c r="L12" i="17"/>
  <c r="K12" i="17"/>
  <c r="J12" i="17"/>
  <c r="I12" i="17"/>
  <c r="H12" i="17"/>
  <c r="AG11" i="17"/>
  <c r="G86" i="15"/>
  <c r="AE31" i="15"/>
  <c r="AD31" i="15"/>
  <c r="AC31" i="15"/>
  <c r="AB31" i="15"/>
  <c r="AA31" i="15"/>
  <c r="Z31" i="15"/>
  <c r="Y31" i="15"/>
  <c r="X31" i="15"/>
  <c r="W31" i="15"/>
  <c r="V31" i="15"/>
  <c r="U31" i="15"/>
  <c r="T31" i="15"/>
  <c r="S31" i="15"/>
  <c r="R31" i="15"/>
  <c r="Q31" i="15"/>
  <c r="P31" i="15"/>
  <c r="O31" i="15"/>
  <c r="N31" i="15"/>
  <c r="M31" i="15"/>
  <c r="L31" i="15"/>
  <c r="K31" i="15"/>
  <c r="J31" i="15"/>
  <c r="I31" i="15"/>
  <c r="H31" i="15"/>
  <c r="AE29" i="15"/>
  <c r="AD29" i="15"/>
  <c r="AC29" i="15"/>
  <c r="AB29" i="15"/>
  <c r="AA29" i="15"/>
  <c r="Z29" i="15"/>
  <c r="Y29" i="15"/>
  <c r="X29" i="15"/>
  <c r="W29" i="15"/>
  <c r="V29" i="15"/>
  <c r="U29" i="15"/>
  <c r="T29" i="15"/>
  <c r="S29" i="15"/>
  <c r="R29" i="15"/>
  <c r="Q29" i="15"/>
  <c r="P29" i="15"/>
  <c r="O29" i="15"/>
  <c r="N29" i="15"/>
  <c r="M29" i="15"/>
  <c r="L29" i="15"/>
  <c r="K29" i="15"/>
  <c r="J29" i="15"/>
  <c r="I29" i="15"/>
  <c r="H29" i="15"/>
  <c r="E29" i="15"/>
  <c r="AE28" i="15"/>
  <c r="AD28" i="15"/>
  <c r="AC28" i="15"/>
  <c r="AB28" i="15"/>
  <c r="AA28" i="15"/>
  <c r="Z28" i="15"/>
  <c r="Y28" i="15"/>
  <c r="X28" i="15"/>
  <c r="W28" i="15"/>
  <c r="V28" i="15"/>
  <c r="U28" i="15"/>
  <c r="T28" i="15"/>
  <c r="S28" i="15"/>
  <c r="R28" i="15"/>
  <c r="Q28" i="15"/>
  <c r="P28" i="15"/>
  <c r="O28" i="15"/>
  <c r="N28" i="15"/>
  <c r="M28" i="15"/>
  <c r="L28" i="15"/>
  <c r="K28" i="15"/>
  <c r="J28" i="15"/>
  <c r="I28" i="15"/>
  <c r="H28" i="15"/>
  <c r="E28" i="15"/>
  <c r="AE26" i="15"/>
  <c r="AD26" i="15"/>
  <c r="AC26" i="15"/>
  <c r="AB26" i="15"/>
  <c r="AA26" i="15"/>
  <c r="Z26" i="15"/>
  <c r="Y26" i="15"/>
  <c r="X26" i="15"/>
  <c r="W26" i="15"/>
  <c r="V26" i="15"/>
  <c r="U26" i="15"/>
  <c r="T26" i="15"/>
  <c r="S26" i="15"/>
  <c r="R26" i="15"/>
  <c r="Q26" i="15"/>
  <c r="P26" i="15"/>
  <c r="O26" i="15"/>
  <c r="N26" i="15"/>
  <c r="M26" i="15"/>
  <c r="L26" i="15"/>
  <c r="K26" i="15"/>
  <c r="J26" i="15"/>
  <c r="H26" i="15"/>
  <c r="AE25" i="15"/>
  <c r="AE30" i="15" s="1"/>
  <c r="AD25" i="15"/>
  <c r="AD30" i="15" s="1"/>
  <c r="AC25" i="15"/>
  <c r="AB25" i="15"/>
  <c r="AB30" i="15" s="1"/>
  <c r="AA25" i="15"/>
  <c r="AA30" i="15" s="1"/>
  <c r="Z25" i="15"/>
  <c r="Z30" i="15" s="1"/>
  <c r="Y25" i="15"/>
  <c r="Y30" i="15" s="1"/>
  <c r="X25" i="15"/>
  <c r="X30" i="15" s="1"/>
  <c r="W25" i="15"/>
  <c r="W30" i="15" s="1"/>
  <c r="V25" i="15"/>
  <c r="V30" i="15" s="1"/>
  <c r="U25" i="15"/>
  <c r="U30" i="15" s="1"/>
  <c r="T25" i="15"/>
  <c r="T30" i="15" s="1"/>
  <c r="S25" i="15"/>
  <c r="S30" i="15" s="1"/>
  <c r="Q25" i="15"/>
  <c r="Q30" i="15" s="1"/>
  <c r="P25" i="15"/>
  <c r="P30" i="15" s="1"/>
  <c r="O25" i="15"/>
  <c r="O30" i="15" s="1"/>
  <c r="N25" i="15"/>
  <c r="N30" i="15" s="1"/>
  <c r="M25" i="15"/>
  <c r="M30" i="15" s="1"/>
  <c r="L25" i="15"/>
  <c r="L30" i="15" s="1"/>
  <c r="K25" i="15"/>
  <c r="K30" i="15" s="1"/>
  <c r="J25" i="15"/>
  <c r="J30" i="15" s="1"/>
  <c r="I25" i="15"/>
  <c r="I30" i="15" s="1"/>
  <c r="H25" i="15"/>
  <c r="H30" i="15" s="1"/>
  <c r="D21" i="15"/>
  <c r="C21" i="15"/>
  <c r="AH21" i="15" s="1"/>
  <c r="B21" i="15"/>
  <c r="AG21" i="15" s="1"/>
  <c r="D19" i="15"/>
  <c r="C19" i="15"/>
  <c r="AH19" i="15" s="1"/>
  <c r="B19" i="15"/>
  <c r="AG19" i="15" s="1"/>
  <c r="D18" i="15"/>
  <c r="C18" i="15"/>
  <c r="AH18" i="15" s="1"/>
  <c r="B18" i="15"/>
  <c r="AG18" i="15" s="1"/>
  <c r="AD16" i="15"/>
  <c r="AB16" i="15"/>
  <c r="Z16" i="15"/>
  <c r="X16" i="15"/>
  <c r="V16" i="15"/>
  <c r="T16" i="15"/>
  <c r="R16" i="15"/>
  <c r="P16" i="15"/>
  <c r="N16" i="15"/>
  <c r="L16" i="15"/>
  <c r="J17" i="15"/>
  <c r="J16" i="15" s="1"/>
  <c r="I16" i="15"/>
  <c r="H16" i="15"/>
  <c r="E17" i="15"/>
  <c r="E16" i="15" s="1"/>
  <c r="D15" i="15"/>
  <c r="B15" i="15"/>
  <c r="D13" i="15"/>
  <c r="C13" i="15"/>
  <c r="B13" i="15"/>
  <c r="D12" i="15"/>
  <c r="C12" i="15"/>
  <c r="B12" i="15"/>
  <c r="AG12" i="15" s="1"/>
  <c r="AD10" i="15"/>
  <c r="AB10" i="15"/>
  <c r="Z10" i="15"/>
  <c r="X10" i="15"/>
  <c r="V10" i="15"/>
  <c r="T10" i="15"/>
  <c r="R10" i="15"/>
  <c r="P10" i="15"/>
  <c r="N10" i="15"/>
  <c r="L10" i="15"/>
  <c r="J10" i="15"/>
  <c r="I10" i="15"/>
  <c r="AG350" i="14"/>
  <c r="E349" i="14"/>
  <c r="C349" i="14"/>
  <c r="B349" i="14"/>
  <c r="AG349" i="14" s="1"/>
  <c r="E348" i="14"/>
  <c r="D348" i="14" s="1"/>
  <c r="C348" i="14"/>
  <c r="C336" i="14" s="1"/>
  <c r="B348" i="14"/>
  <c r="AG348" i="14" s="1"/>
  <c r="E347" i="14"/>
  <c r="C347" i="14"/>
  <c r="B347" i="14"/>
  <c r="AG347" i="14" s="1"/>
  <c r="AE346" i="14"/>
  <c r="AD346" i="14"/>
  <c r="AC346" i="14"/>
  <c r="AB346" i="14"/>
  <c r="AA346" i="14"/>
  <c r="Z346" i="14"/>
  <c r="Y346" i="14"/>
  <c r="X346" i="14"/>
  <c r="W346" i="14"/>
  <c r="V346" i="14"/>
  <c r="U346" i="14"/>
  <c r="T346" i="14"/>
  <c r="S346" i="14"/>
  <c r="R346" i="14"/>
  <c r="Q346" i="14"/>
  <c r="P346" i="14"/>
  <c r="O346" i="14"/>
  <c r="N346" i="14"/>
  <c r="M346" i="14"/>
  <c r="L346" i="14"/>
  <c r="K346" i="14"/>
  <c r="J346" i="14"/>
  <c r="I346" i="14"/>
  <c r="H346" i="14"/>
  <c r="AG345" i="14"/>
  <c r="AG344" i="14"/>
  <c r="E343" i="14"/>
  <c r="C343" i="14"/>
  <c r="B343" i="14"/>
  <c r="AG343" i="14" s="1"/>
  <c r="E342" i="14"/>
  <c r="D342" i="14" s="1"/>
  <c r="B342" i="14"/>
  <c r="E341" i="14"/>
  <c r="C341" i="14"/>
  <c r="AG341" i="14"/>
  <c r="AE340" i="14"/>
  <c r="AD340" i="14"/>
  <c r="AC340" i="14"/>
  <c r="AB340" i="14"/>
  <c r="AA340" i="14"/>
  <c r="Z340" i="14"/>
  <c r="Y340" i="14"/>
  <c r="X340" i="14"/>
  <c r="W340" i="14"/>
  <c r="V340" i="14"/>
  <c r="U340" i="14"/>
  <c r="T340" i="14"/>
  <c r="S340" i="14"/>
  <c r="R340" i="14"/>
  <c r="Q340" i="14"/>
  <c r="P340" i="14"/>
  <c r="O340" i="14"/>
  <c r="N340" i="14"/>
  <c r="M340" i="14"/>
  <c r="L340" i="14"/>
  <c r="K340" i="14"/>
  <c r="J340" i="14"/>
  <c r="I340" i="14"/>
  <c r="H340" i="14"/>
  <c r="AG339" i="14"/>
  <c r="AE338" i="14"/>
  <c r="AD338" i="14"/>
  <c r="AC338" i="14"/>
  <c r="AB338" i="14"/>
  <c r="AA338" i="14"/>
  <c r="Z338" i="14"/>
  <c r="Y338" i="14"/>
  <c r="X338" i="14"/>
  <c r="W338" i="14"/>
  <c r="V338" i="14"/>
  <c r="U338" i="14"/>
  <c r="T338" i="14"/>
  <c r="S338" i="14"/>
  <c r="R338" i="14"/>
  <c r="Q338" i="14"/>
  <c r="P338" i="14"/>
  <c r="O338" i="14"/>
  <c r="N338" i="14"/>
  <c r="M338" i="14"/>
  <c r="L338" i="14"/>
  <c r="K338" i="14"/>
  <c r="J338" i="14"/>
  <c r="I338" i="14"/>
  <c r="H338" i="14"/>
  <c r="E338" i="14"/>
  <c r="D338" i="14"/>
  <c r="C338" i="14"/>
  <c r="B338" i="14"/>
  <c r="AE337" i="14"/>
  <c r="AD337" i="14"/>
  <c r="AC337" i="14"/>
  <c r="AB337" i="14"/>
  <c r="AA337" i="14"/>
  <c r="Z337" i="14"/>
  <c r="Y337" i="14"/>
  <c r="X337" i="14"/>
  <c r="W337" i="14"/>
  <c r="V337" i="14"/>
  <c r="U337" i="14"/>
  <c r="T337" i="14"/>
  <c r="S337" i="14"/>
  <c r="R337" i="14"/>
  <c r="Q337" i="14"/>
  <c r="P337" i="14"/>
  <c r="O337" i="14"/>
  <c r="N337" i="14"/>
  <c r="M337" i="14"/>
  <c r="L337" i="14"/>
  <c r="K337" i="14"/>
  <c r="J337" i="14"/>
  <c r="I337" i="14"/>
  <c r="H337" i="14"/>
  <c r="AE336" i="14"/>
  <c r="AD336" i="14"/>
  <c r="AC336" i="14"/>
  <c r="AB336" i="14"/>
  <c r="AA336" i="14"/>
  <c r="Z336" i="14"/>
  <c r="Y336" i="14"/>
  <c r="X336" i="14"/>
  <c r="W336" i="14"/>
  <c r="V336" i="14"/>
  <c r="U336" i="14"/>
  <c r="T336" i="14"/>
  <c r="S336" i="14"/>
  <c r="R336" i="14"/>
  <c r="Q336" i="14"/>
  <c r="P336" i="14"/>
  <c r="O336" i="14"/>
  <c r="N336" i="14"/>
  <c r="M336" i="14"/>
  <c r="L336" i="14"/>
  <c r="K336" i="14"/>
  <c r="J336" i="14"/>
  <c r="I336" i="14"/>
  <c r="H336" i="14"/>
  <c r="AE335" i="14"/>
  <c r="AD335" i="14"/>
  <c r="AC335" i="14"/>
  <c r="AB335" i="14"/>
  <c r="AA335" i="14"/>
  <c r="Z335" i="14"/>
  <c r="Y335" i="14"/>
  <c r="X335" i="14"/>
  <c r="W335" i="14"/>
  <c r="V335" i="14"/>
  <c r="U335" i="14"/>
  <c r="T335" i="14"/>
  <c r="S335" i="14"/>
  <c r="R335" i="14"/>
  <c r="Q335" i="14"/>
  <c r="P335" i="14"/>
  <c r="O335" i="14"/>
  <c r="N335" i="14"/>
  <c r="M335" i="14"/>
  <c r="L335" i="14"/>
  <c r="K335" i="14"/>
  <c r="J335" i="14"/>
  <c r="I335" i="14"/>
  <c r="H335" i="14"/>
  <c r="AG333" i="14"/>
  <c r="AG332" i="14"/>
  <c r="E331" i="14"/>
  <c r="C331" i="14"/>
  <c r="B331" i="14"/>
  <c r="AG331" i="14" s="1"/>
  <c r="B330" i="14"/>
  <c r="AG330" i="14" s="1"/>
  <c r="E329" i="14"/>
  <c r="C329" i="14"/>
  <c r="B329" i="14"/>
  <c r="AG329" i="14" s="1"/>
  <c r="AE328" i="14"/>
  <c r="AD328" i="14"/>
  <c r="AC328" i="14"/>
  <c r="AB328" i="14"/>
  <c r="AA328" i="14"/>
  <c r="Z328" i="14"/>
  <c r="Y328" i="14"/>
  <c r="X328" i="14"/>
  <c r="W328" i="14"/>
  <c r="V328" i="14"/>
  <c r="U328" i="14"/>
  <c r="T328" i="14"/>
  <c r="S328" i="14"/>
  <c r="R328" i="14"/>
  <c r="Q328" i="14"/>
  <c r="P328" i="14"/>
  <c r="O328" i="14"/>
  <c r="N328" i="14"/>
  <c r="M328" i="14"/>
  <c r="L328" i="14"/>
  <c r="K328" i="14"/>
  <c r="J328" i="14"/>
  <c r="I328" i="14"/>
  <c r="H328" i="14"/>
  <c r="AG327" i="14"/>
  <c r="AG326" i="14"/>
  <c r="B325" i="14"/>
  <c r="AG325" i="14" s="1"/>
  <c r="E324" i="14"/>
  <c r="D324" i="14" s="1"/>
  <c r="C324" i="14"/>
  <c r="B324" i="14"/>
  <c r="AG324" i="14" s="1"/>
  <c r="E323" i="14"/>
  <c r="C323" i="14"/>
  <c r="B323" i="14"/>
  <c r="AG323" i="14" s="1"/>
  <c r="AE322" i="14"/>
  <c r="AD322" i="14"/>
  <c r="AC322" i="14"/>
  <c r="AB322" i="14"/>
  <c r="AA322" i="14"/>
  <c r="Z322" i="14"/>
  <c r="Y322" i="14"/>
  <c r="X322" i="14"/>
  <c r="W322" i="14"/>
  <c r="V322" i="14"/>
  <c r="U322" i="14"/>
  <c r="T322" i="14"/>
  <c r="S322" i="14"/>
  <c r="R322" i="14"/>
  <c r="Q322" i="14"/>
  <c r="P322" i="14"/>
  <c r="O322" i="14"/>
  <c r="N322" i="14"/>
  <c r="M322" i="14"/>
  <c r="L322" i="14"/>
  <c r="K322" i="14"/>
  <c r="J322" i="14"/>
  <c r="I322" i="14"/>
  <c r="H322" i="14"/>
  <c r="AG321" i="14"/>
  <c r="AG320" i="14"/>
  <c r="B319" i="14"/>
  <c r="AG319" i="14" s="1"/>
  <c r="D318" i="14"/>
  <c r="B318" i="14"/>
  <c r="AG318" i="14" s="1"/>
  <c r="E317" i="14"/>
  <c r="B317" i="14"/>
  <c r="AG317" i="14" s="1"/>
  <c r="AE316" i="14"/>
  <c r="AD316" i="14"/>
  <c r="AC316" i="14"/>
  <c r="AB316" i="14"/>
  <c r="AA316" i="14"/>
  <c r="Z316" i="14"/>
  <c r="Y316" i="14"/>
  <c r="X316" i="14"/>
  <c r="W316" i="14"/>
  <c r="V316" i="14"/>
  <c r="U316" i="14"/>
  <c r="T316" i="14"/>
  <c r="S316" i="14"/>
  <c r="R316" i="14"/>
  <c r="Q316" i="14"/>
  <c r="P316" i="14"/>
  <c r="O316" i="14"/>
  <c r="N316" i="14"/>
  <c r="M316" i="14"/>
  <c r="L316" i="14"/>
  <c r="K316" i="14"/>
  <c r="J316" i="14"/>
  <c r="I316" i="14"/>
  <c r="H316" i="14"/>
  <c r="AG315" i="14"/>
  <c r="AE314" i="14"/>
  <c r="AE302" i="14" s="1"/>
  <c r="AD314" i="14"/>
  <c r="AC314" i="14"/>
  <c r="AC302" i="14" s="1"/>
  <c r="AB314" i="14"/>
  <c r="AB302" i="14" s="1"/>
  <c r="AA314" i="14"/>
  <c r="AA302" i="14" s="1"/>
  <c r="Z314" i="14"/>
  <c r="Y314" i="14"/>
  <c r="Y302" i="14" s="1"/>
  <c r="X314" i="14"/>
  <c r="X302" i="14" s="1"/>
  <c r="W314" i="14"/>
  <c r="W302" i="14" s="1"/>
  <c r="V314" i="14"/>
  <c r="U314" i="14"/>
  <c r="U302" i="14" s="1"/>
  <c r="T314" i="14"/>
  <c r="T302" i="14" s="1"/>
  <c r="S314" i="14"/>
  <c r="S302" i="14" s="1"/>
  <c r="R314" i="14"/>
  <c r="Q314" i="14"/>
  <c r="Q302" i="14" s="1"/>
  <c r="P314" i="14"/>
  <c r="P302" i="14" s="1"/>
  <c r="O314" i="14"/>
  <c r="O302" i="14" s="1"/>
  <c r="N314" i="14"/>
  <c r="M314" i="14"/>
  <c r="M302" i="14" s="1"/>
  <c r="L314" i="14"/>
  <c r="L302" i="14" s="1"/>
  <c r="K314" i="14"/>
  <c r="K302" i="14" s="1"/>
  <c r="J314" i="14"/>
  <c r="I314" i="14"/>
  <c r="I302" i="14" s="1"/>
  <c r="H314" i="14"/>
  <c r="H302" i="14" s="1"/>
  <c r="C302" i="14" s="1"/>
  <c r="AE313" i="14"/>
  <c r="AE301" i="14" s="1"/>
  <c r="AD313" i="14"/>
  <c r="AD301" i="14" s="1"/>
  <c r="AC313" i="14"/>
  <c r="AC301" i="14" s="1"/>
  <c r="AB313" i="14"/>
  <c r="AB301" i="14" s="1"/>
  <c r="AA313" i="14"/>
  <c r="AA301" i="14" s="1"/>
  <c r="Z313" i="14"/>
  <c r="Z301" i="14" s="1"/>
  <c r="Y313" i="14"/>
  <c r="Y301" i="14" s="1"/>
  <c r="X313" i="14"/>
  <c r="X301" i="14" s="1"/>
  <c r="W313" i="14"/>
  <c r="W301" i="14" s="1"/>
  <c r="V313" i="14"/>
  <c r="V301" i="14" s="1"/>
  <c r="U313" i="14"/>
  <c r="U301" i="14" s="1"/>
  <c r="T313" i="14"/>
  <c r="T301" i="14" s="1"/>
  <c r="S313" i="14"/>
  <c r="S301" i="14" s="1"/>
  <c r="R313" i="14"/>
  <c r="R301" i="14" s="1"/>
  <c r="Q313" i="14"/>
  <c r="Q301" i="14" s="1"/>
  <c r="P313" i="14"/>
  <c r="P301" i="14" s="1"/>
  <c r="O313" i="14"/>
  <c r="O301" i="14" s="1"/>
  <c r="N313" i="14"/>
  <c r="M313" i="14"/>
  <c r="M301" i="14" s="1"/>
  <c r="L313" i="14"/>
  <c r="L301" i="14" s="1"/>
  <c r="K313" i="14"/>
  <c r="K301" i="14" s="1"/>
  <c r="J313" i="14"/>
  <c r="J301" i="14" s="1"/>
  <c r="I313" i="14"/>
  <c r="H313" i="14"/>
  <c r="AE312" i="14"/>
  <c r="AE300" i="14" s="1"/>
  <c r="AD312" i="14"/>
  <c r="AD300" i="14" s="1"/>
  <c r="AC312" i="14"/>
  <c r="AC300" i="14" s="1"/>
  <c r="AB312" i="14"/>
  <c r="AB300" i="14" s="1"/>
  <c r="AA312" i="14"/>
  <c r="AA300" i="14" s="1"/>
  <c r="Z312" i="14"/>
  <c r="Z300" i="14" s="1"/>
  <c r="Y312" i="14"/>
  <c r="Y300" i="14" s="1"/>
  <c r="X312" i="14"/>
  <c r="X300" i="14" s="1"/>
  <c r="W312" i="14"/>
  <c r="W300" i="14" s="1"/>
  <c r="V312" i="14"/>
  <c r="V300" i="14" s="1"/>
  <c r="U312" i="14"/>
  <c r="U300" i="14" s="1"/>
  <c r="T312" i="14"/>
  <c r="T300" i="14" s="1"/>
  <c r="S312" i="14"/>
  <c r="S300" i="14" s="1"/>
  <c r="R312" i="14"/>
  <c r="R300" i="14" s="1"/>
  <c r="Q312" i="14"/>
  <c r="Q300" i="14" s="1"/>
  <c r="P312" i="14"/>
  <c r="P300" i="14" s="1"/>
  <c r="O312" i="14"/>
  <c r="O300" i="14" s="1"/>
  <c r="N312" i="14"/>
  <c r="M312" i="14"/>
  <c r="M300" i="14" s="1"/>
  <c r="L312" i="14"/>
  <c r="L300" i="14" s="1"/>
  <c r="K312" i="14"/>
  <c r="K300" i="14" s="1"/>
  <c r="J312" i="14"/>
  <c r="J300" i="14" s="1"/>
  <c r="I312" i="14"/>
  <c r="H312" i="14"/>
  <c r="AE311" i="14"/>
  <c r="AE299" i="14" s="1"/>
  <c r="AD311" i="14"/>
  <c r="AD299" i="14" s="1"/>
  <c r="AC311" i="14"/>
  <c r="AC299" i="14" s="1"/>
  <c r="AB311" i="14"/>
  <c r="AB299" i="14" s="1"/>
  <c r="AA311" i="14"/>
  <c r="AA299" i="14" s="1"/>
  <c r="Z311" i="14"/>
  <c r="Z299" i="14" s="1"/>
  <c r="Y311" i="14"/>
  <c r="Y299" i="14" s="1"/>
  <c r="X311" i="14"/>
  <c r="X299" i="14" s="1"/>
  <c r="W311" i="14"/>
  <c r="W299" i="14" s="1"/>
  <c r="V311" i="14"/>
  <c r="V299" i="14" s="1"/>
  <c r="U311" i="14"/>
  <c r="U299" i="14" s="1"/>
  <c r="T311" i="14"/>
  <c r="T299" i="14" s="1"/>
  <c r="S311" i="14"/>
  <c r="S299" i="14" s="1"/>
  <c r="R311" i="14"/>
  <c r="R299" i="14" s="1"/>
  <c r="Q311" i="14"/>
  <c r="Q299" i="14" s="1"/>
  <c r="P311" i="14"/>
  <c r="P299" i="14" s="1"/>
  <c r="O311" i="14"/>
  <c r="O299" i="14" s="1"/>
  <c r="N311" i="14"/>
  <c r="M311" i="14"/>
  <c r="M299" i="14" s="1"/>
  <c r="L311" i="14"/>
  <c r="L299" i="14" s="1"/>
  <c r="K311" i="14"/>
  <c r="K299" i="14" s="1"/>
  <c r="J311" i="14"/>
  <c r="J299" i="14" s="1"/>
  <c r="I311" i="14"/>
  <c r="H311" i="14"/>
  <c r="AG309" i="14"/>
  <c r="AG308" i="14"/>
  <c r="E307" i="14"/>
  <c r="B307" i="14"/>
  <c r="AG307" i="14" s="1"/>
  <c r="E306" i="14"/>
  <c r="D306" i="14" s="1"/>
  <c r="C306" i="14"/>
  <c r="B306" i="14"/>
  <c r="E305" i="14"/>
  <c r="C305" i="14"/>
  <c r="B305" i="14"/>
  <c r="AG305" i="14" s="1"/>
  <c r="AE304" i="14"/>
  <c r="AD304" i="14"/>
  <c r="AC304" i="14"/>
  <c r="AB304" i="14"/>
  <c r="AA304" i="14"/>
  <c r="Z304" i="14"/>
  <c r="Y304" i="14"/>
  <c r="X304" i="14"/>
  <c r="W304" i="14"/>
  <c r="V304" i="14"/>
  <c r="U304" i="14"/>
  <c r="T304" i="14"/>
  <c r="S304" i="14"/>
  <c r="R304" i="14"/>
  <c r="Q304" i="14"/>
  <c r="P304" i="14"/>
  <c r="O304" i="14"/>
  <c r="N304" i="14"/>
  <c r="M304" i="14"/>
  <c r="L304" i="14"/>
  <c r="K304" i="14"/>
  <c r="J304" i="14"/>
  <c r="I304" i="14"/>
  <c r="H304" i="14"/>
  <c r="AG303" i="14"/>
  <c r="AG297" i="14"/>
  <c r="AG296" i="14"/>
  <c r="E295" i="14"/>
  <c r="B295" i="14"/>
  <c r="AG295" i="14" s="1"/>
  <c r="E294" i="14"/>
  <c r="D294" i="14" s="1"/>
  <c r="C294" i="14"/>
  <c r="B294" i="14"/>
  <c r="E293" i="14"/>
  <c r="C293" i="14"/>
  <c r="B293" i="14"/>
  <c r="AG293" i="14" s="1"/>
  <c r="AE292" i="14"/>
  <c r="AD292" i="14"/>
  <c r="AC292" i="14"/>
  <c r="AB292" i="14"/>
  <c r="AA292" i="14"/>
  <c r="Z292" i="14"/>
  <c r="Y292" i="14"/>
  <c r="X292" i="14"/>
  <c r="W292" i="14"/>
  <c r="V292" i="14"/>
  <c r="U292" i="14"/>
  <c r="T292" i="14"/>
  <c r="S292" i="14"/>
  <c r="R292" i="14"/>
  <c r="Q292" i="14"/>
  <c r="P292" i="14"/>
  <c r="O292" i="14"/>
  <c r="N292" i="14"/>
  <c r="M292" i="14"/>
  <c r="L292" i="14"/>
  <c r="K292" i="14"/>
  <c r="J292" i="14"/>
  <c r="I292" i="14"/>
  <c r="H292" i="14"/>
  <c r="AG291" i="14"/>
  <c r="AG290" i="14"/>
  <c r="E289" i="14"/>
  <c r="B289" i="14"/>
  <c r="AG289" i="14" s="1"/>
  <c r="E288" i="14"/>
  <c r="D288" i="14" s="1"/>
  <c r="C288" i="14"/>
  <c r="B288" i="14"/>
  <c r="E287" i="14"/>
  <c r="C287" i="14"/>
  <c r="B287" i="14"/>
  <c r="AG287" i="14" s="1"/>
  <c r="AE286" i="14"/>
  <c r="AD286" i="14"/>
  <c r="AC286" i="14"/>
  <c r="AB286" i="14"/>
  <c r="AA286" i="14"/>
  <c r="Z286" i="14"/>
  <c r="Y286" i="14"/>
  <c r="X286" i="14"/>
  <c r="W286" i="14"/>
  <c r="V286" i="14"/>
  <c r="U286" i="14"/>
  <c r="T286" i="14"/>
  <c r="S286" i="14"/>
  <c r="R286" i="14"/>
  <c r="Q286" i="14"/>
  <c r="P286" i="14"/>
  <c r="O286" i="14"/>
  <c r="N286" i="14"/>
  <c r="M286" i="14"/>
  <c r="L286" i="14"/>
  <c r="K286" i="14"/>
  <c r="J286" i="14"/>
  <c r="I286" i="14"/>
  <c r="H286" i="14"/>
  <c r="AG285" i="14"/>
  <c r="AG284" i="14"/>
  <c r="B283" i="14"/>
  <c r="AG283" i="14" s="1"/>
  <c r="E282" i="14"/>
  <c r="D282" i="14" s="1"/>
  <c r="C282" i="14"/>
  <c r="B282" i="14"/>
  <c r="E281" i="14"/>
  <c r="C281" i="14"/>
  <c r="B281" i="14"/>
  <c r="AG281" i="14" s="1"/>
  <c r="AE280" i="14"/>
  <c r="AD280" i="14"/>
  <c r="AC280" i="14"/>
  <c r="AB280" i="14"/>
  <c r="AA280" i="14"/>
  <c r="Z280" i="14"/>
  <c r="Y280" i="14"/>
  <c r="X280" i="14"/>
  <c r="W280" i="14"/>
  <c r="V280" i="14"/>
  <c r="U280" i="14"/>
  <c r="T280" i="14"/>
  <c r="S280" i="14"/>
  <c r="R280" i="14"/>
  <c r="Q280" i="14"/>
  <c r="P280" i="14"/>
  <c r="O280" i="14"/>
  <c r="N280" i="14"/>
  <c r="L280" i="14"/>
  <c r="K280" i="14"/>
  <c r="J280" i="14"/>
  <c r="I280" i="14"/>
  <c r="H280" i="14"/>
  <c r="AG279" i="14"/>
  <c r="AE278" i="14"/>
  <c r="AD278" i="14"/>
  <c r="AC278" i="14"/>
  <c r="AB278" i="14"/>
  <c r="AA278" i="14"/>
  <c r="Z278" i="14"/>
  <c r="Y278" i="14"/>
  <c r="X278" i="14"/>
  <c r="W278" i="14"/>
  <c r="V278" i="14"/>
  <c r="U278" i="14"/>
  <c r="T278" i="14"/>
  <c r="S278" i="14"/>
  <c r="R278" i="14"/>
  <c r="Q278" i="14"/>
  <c r="P278" i="14"/>
  <c r="O278" i="14"/>
  <c r="N278" i="14"/>
  <c r="M278" i="14"/>
  <c r="L278" i="14"/>
  <c r="K278" i="14"/>
  <c r="J278" i="14"/>
  <c r="I278" i="14"/>
  <c r="H278" i="14"/>
  <c r="C278" i="14" s="1"/>
  <c r="AE277" i="14"/>
  <c r="AD277" i="14"/>
  <c r="AC277" i="14"/>
  <c r="AB277" i="14"/>
  <c r="AA277" i="14"/>
  <c r="Z277" i="14"/>
  <c r="Y277" i="14"/>
  <c r="X277" i="14"/>
  <c r="W277" i="14"/>
  <c r="V277" i="14"/>
  <c r="U277" i="14"/>
  <c r="T277" i="14"/>
  <c r="S277" i="14"/>
  <c r="R277" i="14"/>
  <c r="Q277" i="14"/>
  <c r="P277" i="14"/>
  <c r="O277" i="14"/>
  <c r="N277" i="14"/>
  <c r="M277" i="14"/>
  <c r="L277" i="14"/>
  <c r="K277" i="14"/>
  <c r="I277" i="14"/>
  <c r="AE276" i="14"/>
  <c r="AD276" i="14"/>
  <c r="AC276" i="14"/>
  <c r="AB276" i="14"/>
  <c r="AA276" i="14"/>
  <c r="Z276" i="14"/>
  <c r="Y276" i="14"/>
  <c r="X276" i="14"/>
  <c r="W276" i="14"/>
  <c r="V276" i="14"/>
  <c r="U276" i="14"/>
  <c r="T276" i="14"/>
  <c r="S276" i="14"/>
  <c r="R276" i="14"/>
  <c r="Q276" i="14"/>
  <c r="P276" i="14"/>
  <c r="O276" i="14"/>
  <c r="N276" i="14"/>
  <c r="M276" i="14"/>
  <c r="L276" i="14"/>
  <c r="K276" i="14"/>
  <c r="J276" i="14"/>
  <c r="I276" i="14"/>
  <c r="H276" i="14"/>
  <c r="AE275" i="14"/>
  <c r="AD275" i="14"/>
  <c r="AC275" i="14"/>
  <c r="AB275" i="14"/>
  <c r="AA275" i="14"/>
  <c r="Z275" i="14"/>
  <c r="Y275" i="14"/>
  <c r="X275" i="14"/>
  <c r="W275" i="14"/>
  <c r="V275" i="14"/>
  <c r="U275" i="14"/>
  <c r="T275" i="14"/>
  <c r="S275" i="14"/>
  <c r="R275" i="14"/>
  <c r="Q275" i="14"/>
  <c r="P275" i="14"/>
  <c r="O275" i="14"/>
  <c r="N275" i="14"/>
  <c r="M275" i="14"/>
  <c r="L275" i="14"/>
  <c r="K275" i="14"/>
  <c r="J275" i="14"/>
  <c r="I275" i="14"/>
  <c r="H275" i="14"/>
  <c r="C275" i="14" s="1"/>
  <c r="AG273" i="14"/>
  <c r="AG272" i="14"/>
  <c r="E271" i="14"/>
  <c r="C271" i="14"/>
  <c r="B271" i="14"/>
  <c r="AG271" i="14" s="1"/>
  <c r="E270" i="14"/>
  <c r="D270" i="14" s="1"/>
  <c r="C270" i="14"/>
  <c r="B270" i="14"/>
  <c r="AG270" i="14" s="1"/>
  <c r="E269" i="14"/>
  <c r="C269" i="14"/>
  <c r="B269" i="14"/>
  <c r="AG269" i="14" s="1"/>
  <c r="E268" i="14"/>
  <c r="D268" i="14" s="1"/>
  <c r="C268" i="14"/>
  <c r="B268" i="14"/>
  <c r="AE267" i="14"/>
  <c r="AD267" i="14"/>
  <c r="AC267" i="14"/>
  <c r="AB267" i="14"/>
  <c r="AA267" i="14"/>
  <c r="Z267" i="14"/>
  <c r="Y267" i="14"/>
  <c r="X267" i="14"/>
  <c r="W267" i="14"/>
  <c r="V267" i="14"/>
  <c r="U267" i="14"/>
  <c r="T267" i="14"/>
  <c r="S267" i="14"/>
  <c r="R267" i="14"/>
  <c r="Q267" i="14"/>
  <c r="P267" i="14"/>
  <c r="O267" i="14"/>
  <c r="N267" i="14"/>
  <c r="M267" i="14"/>
  <c r="L267" i="14"/>
  <c r="K267" i="14"/>
  <c r="J267" i="14"/>
  <c r="I267" i="14"/>
  <c r="H267" i="14"/>
  <c r="AG266" i="14"/>
  <c r="AG265" i="14"/>
  <c r="E264" i="14"/>
  <c r="D264" i="14" s="1"/>
  <c r="D258" i="14" s="1"/>
  <c r="C264" i="14"/>
  <c r="C258" i="14" s="1"/>
  <c r="E263" i="14"/>
  <c r="D263" i="14" s="1"/>
  <c r="D257" i="14" s="1"/>
  <c r="C263" i="14"/>
  <c r="C257" i="14" s="1"/>
  <c r="E262" i="14"/>
  <c r="E256" i="14" s="1"/>
  <c r="C262" i="14"/>
  <c r="C256" i="14" s="1"/>
  <c r="B262" i="14"/>
  <c r="AG262" i="14" s="1"/>
  <c r="AE261" i="14"/>
  <c r="AD261" i="14"/>
  <c r="AC261" i="14"/>
  <c r="AA261" i="14"/>
  <c r="Z261" i="14"/>
  <c r="Y261" i="14"/>
  <c r="X261" i="14"/>
  <c r="W261" i="14"/>
  <c r="V261" i="14"/>
  <c r="U261" i="14"/>
  <c r="T261" i="14"/>
  <c r="S261" i="14"/>
  <c r="R261" i="14"/>
  <c r="Q261" i="14"/>
  <c r="P261" i="14"/>
  <c r="O261" i="14"/>
  <c r="N261" i="14"/>
  <c r="M261" i="14"/>
  <c r="L261" i="14"/>
  <c r="K261" i="14"/>
  <c r="J261" i="14"/>
  <c r="I261" i="14"/>
  <c r="H261" i="14"/>
  <c r="AG260"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E259" i="14"/>
  <c r="D259" i="14"/>
  <c r="C259" i="14"/>
  <c r="B259" i="14"/>
  <c r="AE258" i="14"/>
  <c r="AC258" i="14"/>
  <c r="AB258" i="14"/>
  <c r="AA258" i="14"/>
  <c r="Z258" i="14"/>
  <c r="Y258" i="14"/>
  <c r="X258" i="14"/>
  <c r="W258" i="14"/>
  <c r="V258" i="14"/>
  <c r="U258" i="14"/>
  <c r="T258" i="14"/>
  <c r="S258" i="14"/>
  <c r="R258" i="14"/>
  <c r="Q258" i="14"/>
  <c r="P258" i="14"/>
  <c r="O258" i="14"/>
  <c r="N258" i="14"/>
  <c r="M258" i="14"/>
  <c r="L258" i="14"/>
  <c r="K258" i="14"/>
  <c r="J258" i="14"/>
  <c r="I258" i="14"/>
  <c r="H258" i="14"/>
  <c r="AE257" i="14"/>
  <c r="AD257" i="14"/>
  <c r="AC257" i="14"/>
  <c r="AA257" i="14"/>
  <c r="Z257" i="14"/>
  <c r="Y257" i="14"/>
  <c r="X257" i="14"/>
  <c r="W257" i="14"/>
  <c r="V257" i="14"/>
  <c r="U257" i="14"/>
  <c r="T257" i="14"/>
  <c r="S257" i="14"/>
  <c r="R257" i="14"/>
  <c r="Q257" i="14"/>
  <c r="P257" i="14"/>
  <c r="O257" i="14"/>
  <c r="N257" i="14"/>
  <c r="M257" i="14"/>
  <c r="L257" i="14"/>
  <c r="K257" i="14"/>
  <c r="J257" i="14"/>
  <c r="I257" i="14"/>
  <c r="H257"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AG254" i="14"/>
  <c r="AG252" i="14"/>
  <c r="AG251" i="14"/>
  <c r="E250" i="14"/>
  <c r="D250" i="14" s="1"/>
  <c r="B250" i="14"/>
  <c r="E249" i="14"/>
  <c r="C249" i="14"/>
  <c r="B249" i="14"/>
  <c r="AG249" i="14" s="1"/>
  <c r="E248" i="14"/>
  <c r="D248" i="14" s="1"/>
  <c r="C248" i="14"/>
  <c r="B248" i="14"/>
  <c r="AG248" i="14" s="1"/>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AG246" i="14"/>
  <c r="AG245" i="14"/>
  <c r="D244" i="14"/>
  <c r="B244" i="14"/>
  <c r="AG244" i="14" s="1"/>
  <c r="E243" i="14"/>
  <c r="C243" i="14"/>
  <c r="B243" i="14"/>
  <c r="AG243" i="14" s="1"/>
  <c r="E242" i="14"/>
  <c r="D242" i="14" s="1"/>
  <c r="C242" i="14"/>
  <c r="B242" i="14"/>
  <c r="AE241" i="14"/>
  <c r="AD241" i="14"/>
  <c r="AC241" i="14"/>
  <c r="AB241" i="14"/>
  <c r="AA241" i="14"/>
  <c r="Z241" i="14"/>
  <c r="Y241" i="14"/>
  <c r="X241" i="14"/>
  <c r="W241" i="14"/>
  <c r="V241" i="14"/>
  <c r="U241" i="14"/>
  <c r="T241" i="14"/>
  <c r="S241" i="14"/>
  <c r="R241" i="14"/>
  <c r="Q241" i="14"/>
  <c r="P241" i="14"/>
  <c r="O241" i="14"/>
  <c r="N241" i="14"/>
  <c r="M241" i="14"/>
  <c r="L241" i="14"/>
  <c r="K241" i="14"/>
  <c r="J241" i="14"/>
  <c r="I241" i="14"/>
  <c r="H241" i="14"/>
  <c r="AG240" i="14"/>
  <c r="AE239" i="14"/>
  <c r="AD239" i="14"/>
  <c r="AC239" i="14"/>
  <c r="AB239" i="14"/>
  <c r="AA239" i="14"/>
  <c r="Z239" i="14"/>
  <c r="Y239" i="14"/>
  <c r="X239" i="14"/>
  <c r="W239" i="14"/>
  <c r="V239" i="14"/>
  <c r="U239" i="14"/>
  <c r="T239" i="14"/>
  <c r="S239" i="14"/>
  <c r="R239" i="14"/>
  <c r="Q239" i="14"/>
  <c r="P239" i="14"/>
  <c r="O239" i="14"/>
  <c r="N239" i="14"/>
  <c r="M239" i="14"/>
  <c r="L239" i="14"/>
  <c r="K239" i="14"/>
  <c r="J239" i="14"/>
  <c r="I239" i="14"/>
  <c r="H239" i="14"/>
  <c r="E239" i="14"/>
  <c r="D239" i="14"/>
  <c r="C239" i="14"/>
  <c r="B239" i="14"/>
  <c r="AE238" i="14"/>
  <c r="AD238" i="14"/>
  <c r="AC238" i="14"/>
  <c r="AB238" i="14"/>
  <c r="AA238" i="14"/>
  <c r="Z238" i="14"/>
  <c r="Y238" i="14"/>
  <c r="X238" i="14"/>
  <c r="W238" i="14"/>
  <c r="V238" i="14"/>
  <c r="U238" i="14"/>
  <c r="T238" i="14"/>
  <c r="S238" i="14"/>
  <c r="R238" i="14"/>
  <c r="Q238" i="14"/>
  <c r="P238" i="14"/>
  <c r="O238" i="14"/>
  <c r="N238" i="14"/>
  <c r="M238" i="14"/>
  <c r="L238" i="14"/>
  <c r="K238" i="14"/>
  <c r="J238" i="14"/>
  <c r="I238" i="14"/>
  <c r="H238" i="14"/>
  <c r="AE237" i="14"/>
  <c r="AD237" i="14"/>
  <c r="AC237" i="14"/>
  <c r="AB237" i="14"/>
  <c r="AA237" i="14"/>
  <c r="Z237" i="14"/>
  <c r="Y237" i="14"/>
  <c r="X237" i="14"/>
  <c r="W237" i="14"/>
  <c r="V237" i="14"/>
  <c r="U237" i="14"/>
  <c r="T237" i="14"/>
  <c r="S237" i="14"/>
  <c r="R237" i="14"/>
  <c r="Q237" i="14"/>
  <c r="P237" i="14"/>
  <c r="O237" i="14"/>
  <c r="N237" i="14"/>
  <c r="M237" i="14"/>
  <c r="L237" i="14"/>
  <c r="K237" i="14"/>
  <c r="J237" i="14"/>
  <c r="I237" i="14"/>
  <c r="H237" i="14"/>
  <c r="AE236" i="14"/>
  <c r="AD236" i="14"/>
  <c r="AC236" i="14"/>
  <c r="AB236" i="14"/>
  <c r="AA236" i="14"/>
  <c r="Z236" i="14"/>
  <c r="Y236" i="14"/>
  <c r="X236" i="14"/>
  <c r="W236" i="14"/>
  <c r="V236" i="14"/>
  <c r="U236" i="14"/>
  <c r="T236" i="14"/>
  <c r="S236" i="14"/>
  <c r="R236" i="14"/>
  <c r="Q236" i="14"/>
  <c r="P236" i="14"/>
  <c r="O236" i="14"/>
  <c r="O235" i="14" s="1"/>
  <c r="N236" i="14"/>
  <c r="M236" i="14"/>
  <c r="L236" i="14"/>
  <c r="K236" i="14"/>
  <c r="J236" i="14"/>
  <c r="I236" i="14"/>
  <c r="H236" i="14"/>
  <c r="AG234" i="14"/>
  <c r="AG233" i="14"/>
  <c r="E232" i="14"/>
  <c r="D232" i="14" s="1"/>
  <c r="C232" i="14"/>
  <c r="B232" i="14"/>
  <c r="E231" i="14"/>
  <c r="C231" i="14"/>
  <c r="B231" i="14"/>
  <c r="AG231" i="14" s="1"/>
  <c r="E230" i="14"/>
  <c r="D230" i="14" s="1"/>
  <c r="C230" i="14"/>
  <c r="B230" i="14"/>
  <c r="AG230" i="14" s="1"/>
  <c r="AE229" i="14"/>
  <c r="AD229" i="14"/>
  <c r="AC229" i="14"/>
  <c r="AB229" i="14"/>
  <c r="AA229" i="14"/>
  <c r="Z229" i="14"/>
  <c r="Y229" i="14"/>
  <c r="X229" i="14"/>
  <c r="W229" i="14"/>
  <c r="V229" i="14"/>
  <c r="U229" i="14"/>
  <c r="T229" i="14"/>
  <c r="S229" i="14"/>
  <c r="R229" i="14"/>
  <c r="Q229" i="14"/>
  <c r="P229" i="14"/>
  <c r="O229" i="14"/>
  <c r="N229" i="14"/>
  <c r="M229" i="14"/>
  <c r="L229" i="14"/>
  <c r="K229" i="14"/>
  <c r="J229" i="14"/>
  <c r="I229" i="14"/>
  <c r="H229" i="14"/>
  <c r="AG228" i="14"/>
  <c r="AG227" i="14"/>
  <c r="E226" i="14"/>
  <c r="D226" i="14" s="1"/>
  <c r="C226" i="14"/>
  <c r="B226" i="14"/>
  <c r="AG226" i="14" s="1"/>
  <c r="E225" i="14"/>
  <c r="C225" i="14"/>
  <c r="B225" i="14"/>
  <c r="AG225" i="14" s="1"/>
  <c r="E224" i="14"/>
  <c r="D224" i="14" s="1"/>
  <c r="C224" i="14"/>
  <c r="B224" i="14"/>
  <c r="AE223" i="14"/>
  <c r="AD223" i="14"/>
  <c r="AC223" i="14"/>
  <c r="AB223" i="14"/>
  <c r="AA223" i="14"/>
  <c r="Z223" i="14"/>
  <c r="Y223" i="14"/>
  <c r="X223" i="14"/>
  <c r="W223" i="14"/>
  <c r="V223" i="14"/>
  <c r="U223" i="14"/>
  <c r="T223" i="14"/>
  <c r="S223" i="14"/>
  <c r="R223" i="14"/>
  <c r="Q223" i="14"/>
  <c r="P223" i="14"/>
  <c r="O223" i="14"/>
  <c r="N223" i="14"/>
  <c r="M223" i="14"/>
  <c r="L223" i="14"/>
  <c r="K223" i="14"/>
  <c r="J223" i="14"/>
  <c r="I223" i="14"/>
  <c r="H223" i="14"/>
  <c r="AG222" i="14"/>
  <c r="AG221" i="14"/>
  <c r="E220" i="14"/>
  <c r="D220" i="14" s="1"/>
  <c r="B220" i="14"/>
  <c r="E219" i="14"/>
  <c r="C219" i="14"/>
  <c r="B219" i="14"/>
  <c r="AG219" i="14" s="1"/>
  <c r="E218" i="14"/>
  <c r="D218" i="14" s="1"/>
  <c r="C218" i="14"/>
  <c r="B218" i="14"/>
  <c r="AG218" i="14" s="1"/>
  <c r="AE217" i="14"/>
  <c r="AD217" i="14"/>
  <c r="AC217" i="14"/>
  <c r="AB217" i="14"/>
  <c r="AA217" i="14"/>
  <c r="Z217" i="14"/>
  <c r="Y217" i="14"/>
  <c r="X217" i="14"/>
  <c r="W217" i="14"/>
  <c r="V217" i="14"/>
  <c r="U217" i="14"/>
  <c r="T217" i="14"/>
  <c r="S217" i="14"/>
  <c r="R217" i="14"/>
  <c r="Q217" i="14"/>
  <c r="P217" i="14"/>
  <c r="O217" i="14"/>
  <c r="N217" i="14"/>
  <c r="M217" i="14"/>
  <c r="L217" i="14"/>
  <c r="K217" i="14"/>
  <c r="J217" i="14"/>
  <c r="I217" i="14"/>
  <c r="H217" i="14"/>
  <c r="AG216" i="14"/>
  <c r="AG215" i="14"/>
  <c r="E214" i="14"/>
  <c r="D214" i="14" s="1"/>
  <c r="B214" i="14"/>
  <c r="E213" i="14"/>
  <c r="C213" i="14"/>
  <c r="B213" i="14"/>
  <c r="AG213" i="14" s="1"/>
  <c r="E212" i="14"/>
  <c r="D212" i="14" s="1"/>
  <c r="C212" i="14"/>
  <c r="B212" i="14"/>
  <c r="AE211" i="14"/>
  <c r="AD211" i="14"/>
  <c r="AC211" i="14"/>
  <c r="AB211" i="14"/>
  <c r="AA211" i="14"/>
  <c r="Z211" i="14"/>
  <c r="Y211" i="14"/>
  <c r="X211" i="14"/>
  <c r="W211" i="14"/>
  <c r="V211" i="14"/>
  <c r="U211" i="14"/>
  <c r="T211" i="14"/>
  <c r="S211" i="14"/>
  <c r="R211" i="14"/>
  <c r="Q211" i="14"/>
  <c r="P211" i="14"/>
  <c r="O211" i="14"/>
  <c r="N211" i="14"/>
  <c r="M211" i="14"/>
  <c r="L211" i="14"/>
  <c r="K211" i="14"/>
  <c r="J211" i="14"/>
  <c r="I211" i="14"/>
  <c r="H211" i="14"/>
  <c r="AG210" i="14"/>
  <c r="AE209" i="14"/>
  <c r="AD209" i="14"/>
  <c r="AC209" i="14"/>
  <c r="AB209" i="14"/>
  <c r="AA209" i="14"/>
  <c r="Z209" i="14"/>
  <c r="Y209" i="14"/>
  <c r="X209" i="14"/>
  <c r="W209" i="14"/>
  <c r="V209" i="14"/>
  <c r="U209" i="14"/>
  <c r="T209" i="14"/>
  <c r="S209" i="14"/>
  <c r="R209" i="14"/>
  <c r="Q209" i="14"/>
  <c r="P209" i="14"/>
  <c r="O209" i="14"/>
  <c r="N209" i="14"/>
  <c r="M209" i="14"/>
  <c r="L209" i="14"/>
  <c r="K209" i="14"/>
  <c r="J209" i="14"/>
  <c r="I209" i="14"/>
  <c r="H209" i="14"/>
  <c r="E209" i="14"/>
  <c r="D209" i="14"/>
  <c r="C209" i="14"/>
  <c r="B209" i="14"/>
  <c r="AE208" i="14"/>
  <c r="AD208" i="14"/>
  <c r="AC208" i="14"/>
  <c r="AB208" i="14"/>
  <c r="AA208" i="14"/>
  <c r="Z208" i="14"/>
  <c r="Y208" i="14"/>
  <c r="X208" i="14"/>
  <c r="W208" i="14"/>
  <c r="V208" i="14"/>
  <c r="U208" i="14"/>
  <c r="T208" i="14"/>
  <c r="S208" i="14"/>
  <c r="R208" i="14"/>
  <c r="Q208" i="14"/>
  <c r="P208" i="14"/>
  <c r="O208" i="14"/>
  <c r="N208" i="14"/>
  <c r="M208" i="14"/>
  <c r="L208" i="14"/>
  <c r="K208" i="14"/>
  <c r="J208" i="14"/>
  <c r="I208" i="14"/>
  <c r="H208" i="14"/>
  <c r="AE207" i="14"/>
  <c r="AD207" i="14"/>
  <c r="AC207" i="14"/>
  <c r="AB207" i="14"/>
  <c r="AA207" i="14"/>
  <c r="Z207" i="14"/>
  <c r="Y207" i="14"/>
  <c r="X207" i="14"/>
  <c r="W207" i="14"/>
  <c r="V207" i="14"/>
  <c r="U207" i="14"/>
  <c r="T207" i="14"/>
  <c r="S207" i="14"/>
  <c r="R207" i="14"/>
  <c r="Q207" i="14"/>
  <c r="P207" i="14"/>
  <c r="O207" i="14"/>
  <c r="N207" i="14"/>
  <c r="M207" i="14"/>
  <c r="L207" i="14"/>
  <c r="K207" i="14"/>
  <c r="J207" i="14"/>
  <c r="I207" i="14"/>
  <c r="H207" i="14"/>
  <c r="AE206" i="14"/>
  <c r="AD206" i="14"/>
  <c r="AC206" i="14"/>
  <c r="AB206" i="14"/>
  <c r="AA206" i="14"/>
  <c r="Z206" i="14"/>
  <c r="Y206" i="14"/>
  <c r="X206" i="14"/>
  <c r="W206" i="14"/>
  <c r="V206" i="14"/>
  <c r="U206" i="14"/>
  <c r="T206" i="14"/>
  <c r="S206" i="14"/>
  <c r="R206" i="14"/>
  <c r="Q206" i="14"/>
  <c r="P206" i="14"/>
  <c r="O206" i="14"/>
  <c r="O205" i="14" s="1"/>
  <c r="N206" i="14"/>
  <c r="M206" i="14"/>
  <c r="L206" i="14"/>
  <c r="K206" i="14"/>
  <c r="J206" i="14"/>
  <c r="I206" i="14"/>
  <c r="H206" i="14"/>
  <c r="AE205" i="14"/>
  <c r="AG204" i="14"/>
  <c r="AG203" i="14"/>
  <c r="E202" i="14"/>
  <c r="D202" i="14" s="1"/>
  <c r="C202" i="14"/>
  <c r="C190" i="14" s="1"/>
  <c r="B202" i="14"/>
  <c r="E201" i="14"/>
  <c r="C201" i="14"/>
  <c r="B201" i="14"/>
  <c r="AG201" i="14" s="1"/>
  <c r="E200" i="14"/>
  <c r="D200" i="14" s="1"/>
  <c r="C200" i="14"/>
  <c r="B200" i="14"/>
  <c r="AG200" i="14" s="1"/>
  <c r="AE199" i="14"/>
  <c r="AD199" i="14"/>
  <c r="AC199" i="14"/>
  <c r="AB199" i="14"/>
  <c r="AA199" i="14"/>
  <c r="Z199" i="14"/>
  <c r="Y199" i="14"/>
  <c r="X199" i="14"/>
  <c r="W199" i="14"/>
  <c r="V199" i="14"/>
  <c r="U199" i="14"/>
  <c r="T199" i="14"/>
  <c r="S199" i="14"/>
  <c r="R199" i="14"/>
  <c r="Q199" i="14"/>
  <c r="P199" i="14"/>
  <c r="O199" i="14"/>
  <c r="N199" i="14"/>
  <c r="M199" i="14"/>
  <c r="L199" i="14"/>
  <c r="K199" i="14"/>
  <c r="J199" i="14"/>
  <c r="I199" i="14"/>
  <c r="H199" i="14"/>
  <c r="AG198" i="14"/>
  <c r="AG197" i="14"/>
  <c r="E196" i="14"/>
  <c r="D196" i="14" s="1"/>
  <c r="AG196" i="14"/>
  <c r="E195" i="14"/>
  <c r="C195" i="14"/>
  <c r="B195" i="14"/>
  <c r="AG195" i="14" s="1"/>
  <c r="E194" i="14"/>
  <c r="D194" i="14" s="1"/>
  <c r="C194" i="14"/>
  <c r="B194" i="14"/>
  <c r="AE193" i="14"/>
  <c r="AD193" i="14"/>
  <c r="AC193" i="14"/>
  <c r="AB193" i="14"/>
  <c r="AA193" i="14"/>
  <c r="Z193" i="14"/>
  <c r="Y193" i="14"/>
  <c r="X193" i="14"/>
  <c r="W193" i="14"/>
  <c r="V193" i="14"/>
  <c r="U193" i="14"/>
  <c r="T193" i="14"/>
  <c r="S193" i="14"/>
  <c r="R193" i="14"/>
  <c r="Q193" i="14"/>
  <c r="P193" i="14"/>
  <c r="O193" i="14"/>
  <c r="N193" i="14"/>
  <c r="M193" i="14"/>
  <c r="L193" i="14"/>
  <c r="K193" i="14"/>
  <c r="J193" i="14"/>
  <c r="I193" i="14"/>
  <c r="H193" i="14"/>
  <c r="AG192"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E191" i="14"/>
  <c r="D191" i="14"/>
  <c r="C191" i="14"/>
  <c r="B191"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AE188" i="14"/>
  <c r="AD188" i="14"/>
  <c r="AC188" i="14"/>
  <c r="AB188" i="14"/>
  <c r="AA188" i="14"/>
  <c r="Z188" i="14"/>
  <c r="Y188" i="14"/>
  <c r="X188" i="14"/>
  <c r="W188" i="14"/>
  <c r="V188" i="14"/>
  <c r="U188" i="14"/>
  <c r="T188" i="14"/>
  <c r="S188" i="14"/>
  <c r="R188" i="14"/>
  <c r="Q188" i="14"/>
  <c r="P188" i="14"/>
  <c r="O188" i="14"/>
  <c r="N188" i="14"/>
  <c r="M188" i="14"/>
  <c r="L188" i="14"/>
  <c r="K188" i="14"/>
  <c r="J188" i="14"/>
  <c r="I188" i="14"/>
  <c r="H188" i="14"/>
  <c r="AG186" i="14"/>
  <c r="AG185" i="14"/>
  <c r="AG184" i="14"/>
  <c r="E183" i="14"/>
  <c r="B183" i="14"/>
  <c r="AG183" i="14" s="1"/>
  <c r="D176" i="14"/>
  <c r="B176" i="14"/>
  <c r="E175" i="14"/>
  <c r="C175" i="14"/>
  <c r="B181" i="14"/>
  <c r="AG181" i="14" s="1"/>
  <c r="AE180" i="14"/>
  <c r="AD180" i="14"/>
  <c r="AC180" i="14"/>
  <c r="AB180" i="14"/>
  <c r="AA180" i="14"/>
  <c r="Z180" i="14"/>
  <c r="Y180" i="14"/>
  <c r="X180" i="14"/>
  <c r="W180" i="14"/>
  <c r="V180" i="14"/>
  <c r="U180" i="14"/>
  <c r="T180" i="14"/>
  <c r="S180" i="14"/>
  <c r="R180" i="14"/>
  <c r="Q180" i="14"/>
  <c r="P180" i="14"/>
  <c r="O180" i="14"/>
  <c r="N180" i="14"/>
  <c r="M180" i="14"/>
  <c r="L180" i="14"/>
  <c r="K180" i="14"/>
  <c r="J180" i="14"/>
  <c r="I180" i="14"/>
  <c r="H180" i="14"/>
  <c r="AG179" i="14"/>
  <c r="AE178" i="14"/>
  <c r="AD178" i="14"/>
  <c r="AC178" i="14"/>
  <c r="AB178" i="14"/>
  <c r="AA178" i="14"/>
  <c r="Z178" i="14"/>
  <c r="Y178" i="14"/>
  <c r="X178" i="14"/>
  <c r="W178" i="14"/>
  <c r="V178" i="14"/>
  <c r="U178" i="14"/>
  <c r="T178" i="14"/>
  <c r="S178" i="14"/>
  <c r="R178" i="14"/>
  <c r="Q178" i="14"/>
  <c r="P178" i="14"/>
  <c r="O178" i="14"/>
  <c r="N178" i="14"/>
  <c r="M178" i="14"/>
  <c r="L178" i="14"/>
  <c r="K178" i="14"/>
  <c r="J178" i="14"/>
  <c r="I178" i="14"/>
  <c r="H178" i="14"/>
  <c r="E178" i="14"/>
  <c r="D178" i="14"/>
  <c r="C178" i="14"/>
  <c r="B178" i="14"/>
  <c r="AE177" i="14"/>
  <c r="AD177" i="14"/>
  <c r="AC177" i="14"/>
  <c r="AB177" i="14"/>
  <c r="AA177" i="14"/>
  <c r="Z177" i="14"/>
  <c r="Y177" i="14"/>
  <c r="X177" i="14"/>
  <c r="W177" i="14"/>
  <c r="V177" i="14"/>
  <c r="U177" i="14"/>
  <c r="T177" i="14"/>
  <c r="S177" i="14"/>
  <c r="R177" i="14"/>
  <c r="Q177" i="14"/>
  <c r="P177" i="14"/>
  <c r="O177" i="14"/>
  <c r="N177" i="14"/>
  <c r="M177" i="14"/>
  <c r="L177" i="14"/>
  <c r="K177" i="14"/>
  <c r="J177" i="14"/>
  <c r="I177" i="14"/>
  <c r="H177" i="14"/>
  <c r="AE176" i="14"/>
  <c r="AD176" i="14"/>
  <c r="AC176" i="14"/>
  <c r="AB176" i="14"/>
  <c r="AA176" i="14"/>
  <c r="Z176" i="14"/>
  <c r="Y176" i="14"/>
  <c r="X176" i="14"/>
  <c r="W176" i="14"/>
  <c r="V176" i="14"/>
  <c r="U176" i="14"/>
  <c r="T176" i="14"/>
  <c r="S176" i="14"/>
  <c r="R176" i="14"/>
  <c r="Q176" i="14"/>
  <c r="P176" i="14"/>
  <c r="O176" i="14"/>
  <c r="N176" i="14"/>
  <c r="M176" i="14"/>
  <c r="L176" i="14"/>
  <c r="K176" i="14"/>
  <c r="J176" i="14"/>
  <c r="I176" i="14"/>
  <c r="H176" i="14"/>
  <c r="C176" i="14"/>
  <c r="AE175" i="14"/>
  <c r="AD175" i="14"/>
  <c r="AC175" i="14"/>
  <c r="AB175" i="14"/>
  <c r="AA175" i="14"/>
  <c r="Z175" i="14"/>
  <c r="Y175" i="14"/>
  <c r="X175" i="14"/>
  <c r="W175" i="14"/>
  <c r="V175" i="14"/>
  <c r="U175" i="14"/>
  <c r="T175" i="14"/>
  <c r="S175" i="14"/>
  <c r="R175" i="14"/>
  <c r="Q175" i="14"/>
  <c r="P175" i="14"/>
  <c r="O175" i="14"/>
  <c r="N175" i="14"/>
  <c r="M175" i="14"/>
  <c r="L175" i="14"/>
  <c r="K175" i="14"/>
  <c r="J175" i="14"/>
  <c r="I175" i="14"/>
  <c r="H175" i="14"/>
  <c r="AG173" i="14"/>
  <c r="AG172" i="14"/>
  <c r="B171" i="14"/>
  <c r="AG171" i="14" s="1"/>
  <c r="E170" i="14"/>
  <c r="E164" i="14" s="1"/>
  <c r="C170" i="14"/>
  <c r="C164" i="14" s="1"/>
  <c r="B170" i="14"/>
  <c r="AG170" i="14" s="1"/>
  <c r="E169" i="14"/>
  <c r="C169" i="14"/>
  <c r="C163" i="14" s="1"/>
  <c r="B169" i="14"/>
  <c r="AG169" i="14" s="1"/>
  <c r="AE168" i="14"/>
  <c r="AD168" i="14"/>
  <c r="AC168" i="14"/>
  <c r="AB168" i="14"/>
  <c r="AA168" i="14"/>
  <c r="Z168" i="14"/>
  <c r="Y168" i="14"/>
  <c r="X168" i="14"/>
  <c r="W168" i="14"/>
  <c r="V168" i="14"/>
  <c r="U168" i="14"/>
  <c r="T168" i="14"/>
  <c r="S168" i="14"/>
  <c r="R168" i="14"/>
  <c r="Q168" i="14"/>
  <c r="P168" i="14"/>
  <c r="O168" i="14"/>
  <c r="N168" i="14"/>
  <c r="M168" i="14"/>
  <c r="L168" i="14"/>
  <c r="J168" i="14"/>
  <c r="I168" i="14"/>
  <c r="H168" i="14"/>
  <c r="AG167" i="14"/>
  <c r="AE166" i="14"/>
  <c r="AD166" i="14"/>
  <c r="AC166" i="14"/>
  <c r="AB166" i="14"/>
  <c r="AA166" i="14"/>
  <c r="Z166" i="14"/>
  <c r="Y166" i="14"/>
  <c r="X166" i="14"/>
  <c r="W166" i="14"/>
  <c r="V166" i="14"/>
  <c r="U166" i="14"/>
  <c r="T166" i="14"/>
  <c r="S166" i="14"/>
  <c r="R166" i="14"/>
  <c r="Q166" i="14"/>
  <c r="P166" i="14"/>
  <c r="O166" i="14"/>
  <c r="N166" i="14"/>
  <c r="M166" i="14"/>
  <c r="L166" i="14"/>
  <c r="K166" i="14"/>
  <c r="J166" i="14"/>
  <c r="I166" i="14"/>
  <c r="H166" i="14"/>
  <c r="E166" i="14"/>
  <c r="D166" i="14"/>
  <c r="C166" i="14"/>
  <c r="B166"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C165"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AG161" i="14"/>
  <c r="AG159" i="14"/>
  <c r="AG158" i="14"/>
  <c r="E157" i="14"/>
  <c r="E154" i="14" s="1"/>
  <c r="C157" i="14"/>
  <c r="C151" i="14" s="1"/>
  <c r="B157" i="14"/>
  <c r="B154" i="14" s="1"/>
  <c r="AG156" i="14"/>
  <c r="AG155"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C154" i="14"/>
  <c r="AG153"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E152" i="14"/>
  <c r="D152" i="14"/>
  <c r="C152" i="14"/>
  <c r="B152"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E150" i="14"/>
  <c r="D150" i="14"/>
  <c r="C150" i="14"/>
  <c r="B150"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E149" i="14"/>
  <c r="D149" i="14"/>
  <c r="C149" i="14"/>
  <c r="B149" i="14"/>
  <c r="AG147" i="14"/>
  <c r="AG146" i="14"/>
  <c r="AG145" i="14"/>
  <c r="AG144" i="14"/>
  <c r="B143" i="14"/>
  <c r="B140" i="14" s="1"/>
  <c r="AG140" i="14" s="1"/>
  <c r="AG142" i="14"/>
  <c r="AG141" i="14"/>
  <c r="B129" i="14"/>
  <c r="AG132"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E131" i="14"/>
  <c r="D131" i="14"/>
  <c r="C131" i="14"/>
  <c r="B131" i="14"/>
  <c r="AE130" i="14"/>
  <c r="AD130" i="14"/>
  <c r="AC130" i="14"/>
  <c r="AB130" i="14"/>
  <c r="AA130" i="14"/>
  <c r="Z130" i="14"/>
  <c r="Y130" i="14"/>
  <c r="X130" i="14"/>
  <c r="W130" i="14"/>
  <c r="V130" i="14"/>
  <c r="U130" i="14"/>
  <c r="T130" i="14"/>
  <c r="S130" i="14"/>
  <c r="R130" i="14"/>
  <c r="Q130" i="14"/>
  <c r="P130" i="14"/>
  <c r="O130" i="14"/>
  <c r="N130" i="14"/>
  <c r="M130" i="14"/>
  <c r="L130" i="14"/>
  <c r="K130" i="14"/>
  <c r="J130" i="14"/>
  <c r="I130" i="14"/>
  <c r="H130" i="14"/>
  <c r="AE129" i="14"/>
  <c r="AD129" i="14"/>
  <c r="AC129" i="14"/>
  <c r="AB129" i="14"/>
  <c r="AA129" i="14"/>
  <c r="Z129" i="14"/>
  <c r="Y129" i="14"/>
  <c r="X129" i="14"/>
  <c r="W129" i="14"/>
  <c r="V129" i="14"/>
  <c r="U129" i="14"/>
  <c r="T129" i="14"/>
  <c r="S129" i="14"/>
  <c r="R129" i="14"/>
  <c r="Q129" i="14"/>
  <c r="P129" i="14"/>
  <c r="O129" i="14"/>
  <c r="N129" i="14"/>
  <c r="M129" i="14"/>
  <c r="L129" i="14"/>
  <c r="K129" i="14"/>
  <c r="J129" i="14"/>
  <c r="I129" i="14"/>
  <c r="H129" i="14"/>
  <c r="E129" i="14"/>
  <c r="D129" i="14"/>
  <c r="AE128" i="14"/>
  <c r="AD128" i="14"/>
  <c r="AC128" i="14"/>
  <c r="AB128" i="14"/>
  <c r="AA128" i="14"/>
  <c r="Z128" i="14"/>
  <c r="Y128" i="14"/>
  <c r="X128" i="14"/>
  <c r="W128" i="14"/>
  <c r="V128" i="14"/>
  <c r="U128" i="14"/>
  <c r="T128" i="14"/>
  <c r="S128" i="14"/>
  <c r="R128" i="14"/>
  <c r="Q128" i="14"/>
  <c r="P128" i="14"/>
  <c r="O128" i="14"/>
  <c r="N128" i="14"/>
  <c r="M128" i="14"/>
  <c r="L128" i="14"/>
  <c r="K128" i="14"/>
  <c r="J128" i="14"/>
  <c r="I128" i="14"/>
  <c r="H128" i="14"/>
  <c r="E128" i="14"/>
  <c r="D128" i="14"/>
  <c r="C128" i="14"/>
  <c r="B128" i="14"/>
  <c r="AG126" i="14"/>
  <c r="AG125" i="14"/>
  <c r="E124" i="14"/>
  <c r="C124" i="14"/>
  <c r="B124" i="14"/>
  <c r="AG123" i="14"/>
  <c r="AG122"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AG120" i="14"/>
  <c r="AG119" i="14"/>
  <c r="E118" i="14"/>
  <c r="D118" i="14" s="1"/>
  <c r="C118" i="14"/>
  <c r="B118" i="14"/>
  <c r="B117" i="14"/>
  <c r="AG117" i="14" s="1"/>
  <c r="AG116"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AG114" i="14"/>
  <c r="AG113" i="14"/>
  <c r="E112" i="14"/>
  <c r="D112" i="14" s="1"/>
  <c r="C112" i="14"/>
  <c r="B112" i="14"/>
  <c r="B111" i="14"/>
  <c r="AG111" i="14" s="1"/>
  <c r="AG110" i="14"/>
  <c r="AE109" i="14"/>
  <c r="AD109" i="14"/>
  <c r="AC109" i="14"/>
  <c r="AB109" i="14"/>
  <c r="AA109" i="14"/>
  <c r="Z109" i="14"/>
  <c r="Y109" i="14"/>
  <c r="X109" i="14"/>
  <c r="W109" i="14"/>
  <c r="V109" i="14"/>
  <c r="U109" i="14"/>
  <c r="T109" i="14"/>
  <c r="S109" i="14"/>
  <c r="R109" i="14"/>
  <c r="Q109" i="14"/>
  <c r="P109" i="14"/>
  <c r="O109" i="14"/>
  <c r="N109" i="14"/>
  <c r="M109" i="14"/>
  <c r="L109" i="14"/>
  <c r="K109" i="14"/>
  <c r="J109" i="14"/>
  <c r="I109" i="14"/>
  <c r="H109" i="14"/>
  <c r="AG108" i="14"/>
  <c r="AG107" i="14"/>
  <c r="E106" i="14"/>
  <c r="D106" i="14" s="1"/>
  <c r="C106" i="14"/>
  <c r="C103" i="14" s="1"/>
  <c r="B106" i="14"/>
  <c r="E105" i="14"/>
  <c r="B105" i="14"/>
  <c r="AG104"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AG102" i="14"/>
  <c r="AG101" i="14"/>
  <c r="C97" i="14"/>
  <c r="B100" i="14"/>
  <c r="AG99" i="14"/>
  <c r="AG98" i="14"/>
  <c r="AE97" i="14"/>
  <c r="AD97" i="14"/>
  <c r="AC97" i="14"/>
  <c r="AB97" i="14"/>
  <c r="AA97" i="14"/>
  <c r="Z97" i="14"/>
  <c r="Y97" i="14"/>
  <c r="X97" i="14"/>
  <c r="W97" i="14"/>
  <c r="V97" i="14"/>
  <c r="U97" i="14"/>
  <c r="T97" i="14"/>
  <c r="S97" i="14"/>
  <c r="R97" i="14"/>
  <c r="Q97" i="14"/>
  <c r="P97" i="14"/>
  <c r="O97" i="14"/>
  <c r="N97" i="14"/>
  <c r="M97" i="14"/>
  <c r="L97" i="14"/>
  <c r="K97" i="14"/>
  <c r="J97" i="14"/>
  <c r="I97" i="14"/>
  <c r="H97" i="14"/>
  <c r="AG96" i="14"/>
  <c r="AG95" i="14"/>
  <c r="E94" i="14"/>
  <c r="D94" i="14" s="1"/>
  <c r="C94" i="14"/>
  <c r="B94" i="14"/>
  <c r="AG93" i="14"/>
  <c r="E92" i="14"/>
  <c r="D92" i="14" s="1"/>
  <c r="D86" i="14" s="1"/>
  <c r="B92" i="14"/>
  <c r="B86" i="14" s="1"/>
  <c r="AE91" i="14"/>
  <c r="AD91" i="14"/>
  <c r="AC91" i="14"/>
  <c r="AB91" i="14"/>
  <c r="AA91" i="14"/>
  <c r="Z91" i="14"/>
  <c r="Y91" i="14"/>
  <c r="X91" i="14"/>
  <c r="W91" i="14"/>
  <c r="V91" i="14"/>
  <c r="U91" i="14"/>
  <c r="T91" i="14"/>
  <c r="S91" i="14"/>
  <c r="R91" i="14"/>
  <c r="Q91" i="14"/>
  <c r="P91" i="14"/>
  <c r="O91" i="14"/>
  <c r="N91" i="14"/>
  <c r="M91" i="14"/>
  <c r="L91" i="14"/>
  <c r="K91" i="14"/>
  <c r="J91" i="14"/>
  <c r="I91" i="14"/>
  <c r="H91" i="14"/>
  <c r="AG90" i="14"/>
  <c r="AE89" i="14"/>
  <c r="AD83" i="14"/>
  <c r="AC89" i="14"/>
  <c r="AC83" i="14" s="1"/>
  <c r="AB89" i="14"/>
  <c r="AB83" i="14" s="1"/>
  <c r="AA89" i="14"/>
  <c r="Z89" i="14"/>
  <c r="Z83" i="14" s="1"/>
  <c r="Y89" i="14"/>
  <c r="Y83" i="14" s="1"/>
  <c r="X89" i="14"/>
  <c r="X83" i="14" s="1"/>
  <c r="W89" i="14"/>
  <c r="V89" i="14"/>
  <c r="V83" i="14" s="1"/>
  <c r="U89" i="14"/>
  <c r="U83" i="14" s="1"/>
  <c r="T89" i="14"/>
  <c r="T83" i="14" s="1"/>
  <c r="S89" i="14"/>
  <c r="R89" i="14"/>
  <c r="R83" i="14" s="1"/>
  <c r="Q89" i="14"/>
  <c r="Q83" i="14" s="1"/>
  <c r="P89" i="14"/>
  <c r="P83" i="14" s="1"/>
  <c r="O89" i="14"/>
  <c r="N89" i="14"/>
  <c r="N83" i="14" s="1"/>
  <c r="M89" i="14"/>
  <c r="M83" i="14" s="1"/>
  <c r="L89" i="14"/>
  <c r="L83" i="14" s="1"/>
  <c r="K89" i="14"/>
  <c r="J89" i="14"/>
  <c r="J83" i="14" s="1"/>
  <c r="I89" i="14"/>
  <c r="I83" i="14" s="1"/>
  <c r="H89" i="14"/>
  <c r="H83" i="14" s="1"/>
  <c r="E89" i="14"/>
  <c r="D89" i="14"/>
  <c r="B89" i="14"/>
  <c r="AE88" i="14"/>
  <c r="AE82" i="14" s="1"/>
  <c r="AD88" i="14"/>
  <c r="AD82" i="14" s="1"/>
  <c r="AC88" i="14"/>
  <c r="AC82" i="14" s="1"/>
  <c r="AB88" i="14"/>
  <c r="AB82" i="14" s="1"/>
  <c r="AA88" i="14"/>
  <c r="AA82" i="14" s="1"/>
  <c r="Z88" i="14"/>
  <c r="Z82" i="14" s="1"/>
  <c r="Y88" i="14"/>
  <c r="Y82" i="14" s="1"/>
  <c r="X88" i="14"/>
  <c r="X82" i="14" s="1"/>
  <c r="W88" i="14"/>
  <c r="W82" i="14" s="1"/>
  <c r="V88" i="14"/>
  <c r="V82" i="14" s="1"/>
  <c r="U88" i="14"/>
  <c r="T88" i="14"/>
  <c r="T82" i="14" s="1"/>
  <c r="S88" i="14"/>
  <c r="S82" i="14" s="1"/>
  <c r="R88" i="14"/>
  <c r="R82" i="14" s="1"/>
  <c r="Q88" i="14"/>
  <c r="Q82" i="14" s="1"/>
  <c r="P88" i="14"/>
  <c r="P82" i="14" s="1"/>
  <c r="O88" i="14"/>
  <c r="O82" i="14" s="1"/>
  <c r="N88" i="14"/>
  <c r="N82" i="14" s="1"/>
  <c r="M88" i="14"/>
  <c r="M82" i="14" s="1"/>
  <c r="L88" i="14"/>
  <c r="L82" i="14" s="1"/>
  <c r="K88" i="14"/>
  <c r="K82" i="14" s="1"/>
  <c r="J88" i="14"/>
  <c r="J82" i="14" s="1"/>
  <c r="I88" i="14"/>
  <c r="I82" i="14" s="1"/>
  <c r="H88" i="14"/>
  <c r="H82" i="14" s="1"/>
  <c r="AE87" i="14"/>
  <c r="AE81" i="14" s="1"/>
  <c r="AD87" i="14"/>
  <c r="AD81" i="14" s="1"/>
  <c r="AC87" i="14"/>
  <c r="AC81" i="14" s="1"/>
  <c r="AB87" i="14"/>
  <c r="AB81" i="14" s="1"/>
  <c r="AA87" i="14"/>
  <c r="AA81" i="14" s="1"/>
  <c r="Z87" i="14"/>
  <c r="Z81" i="14" s="1"/>
  <c r="Y87" i="14"/>
  <c r="Y81" i="14" s="1"/>
  <c r="X87" i="14"/>
  <c r="X81" i="14" s="1"/>
  <c r="W87" i="14"/>
  <c r="W81" i="14" s="1"/>
  <c r="V87" i="14"/>
  <c r="V81" i="14" s="1"/>
  <c r="U87" i="14"/>
  <c r="U81" i="14" s="1"/>
  <c r="T87" i="14"/>
  <c r="T81" i="14" s="1"/>
  <c r="S87" i="14"/>
  <c r="S81" i="14" s="1"/>
  <c r="R87" i="14"/>
  <c r="R81" i="14" s="1"/>
  <c r="Q87" i="14"/>
  <c r="Q81" i="14" s="1"/>
  <c r="P87" i="14"/>
  <c r="P81" i="14" s="1"/>
  <c r="O87" i="14"/>
  <c r="O81" i="14" s="1"/>
  <c r="N87" i="14"/>
  <c r="N81" i="14" s="1"/>
  <c r="M87" i="14"/>
  <c r="M81" i="14" s="1"/>
  <c r="L87" i="14"/>
  <c r="L81" i="14" s="1"/>
  <c r="K87" i="14"/>
  <c r="K81" i="14" s="1"/>
  <c r="J87" i="14"/>
  <c r="J81" i="14" s="1"/>
  <c r="I87" i="14"/>
  <c r="I81" i="14" s="1"/>
  <c r="AE86" i="14"/>
  <c r="AE80" i="14" s="1"/>
  <c r="AD86" i="14"/>
  <c r="AD80" i="14" s="1"/>
  <c r="AC86" i="14"/>
  <c r="AC80" i="14" s="1"/>
  <c r="AB86" i="14"/>
  <c r="AB80" i="14" s="1"/>
  <c r="AA86" i="14"/>
  <c r="AA80" i="14" s="1"/>
  <c r="Z86" i="14"/>
  <c r="Z80" i="14" s="1"/>
  <c r="Y86" i="14"/>
  <c r="Y80" i="14" s="1"/>
  <c r="X86" i="14"/>
  <c r="X80" i="14" s="1"/>
  <c r="W86" i="14"/>
  <c r="W80" i="14" s="1"/>
  <c r="V86" i="14"/>
  <c r="V80" i="14" s="1"/>
  <c r="U86" i="14"/>
  <c r="U80" i="14" s="1"/>
  <c r="T86" i="14"/>
  <c r="T80" i="14" s="1"/>
  <c r="S86" i="14"/>
  <c r="S80" i="14" s="1"/>
  <c r="R86" i="14"/>
  <c r="R80" i="14" s="1"/>
  <c r="Q86" i="14"/>
  <c r="Q80" i="14" s="1"/>
  <c r="P86" i="14"/>
  <c r="P80" i="14" s="1"/>
  <c r="O86" i="14"/>
  <c r="O80" i="14" s="1"/>
  <c r="N86" i="14"/>
  <c r="N80" i="14" s="1"/>
  <c r="M86" i="14"/>
  <c r="M80" i="14" s="1"/>
  <c r="L86" i="14"/>
  <c r="L80" i="14" s="1"/>
  <c r="K86" i="14"/>
  <c r="K80" i="14" s="1"/>
  <c r="J86" i="14"/>
  <c r="J80" i="14" s="1"/>
  <c r="I86" i="14"/>
  <c r="I80" i="14" s="1"/>
  <c r="H86" i="14"/>
  <c r="H80" i="14" s="1"/>
  <c r="AG84" i="14"/>
  <c r="AG78" i="14"/>
  <c r="AG77" i="14"/>
  <c r="D76" i="14"/>
  <c r="D73" i="14" s="1"/>
  <c r="C73" i="14"/>
  <c r="B76" i="14"/>
  <c r="AG75" i="14"/>
  <c r="AG74" i="14"/>
  <c r="AE73" i="14"/>
  <c r="AD73" i="14"/>
  <c r="AC73" i="14"/>
  <c r="AB73" i="14"/>
  <c r="AA73" i="14"/>
  <c r="Z73" i="14"/>
  <c r="Y73" i="14"/>
  <c r="X73" i="14"/>
  <c r="W73" i="14"/>
  <c r="V73" i="14"/>
  <c r="U73" i="14"/>
  <c r="T73" i="14"/>
  <c r="S73" i="14"/>
  <c r="R73" i="14"/>
  <c r="Q73" i="14"/>
  <c r="P73" i="14"/>
  <c r="O73" i="14"/>
  <c r="N73" i="14"/>
  <c r="L73" i="14"/>
  <c r="K73" i="14"/>
  <c r="J73" i="14"/>
  <c r="I73" i="14"/>
  <c r="H73" i="14"/>
  <c r="AG72" i="14"/>
  <c r="AG71" i="14"/>
  <c r="D67" i="14"/>
  <c r="B70" i="14"/>
  <c r="B67" i="14" s="1"/>
  <c r="AG69" i="14"/>
  <c r="AG68" i="14"/>
  <c r="AE67" i="14"/>
  <c r="AD67" i="14"/>
  <c r="AC67" i="14"/>
  <c r="AB67" i="14"/>
  <c r="AA67" i="14"/>
  <c r="Z67" i="14"/>
  <c r="Y67" i="14"/>
  <c r="X67" i="14"/>
  <c r="W67" i="14"/>
  <c r="V67" i="14"/>
  <c r="U67" i="14"/>
  <c r="T67" i="14"/>
  <c r="S67" i="14"/>
  <c r="R67" i="14"/>
  <c r="Q67" i="14"/>
  <c r="P67" i="14"/>
  <c r="N67" i="14"/>
  <c r="M67" i="14"/>
  <c r="L67" i="14"/>
  <c r="K67" i="14"/>
  <c r="J67" i="14"/>
  <c r="I67" i="14"/>
  <c r="H67" i="14"/>
  <c r="AG66" i="14"/>
  <c r="AE65" i="14"/>
  <c r="AD65" i="14"/>
  <c r="AC65" i="14"/>
  <c r="AB65" i="14"/>
  <c r="AA65" i="14"/>
  <c r="Z65" i="14"/>
  <c r="Y65" i="14"/>
  <c r="X65" i="14"/>
  <c r="W65" i="14"/>
  <c r="V65" i="14"/>
  <c r="U65" i="14"/>
  <c r="T65" i="14"/>
  <c r="S65" i="14"/>
  <c r="R65" i="14"/>
  <c r="Q65" i="14"/>
  <c r="P65" i="14"/>
  <c r="O65" i="14"/>
  <c r="N65" i="14"/>
  <c r="M65" i="14"/>
  <c r="L65" i="14"/>
  <c r="K65" i="14"/>
  <c r="J65" i="14"/>
  <c r="I65" i="14"/>
  <c r="H65" i="14"/>
  <c r="E65" i="14"/>
  <c r="D65" i="14"/>
  <c r="C65" i="14"/>
  <c r="B65" i="14"/>
  <c r="AE64" i="14"/>
  <c r="AD64" i="14"/>
  <c r="AC64" i="14"/>
  <c r="AB64" i="14"/>
  <c r="AA64" i="14"/>
  <c r="Z64" i="14"/>
  <c r="Y64" i="14"/>
  <c r="X64" i="14"/>
  <c r="W64" i="14"/>
  <c r="V64" i="14"/>
  <c r="U64" i="14"/>
  <c r="T64" i="14"/>
  <c r="S64" i="14"/>
  <c r="R64" i="14"/>
  <c r="Q64" i="14"/>
  <c r="P64" i="14"/>
  <c r="O64" i="14"/>
  <c r="N64" i="14"/>
  <c r="M64" i="14"/>
  <c r="L64" i="14"/>
  <c r="K64" i="14"/>
  <c r="J64" i="14"/>
  <c r="I64" i="14"/>
  <c r="H64" i="14"/>
  <c r="AE63" i="14"/>
  <c r="AD63" i="14"/>
  <c r="AC63" i="14"/>
  <c r="AB63" i="14"/>
  <c r="AA63" i="14"/>
  <c r="Z63" i="14"/>
  <c r="Y63" i="14"/>
  <c r="X63" i="14"/>
  <c r="W63" i="14"/>
  <c r="V63" i="14"/>
  <c r="U63" i="14"/>
  <c r="T63" i="14"/>
  <c r="S63" i="14"/>
  <c r="R63" i="14"/>
  <c r="Q63" i="14"/>
  <c r="P63" i="14"/>
  <c r="O63" i="14"/>
  <c r="N63" i="14"/>
  <c r="M63" i="14"/>
  <c r="L63" i="14"/>
  <c r="K63" i="14"/>
  <c r="J63" i="14"/>
  <c r="I63" i="14"/>
  <c r="H63" i="14"/>
  <c r="E63" i="14"/>
  <c r="D63" i="14"/>
  <c r="C63" i="14"/>
  <c r="B63" i="14"/>
  <c r="AE62" i="14"/>
  <c r="AD62" i="14"/>
  <c r="AC62" i="14"/>
  <c r="AC61" i="14" s="1"/>
  <c r="AB62" i="14"/>
  <c r="AA62" i="14"/>
  <c r="Z62" i="14"/>
  <c r="Y62" i="14"/>
  <c r="Y61" i="14" s="1"/>
  <c r="X62" i="14"/>
  <c r="W62" i="14"/>
  <c r="V62" i="14"/>
  <c r="U62" i="14"/>
  <c r="T62" i="14"/>
  <c r="S62" i="14"/>
  <c r="R62" i="14"/>
  <c r="Q62" i="14"/>
  <c r="Q61" i="14" s="1"/>
  <c r="P62" i="14"/>
  <c r="O62" i="14"/>
  <c r="N62" i="14"/>
  <c r="M62" i="14"/>
  <c r="M61" i="14" s="1"/>
  <c r="L62" i="14"/>
  <c r="K62" i="14"/>
  <c r="J62" i="14"/>
  <c r="I62" i="14"/>
  <c r="H62" i="14"/>
  <c r="E62" i="14"/>
  <c r="D62" i="14"/>
  <c r="C62" i="14"/>
  <c r="B62" i="14"/>
  <c r="AG60" i="14"/>
  <c r="AG53" i="14"/>
  <c r="E52" i="14"/>
  <c r="D52" i="14" s="1"/>
  <c r="D49" i="14" s="1"/>
  <c r="C52" i="14"/>
  <c r="C49" i="14" s="1"/>
  <c r="B52" i="14"/>
  <c r="AG51" i="14"/>
  <c r="AG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G48" i="14"/>
  <c r="AG47" i="14"/>
  <c r="E43" i="14"/>
  <c r="B46" i="14"/>
  <c r="B43" i="14" s="1"/>
  <c r="AG45" i="14"/>
  <c r="AG44" i="14"/>
  <c r="AE43" i="14"/>
  <c r="AD43" i="14"/>
  <c r="AC43" i="14"/>
  <c r="AB43" i="14"/>
  <c r="AA43" i="14"/>
  <c r="Z43" i="14"/>
  <c r="Y43" i="14"/>
  <c r="X43" i="14"/>
  <c r="W43" i="14"/>
  <c r="V43" i="14"/>
  <c r="U43" i="14"/>
  <c r="T43" i="14"/>
  <c r="S43" i="14"/>
  <c r="R43" i="14"/>
  <c r="Q43" i="14"/>
  <c r="P43" i="14"/>
  <c r="O43" i="14"/>
  <c r="M43" i="14"/>
  <c r="L43" i="14"/>
  <c r="K43" i="14"/>
  <c r="J43" i="14"/>
  <c r="I43" i="14"/>
  <c r="H43" i="14"/>
  <c r="C43" i="14"/>
  <c r="AG42" i="14"/>
  <c r="AG41" i="14"/>
  <c r="AG40" i="14"/>
  <c r="E39" i="14"/>
  <c r="C39" i="14"/>
  <c r="B39" i="14"/>
  <c r="AG39" i="14" s="1"/>
  <c r="E38" i="14"/>
  <c r="D38" i="14" s="1"/>
  <c r="C38" i="14"/>
  <c r="B38" i="14"/>
  <c r="AE37" i="14"/>
  <c r="AD37" i="14"/>
  <c r="AC37" i="14"/>
  <c r="AB37" i="14"/>
  <c r="AA37" i="14"/>
  <c r="Z37" i="14"/>
  <c r="Y37" i="14"/>
  <c r="X37" i="14"/>
  <c r="W37" i="14"/>
  <c r="V37" i="14"/>
  <c r="U37" i="14"/>
  <c r="T37" i="14"/>
  <c r="S37" i="14"/>
  <c r="R37" i="14"/>
  <c r="Q37" i="14"/>
  <c r="P37" i="14"/>
  <c r="O37" i="14"/>
  <c r="N37" i="14"/>
  <c r="M37" i="14"/>
  <c r="L37" i="14"/>
  <c r="K37" i="14"/>
  <c r="J37" i="14"/>
  <c r="I37" i="14"/>
  <c r="H37" i="14"/>
  <c r="AG36" i="14"/>
  <c r="AE35" i="14"/>
  <c r="AD35" i="14"/>
  <c r="AC35" i="14"/>
  <c r="AB35" i="14"/>
  <c r="AA35" i="14"/>
  <c r="Z35" i="14"/>
  <c r="Y35" i="14"/>
  <c r="X35" i="14"/>
  <c r="W35" i="14"/>
  <c r="V35" i="14"/>
  <c r="U35" i="14"/>
  <c r="T35" i="14"/>
  <c r="S35" i="14"/>
  <c r="R35" i="14"/>
  <c r="Q35" i="14"/>
  <c r="P35" i="14"/>
  <c r="O35" i="14"/>
  <c r="N35" i="14"/>
  <c r="M35" i="14"/>
  <c r="L35" i="14"/>
  <c r="K35" i="14"/>
  <c r="J35" i="14"/>
  <c r="I35" i="14"/>
  <c r="H35" i="14"/>
  <c r="C35" i="14" s="1"/>
  <c r="AE33" i="14"/>
  <c r="AD33" i="14"/>
  <c r="AC33" i="14"/>
  <c r="AB33" i="14"/>
  <c r="AA33" i="14"/>
  <c r="Z33" i="14"/>
  <c r="Y33" i="14"/>
  <c r="X33" i="14"/>
  <c r="W33" i="14"/>
  <c r="V33" i="14"/>
  <c r="U33" i="14"/>
  <c r="T33" i="14"/>
  <c r="S33" i="14"/>
  <c r="R33" i="14"/>
  <c r="Q33" i="14"/>
  <c r="P33" i="14"/>
  <c r="O33" i="14"/>
  <c r="N33" i="14"/>
  <c r="M33" i="14"/>
  <c r="L33" i="14"/>
  <c r="K33" i="14"/>
  <c r="J33" i="14"/>
  <c r="I33" i="14"/>
  <c r="H33" i="14"/>
  <c r="C33" i="14" s="1"/>
  <c r="AE32" i="14"/>
  <c r="AD32" i="14"/>
  <c r="AC32" i="14"/>
  <c r="AB32" i="14"/>
  <c r="AA32" i="14"/>
  <c r="Z32" i="14"/>
  <c r="Y32" i="14"/>
  <c r="X32" i="14"/>
  <c r="W32" i="14"/>
  <c r="V32" i="14"/>
  <c r="U32" i="14"/>
  <c r="T32" i="14"/>
  <c r="S32" i="14"/>
  <c r="R32" i="14"/>
  <c r="Q32" i="14"/>
  <c r="P32" i="14"/>
  <c r="O32" i="14"/>
  <c r="N32" i="14"/>
  <c r="M32" i="14"/>
  <c r="L32" i="14"/>
  <c r="K32" i="14"/>
  <c r="J32" i="14"/>
  <c r="I32" i="14"/>
  <c r="H32" i="14"/>
  <c r="AG30" i="14"/>
  <c r="AG29" i="14"/>
  <c r="E28" i="14"/>
  <c r="C28" i="14"/>
  <c r="B28" i="14"/>
  <c r="E27" i="14"/>
  <c r="C27" i="14"/>
  <c r="B27" i="14"/>
  <c r="AG27" i="14" s="1"/>
  <c r="E26" i="14"/>
  <c r="D26" i="14" s="1"/>
  <c r="C26" i="14"/>
  <c r="B26" i="14"/>
  <c r="AG26" i="14" s="1"/>
  <c r="E25" i="14"/>
  <c r="C25" i="14"/>
  <c r="B25" i="14"/>
  <c r="AG25" i="14" s="1"/>
  <c r="AE24" i="14"/>
  <c r="AD24" i="14"/>
  <c r="AC24" i="14"/>
  <c r="AB24" i="14"/>
  <c r="AA24" i="14"/>
  <c r="Z24" i="14"/>
  <c r="Y24" i="14"/>
  <c r="X24" i="14"/>
  <c r="W24" i="14"/>
  <c r="V24" i="14"/>
  <c r="U24" i="14"/>
  <c r="T24" i="14"/>
  <c r="S24" i="14"/>
  <c r="R24" i="14"/>
  <c r="Q24" i="14"/>
  <c r="P24" i="14"/>
  <c r="O24" i="14"/>
  <c r="N24" i="14"/>
  <c r="M24" i="14"/>
  <c r="L24" i="14"/>
  <c r="K24" i="14"/>
  <c r="J24" i="14"/>
  <c r="I24" i="14"/>
  <c r="H24" i="14"/>
  <c r="AG23" i="14"/>
  <c r="AG22" i="14"/>
  <c r="E21" i="14"/>
  <c r="B21" i="14"/>
  <c r="E20" i="14"/>
  <c r="C20" i="14"/>
  <c r="B20" i="14"/>
  <c r="E19" i="14"/>
  <c r="C19" i="14"/>
  <c r="B19" i="14"/>
  <c r="AE18" i="14"/>
  <c r="AD18" i="14"/>
  <c r="AC18" i="14"/>
  <c r="AB18" i="14"/>
  <c r="AA18" i="14"/>
  <c r="Z18" i="14"/>
  <c r="Y18" i="14"/>
  <c r="X18" i="14"/>
  <c r="W18" i="14"/>
  <c r="V18" i="14"/>
  <c r="U18" i="14"/>
  <c r="T18" i="14"/>
  <c r="S18" i="14"/>
  <c r="R18" i="14"/>
  <c r="Q18" i="14"/>
  <c r="P18" i="14"/>
  <c r="O18" i="14"/>
  <c r="N18" i="14"/>
  <c r="M18" i="14"/>
  <c r="L18" i="14"/>
  <c r="K18" i="14"/>
  <c r="J18" i="14"/>
  <c r="I18" i="14"/>
  <c r="H18" i="14"/>
  <c r="AG17" i="14"/>
  <c r="AE16" i="14"/>
  <c r="AD16" i="14"/>
  <c r="AC16" i="14"/>
  <c r="AB16" i="14"/>
  <c r="AA16" i="14"/>
  <c r="Z16" i="14"/>
  <c r="Y16" i="14"/>
  <c r="X16" i="14"/>
  <c r="W16" i="14"/>
  <c r="V16" i="14"/>
  <c r="U16" i="14"/>
  <c r="T16" i="14"/>
  <c r="S16" i="14"/>
  <c r="R16" i="14"/>
  <c r="Q16" i="14"/>
  <c r="P16" i="14"/>
  <c r="O16" i="14"/>
  <c r="N16" i="14"/>
  <c r="M16" i="14"/>
  <c r="L16" i="14"/>
  <c r="K16" i="14"/>
  <c r="J16" i="14"/>
  <c r="I16" i="14"/>
  <c r="H16" i="14"/>
  <c r="E16" i="14"/>
  <c r="D16" i="14"/>
  <c r="C16" i="14"/>
  <c r="B16" i="14"/>
  <c r="AE15" i="14"/>
  <c r="AD15" i="14"/>
  <c r="AC15" i="14"/>
  <c r="AB15" i="14"/>
  <c r="AA15" i="14"/>
  <c r="Z15" i="14"/>
  <c r="Y15" i="14"/>
  <c r="X15" i="14"/>
  <c r="W15" i="14"/>
  <c r="V15" i="14"/>
  <c r="U15" i="14"/>
  <c r="T15" i="14"/>
  <c r="S15" i="14"/>
  <c r="R15" i="14"/>
  <c r="Q15" i="14"/>
  <c r="P15" i="14"/>
  <c r="O15" i="14"/>
  <c r="N15" i="14"/>
  <c r="M15" i="14"/>
  <c r="L15" i="14"/>
  <c r="K15" i="14"/>
  <c r="J15" i="14"/>
  <c r="I15" i="14"/>
  <c r="H15" i="14"/>
  <c r="AE14" i="14"/>
  <c r="AD14" i="14"/>
  <c r="AC14" i="14"/>
  <c r="AB14" i="14"/>
  <c r="AA14" i="14"/>
  <c r="Z14" i="14"/>
  <c r="Y14" i="14"/>
  <c r="X14" i="14"/>
  <c r="W14" i="14"/>
  <c r="V14" i="14"/>
  <c r="U14" i="14"/>
  <c r="T14" i="14"/>
  <c r="S14" i="14"/>
  <c r="R14" i="14"/>
  <c r="Q14" i="14"/>
  <c r="P14" i="14"/>
  <c r="O14" i="14"/>
  <c r="N14" i="14"/>
  <c r="M14" i="14"/>
  <c r="L14" i="14"/>
  <c r="K14" i="14"/>
  <c r="J14" i="14"/>
  <c r="I14" i="14"/>
  <c r="H14" i="14"/>
  <c r="AE13" i="14"/>
  <c r="AD13" i="14"/>
  <c r="AC13" i="14"/>
  <c r="AB13" i="14"/>
  <c r="AA13" i="14"/>
  <c r="Z13" i="14"/>
  <c r="Y13" i="14"/>
  <c r="X13" i="14"/>
  <c r="W13" i="14"/>
  <c r="V13" i="14"/>
  <c r="U13" i="14"/>
  <c r="T13" i="14"/>
  <c r="S13" i="14"/>
  <c r="R13" i="14"/>
  <c r="Q13" i="14"/>
  <c r="P13" i="14"/>
  <c r="O13" i="14"/>
  <c r="N13" i="14"/>
  <c r="M13" i="14"/>
  <c r="L13" i="14"/>
  <c r="K13" i="14"/>
  <c r="J13" i="14"/>
  <c r="I13" i="14"/>
  <c r="H13" i="14"/>
  <c r="AG11" i="14"/>
  <c r="E137" i="12"/>
  <c r="D137" i="12" s="1"/>
  <c r="C137" i="12"/>
  <c r="B137" i="12"/>
  <c r="AG137" i="12" s="1"/>
  <c r="E136" i="12"/>
  <c r="C136" i="12"/>
  <c r="B136" i="12"/>
  <c r="AG136" i="12" s="1"/>
  <c r="E135" i="12"/>
  <c r="D135" i="12" s="1"/>
  <c r="C135" i="12"/>
  <c r="B135" i="12"/>
  <c r="AG135" i="12" s="1"/>
  <c r="E134" i="12"/>
  <c r="C134" i="12"/>
  <c r="B134"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AG132" i="12"/>
  <c r="E131" i="12"/>
  <c r="D131" i="12" s="1"/>
  <c r="C131" i="12"/>
  <c r="B131" i="12"/>
  <c r="AG131" i="12" s="1"/>
  <c r="E130" i="12"/>
  <c r="C130" i="12"/>
  <c r="B130" i="12"/>
  <c r="AG130" i="12" s="1"/>
  <c r="E129" i="12"/>
  <c r="D129" i="12" s="1"/>
  <c r="C129" i="12"/>
  <c r="B129" i="12"/>
  <c r="AG129" i="12" s="1"/>
  <c r="E128" i="12"/>
  <c r="C128" i="12"/>
  <c r="B128" i="12"/>
  <c r="AG128" i="12" s="1"/>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AG126" i="12"/>
  <c r="E125" i="12"/>
  <c r="D125" i="12" s="1"/>
  <c r="B125" i="12"/>
  <c r="AG125" i="12" s="1"/>
  <c r="E124" i="12"/>
  <c r="B124" i="12"/>
  <c r="AG124" i="12" s="1"/>
  <c r="E123" i="12"/>
  <c r="D123" i="12" s="1"/>
  <c r="B123" i="12"/>
  <c r="AG123" i="12" s="1"/>
  <c r="E122" i="12"/>
  <c r="AH122" i="12" s="1"/>
  <c r="B122" i="12"/>
  <c r="AE121" i="12"/>
  <c r="AD121" i="12"/>
  <c r="AC121" i="12"/>
  <c r="AB121" i="12"/>
  <c r="AA121" i="12"/>
  <c r="Z121" i="12"/>
  <c r="Y121" i="12"/>
  <c r="X121" i="12"/>
  <c r="W121" i="12"/>
  <c r="V121" i="12"/>
  <c r="U121" i="12"/>
  <c r="T121" i="12"/>
  <c r="S121" i="12"/>
  <c r="R121" i="12"/>
  <c r="Q121" i="12"/>
  <c r="P121" i="12"/>
  <c r="O121" i="12"/>
  <c r="N121" i="12"/>
  <c r="M121" i="12"/>
  <c r="L121" i="12"/>
  <c r="K121" i="12"/>
  <c r="J121" i="12"/>
  <c r="I121" i="12"/>
  <c r="H121" i="12"/>
  <c r="AG120" i="12"/>
  <c r="AG119" i="12"/>
  <c r="AG118" i="12"/>
  <c r="E117" i="12"/>
  <c r="D117" i="12" s="1"/>
  <c r="B117" i="12"/>
  <c r="AG117" i="12" s="1"/>
  <c r="E116" i="12"/>
  <c r="B116" i="12"/>
  <c r="AG116" i="12" s="1"/>
  <c r="E114" i="12"/>
  <c r="AH114" i="12" s="1"/>
  <c r="B114" i="12"/>
  <c r="AG114" i="12" s="1"/>
  <c r="AE113" i="12"/>
  <c r="AD113" i="12"/>
  <c r="AC113" i="12"/>
  <c r="AB113" i="12"/>
  <c r="AA113" i="12"/>
  <c r="Z113" i="12"/>
  <c r="Y113" i="12"/>
  <c r="X113" i="12"/>
  <c r="W113" i="12"/>
  <c r="V113" i="12"/>
  <c r="U113" i="12"/>
  <c r="T113" i="12"/>
  <c r="S113" i="12"/>
  <c r="R113" i="12"/>
  <c r="P113" i="12"/>
  <c r="AG112" i="12"/>
  <c r="AG111" i="12"/>
  <c r="AG110" i="12"/>
  <c r="E109" i="12"/>
  <c r="D109" i="12" s="1"/>
  <c r="B109" i="12"/>
  <c r="E108" i="12"/>
  <c r="AH108" i="12" s="1"/>
  <c r="B108" i="12"/>
  <c r="AG108" i="12" s="1"/>
  <c r="E107" i="12"/>
  <c r="D107" i="12" s="1"/>
  <c r="B107" i="12"/>
  <c r="AG107" i="12" s="1"/>
  <c r="AE105" i="12"/>
  <c r="AG104" i="12"/>
  <c r="E103" i="12"/>
  <c r="D103" i="12" s="1"/>
  <c r="C103" i="12"/>
  <c r="B103" i="12"/>
  <c r="AG103" i="12" s="1"/>
  <c r="E102" i="12"/>
  <c r="B102" i="12"/>
  <c r="AG102" i="12" s="1"/>
  <c r="E101" i="12"/>
  <c r="D101" i="12" s="1"/>
  <c r="C101" i="12"/>
  <c r="B101" i="12"/>
  <c r="AG101" i="12" s="1"/>
  <c r="E100" i="12"/>
  <c r="C100" i="12"/>
  <c r="B100" i="12"/>
  <c r="AE99" i="12"/>
  <c r="AD99" i="12"/>
  <c r="AC99" i="12"/>
  <c r="AB99" i="12"/>
  <c r="AA99" i="12"/>
  <c r="Z99" i="12"/>
  <c r="Y99" i="12"/>
  <c r="X99" i="12"/>
  <c r="W99" i="12"/>
  <c r="V99" i="12"/>
  <c r="U99" i="12"/>
  <c r="T99" i="12"/>
  <c r="S99" i="12"/>
  <c r="R99" i="12"/>
  <c r="Q99" i="12"/>
  <c r="P99" i="12"/>
  <c r="O99" i="12"/>
  <c r="N99" i="12"/>
  <c r="M99" i="12"/>
  <c r="L99" i="12"/>
  <c r="K99" i="12"/>
  <c r="J99" i="12"/>
  <c r="I99" i="12"/>
  <c r="H99" i="12"/>
  <c r="AG98" i="12"/>
  <c r="AG97" i="12"/>
  <c r="AG96" i="12"/>
  <c r="AG95" i="12"/>
  <c r="E94" i="12"/>
  <c r="AH94" i="12" s="1"/>
  <c r="C91" i="12"/>
  <c r="B94" i="12"/>
  <c r="AG94" i="12" s="1"/>
  <c r="AG93" i="12"/>
  <c r="AG92" i="12"/>
  <c r="AE91" i="12"/>
  <c r="AD91" i="12"/>
  <c r="AC91" i="12"/>
  <c r="AB91" i="12"/>
  <c r="AA91" i="12"/>
  <c r="Z91" i="12"/>
  <c r="Y91" i="12"/>
  <c r="X91" i="12"/>
  <c r="W91" i="12"/>
  <c r="V91" i="12"/>
  <c r="U91" i="12"/>
  <c r="T91" i="12"/>
  <c r="S91" i="12"/>
  <c r="R91" i="12"/>
  <c r="Q91" i="12"/>
  <c r="P91" i="12"/>
  <c r="O91" i="12"/>
  <c r="N91" i="12"/>
  <c r="M91" i="12"/>
  <c r="L91" i="12"/>
  <c r="K91" i="12"/>
  <c r="J91" i="12"/>
  <c r="I91" i="12"/>
  <c r="H91" i="12"/>
  <c r="AG89" i="12"/>
  <c r="E88" i="12"/>
  <c r="AH88" i="12" s="1"/>
  <c r="C85" i="12"/>
  <c r="B88" i="12"/>
  <c r="AG87" i="12"/>
  <c r="AG86" i="12"/>
  <c r="AE85" i="12"/>
  <c r="AD85" i="12"/>
  <c r="AC85" i="12"/>
  <c r="AB85" i="12"/>
  <c r="AA85" i="12"/>
  <c r="Z85" i="12"/>
  <c r="Y85" i="12"/>
  <c r="X85" i="12"/>
  <c r="W85" i="12"/>
  <c r="V85" i="12"/>
  <c r="U85" i="12"/>
  <c r="T85" i="12"/>
  <c r="S85" i="12"/>
  <c r="R85" i="12"/>
  <c r="Q85" i="12"/>
  <c r="P85" i="12"/>
  <c r="O85" i="12"/>
  <c r="N85" i="12"/>
  <c r="M85" i="12"/>
  <c r="L85" i="12"/>
  <c r="K85" i="12"/>
  <c r="J85" i="12"/>
  <c r="I85" i="12"/>
  <c r="H85" i="12"/>
  <c r="AG84" i="12"/>
  <c r="AE83" i="12"/>
  <c r="AD83" i="12"/>
  <c r="AC83" i="12"/>
  <c r="AB83" i="12"/>
  <c r="AA83" i="12"/>
  <c r="Z83" i="12"/>
  <c r="Y83" i="12"/>
  <c r="X83" i="12"/>
  <c r="W83" i="12"/>
  <c r="V83" i="12"/>
  <c r="U83" i="12"/>
  <c r="T83" i="12"/>
  <c r="S83" i="12"/>
  <c r="R83" i="12"/>
  <c r="Q83" i="12"/>
  <c r="P83" i="12"/>
  <c r="O83" i="12"/>
  <c r="N83" i="12"/>
  <c r="M83" i="12"/>
  <c r="L83" i="12"/>
  <c r="K83" i="12"/>
  <c r="J83" i="12"/>
  <c r="I83" i="12"/>
  <c r="H83" i="12"/>
  <c r="E83" i="12"/>
  <c r="D83" i="12"/>
  <c r="C83" i="12"/>
  <c r="B83" i="12"/>
  <c r="AE82" i="12"/>
  <c r="AD82" i="12"/>
  <c r="AC82" i="12"/>
  <c r="AB82" i="12"/>
  <c r="AA82" i="12"/>
  <c r="Z82" i="12"/>
  <c r="Y82" i="12"/>
  <c r="X82" i="12"/>
  <c r="W82" i="12"/>
  <c r="V82" i="12"/>
  <c r="U82" i="12"/>
  <c r="T82" i="12"/>
  <c r="S82" i="12"/>
  <c r="R82" i="12"/>
  <c r="Q82" i="12"/>
  <c r="P82" i="12"/>
  <c r="O82" i="12"/>
  <c r="N82" i="12"/>
  <c r="M82" i="12"/>
  <c r="L82" i="12"/>
  <c r="K82" i="12"/>
  <c r="J82" i="12"/>
  <c r="I82" i="12"/>
  <c r="H82" i="12"/>
  <c r="AE81" i="12"/>
  <c r="AD81" i="12"/>
  <c r="AC81" i="12"/>
  <c r="AB81" i="12"/>
  <c r="AA81" i="12"/>
  <c r="Z81" i="12"/>
  <c r="Y81" i="12"/>
  <c r="X81" i="12"/>
  <c r="W81" i="12"/>
  <c r="V81" i="12"/>
  <c r="U81" i="12"/>
  <c r="T81" i="12"/>
  <c r="S81" i="12"/>
  <c r="R81" i="12"/>
  <c r="Q81" i="12"/>
  <c r="P81" i="12"/>
  <c r="O81" i="12"/>
  <c r="N81" i="12"/>
  <c r="M81" i="12"/>
  <c r="L81" i="12"/>
  <c r="K81" i="12"/>
  <c r="J81" i="12"/>
  <c r="I81" i="12"/>
  <c r="H81" i="12"/>
  <c r="E81" i="12"/>
  <c r="D81" i="12"/>
  <c r="C81" i="12"/>
  <c r="B81" i="12"/>
  <c r="AE80" i="12"/>
  <c r="AD80" i="12"/>
  <c r="AC80" i="12"/>
  <c r="AB80" i="12"/>
  <c r="AA80" i="12"/>
  <c r="AA79" i="12" s="1"/>
  <c r="Z80" i="12"/>
  <c r="Y80" i="12"/>
  <c r="X80" i="12"/>
  <c r="W80" i="12"/>
  <c r="V80" i="12"/>
  <c r="U80" i="12"/>
  <c r="T80" i="12"/>
  <c r="S80" i="12"/>
  <c r="S79" i="12" s="1"/>
  <c r="R80" i="12"/>
  <c r="Q80" i="12"/>
  <c r="P80" i="12"/>
  <c r="O80" i="12"/>
  <c r="N80" i="12"/>
  <c r="M80" i="12"/>
  <c r="L80" i="12"/>
  <c r="K80" i="12"/>
  <c r="K79" i="12" s="1"/>
  <c r="J80" i="12"/>
  <c r="I80" i="12"/>
  <c r="H80" i="12"/>
  <c r="E80" i="12"/>
  <c r="D80" i="12"/>
  <c r="C80" i="12"/>
  <c r="B80" i="12"/>
  <c r="AG78" i="12"/>
  <c r="E77" i="12"/>
  <c r="D77" i="12" s="1"/>
  <c r="B77" i="12"/>
  <c r="AG77" i="12" s="1"/>
  <c r="J76" i="12"/>
  <c r="AG72" i="12"/>
  <c r="AG71" i="12"/>
  <c r="E70" i="12"/>
  <c r="B67" i="12"/>
  <c r="AG69" i="12"/>
  <c r="AG68" i="12"/>
  <c r="AE67" i="12"/>
  <c r="AD67" i="12"/>
  <c r="AC67" i="12"/>
  <c r="AB67" i="12"/>
  <c r="AA67" i="12"/>
  <c r="Z67" i="12"/>
  <c r="Y67" i="12"/>
  <c r="X67" i="12"/>
  <c r="W67" i="12"/>
  <c r="V67" i="12"/>
  <c r="U67" i="12"/>
  <c r="T67" i="12"/>
  <c r="S67" i="12"/>
  <c r="R67" i="12"/>
  <c r="Q67" i="12"/>
  <c r="P67" i="12"/>
  <c r="O67" i="12"/>
  <c r="N67" i="12"/>
  <c r="M67" i="12"/>
  <c r="L67" i="12"/>
  <c r="K67" i="12"/>
  <c r="J67" i="12"/>
  <c r="I67" i="12"/>
  <c r="H67" i="12"/>
  <c r="C67" i="12"/>
  <c r="AG66" i="12"/>
  <c r="AE65" i="12"/>
  <c r="AD65" i="12"/>
  <c r="AC65" i="12"/>
  <c r="AB65" i="12"/>
  <c r="AA65" i="12"/>
  <c r="Z65" i="12"/>
  <c r="Y65" i="12"/>
  <c r="X65" i="12"/>
  <c r="W65" i="12"/>
  <c r="V65" i="12"/>
  <c r="U65" i="12"/>
  <c r="T65" i="12"/>
  <c r="S65" i="12"/>
  <c r="R65" i="12"/>
  <c r="Q65" i="12"/>
  <c r="P65" i="12"/>
  <c r="O65" i="12"/>
  <c r="N65" i="12"/>
  <c r="M65" i="12"/>
  <c r="L65" i="12"/>
  <c r="K65" i="12"/>
  <c r="J65" i="12"/>
  <c r="I65" i="12"/>
  <c r="H65" i="12"/>
  <c r="E65" i="12"/>
  <c r="D65" i="12"/>
  <c r="B65" i="12"/>
  <c r="AE64" i="12"/>
  <c r="AD64" i="12"/>
  <c r="AC64" i="12"/>
  <c r="AB64" i="12"/>
  <c r="AA64" i="12"/>
  <c r="Z64" i="12"/>
  <c r="Y64" i="12"/>
  <c r="X64" i="12"/>
  <c r="W64" i="12"/>
  <c r="V64" i="12"/>
  <c r="U64" i="12"/>
  <c r="T64" i="12"/>
  <c r="S64" i="12"/>
  <c r="R64" i="12"/>
  <c r="Q64" i="12"/>
  <c r="P64" i="12"/>
  <c r="O64" i="12"/>
  <c r="N64" i="12"/>
  <c r="M64" i="12"/>
  <c r="L64" i="12"/>
  <c r="K64" i="12"/>
  <c r="J64" i="12"/>
  <c r="I64" i="12"/>
  <c r="H64" i="12"/>
  <c r="AE63" i="12"/>
  <c r="AD63" i="12"/>
  <c r="AC63" i="12"/>
  <c r="AB63" i="12"/>
  <c r="AA63" i="12"/>
  <c r="Z63" i="12"/>
  <c r="Y63" i="12"/>
  <c r="X63" i="12"/>
  <c r="W63" i="12"/>
  <c r="V63" i="12"/>
  <c r="U63" i="12"/>
  <c r="T63" i="12"/>
  <c r="S63" i="12"/>
  <c r="R63" i="12"/>
  <c r="Q63" i="12"/>
  <c r="P63" i="12"/>
  <c r="O63" i="12"/>
  <c r="N63" i="12"/>
  <c r="M63" i="12"/>
  <c r="L63" i="12"/>
  <c r="K63" i="12"/>
  <c r="J63" i="12"/>
  <c r="I63" i="12"/>
  <c r="H63" i="12"/>
  <c r="E63" i="12"/>
  <c r="D63" i="12"/>
  <c r="B63" i="12"/>
  <c r="AE62" i="12"/>
  <c r="AD62" i="12"/>
  <c r="AC62" i="12"/>
  <c r="AB62" i="12"/>
  <c r="AA62" i="12"/>
  <c r="Z62" i="12"/>
  <c r="Y62" i="12"/>
  <c r="X62" i="12"/>
  <c r="W62" i="12"/>
  <c r="V62" i="12"/>
  <c r="U62" i="12"/>
  <c r="T62" i="12"/>
  <c r="S62" i="12"/>
  <c r="R62" i="12"/>
  <c r="Q62" i="12"/>
  <c r="P62" i="12"/>
  <c r="O62" i="12"/>
  <c r="N62" i="12"/>
  <c r="M62" i="12"/>
  <c r="L62" i="12"/>
  <c r="K62" i="12"/>
  <c r="J62" i="12"/>
  <c r="I62" i="12"/>
  <c r="H62" i="12"/>
  <c r="E62" i="12"/>
  <c r="D62" i="12"/>
  <c r="B62" i="12"/>
  <c r="AG60" i="12"/>
  <c r="AG56" i="12"/>
  <c r="AE55" i="12"/>
  <c r="AD55" i="12"/>
  <c r="AC55" i="12"/>
  <c r="AB55" i="12"/>
  <c r="AA55" i="12"/>
  <c r="Z55" i="12"/>
  <c r="Y55" i="12"/>
  <c r="X55" i="12"/>
  <c r="W55" i="12"/>
  <c r="V55" i="12"/>
  <c r="U55" i="12"/>
  <c r="T55" i="12"/>
  <c r="S55" i="12"/>
  <c r="R55" i="12"/>
  <c r="Q55" i="12"/>
  <c r="P55" i="12"/>
  <c r="O55" i="12"/>
  <c r="N55" i="12"/>
  <c r="M55" i="12"/>
  <c r="AG54" i="12"/>
  <c r="AG53" i="12"/>
  <c r="E52" i="12"/>
  <c r="C52" i="12"/>
  <c r="B52" i="12"/>
  <c r="AG52" i="12" s="1"/>
  <c r="E51" i="12"/>
  <c r="D51" i="12" s="1"/>
  <c r="C51" i="12"/>
  <c r="B51" i="12"/>
  <c r="AG50" i="12"/>
  <c r="AE49" i="12"/>
  <c r="AD49" i="12"/>
  <c r="AC49" i="12"/>
  <c r="AB49" i="12"/>
  <c r="AA49" i="12"/>
  <c r="Z49" i="12"/>
  <c r="Y49" i="12"/>
  <c r="X49" i="12"/>
  <c r="W49" i="12"/>
  <c r="V49" i="12"/>
  <c r="U49" i="12"/>
  <c r="T49" i="12"/>
  <c r="S49" i="12"/>
  <c r="R49" i="12"/>
  <c r="Q49" i="12"/>
  <c r="P49" i="12"/>
  <c r="O49" i="12"/>
  <c r="N49" i="12"/>
  <c r="M49" i="12"/>
  <c r="L49" i="12"/>
  <c r="K49" i="12"/>
  <c r="J49" i="12"/>
  <c r="I49" i="12"/>
  <c r="H49" i="12"/>
  <c r="AG48" i="12"/>
  <c r="AG47" i="12"/>
  <c r="E46" i="12"/>
  <c r="AH46" i="12" s="1"/>
  <c r="C43" i="12"/>
  <c r="B46" i="12"/>
  <c r="AG45" i="12"/>
  <c r="AG44" i="12"/>
  <c r="AE43" i="12"/>
  <c r="AD43" i="12"/>
  <c r="AC43" i="12"/>
  <c r="AB43" i="12"/>
  <c r="AA43" i="12"/>
  <c r="Z43" i="12"/>
  <c r="Y43" i="12"/>
  <c r="X43" i="12"/>
  <c r="W43" i="12"/>
  <c r="V43" i="12"/>
  <c r="U43" i="12"/>
  <c r="T43" i="12"/>
  <c r="S43" i="12"/>
  <c r="R43" i="12"/>
  <c r="Q43" i="12"/>
  <c r="Q39" i="12" s="1"/>
  <c r="Q37" i="12" s="1"/>
  <c r="P43" i="12"/>
  <c r="O43" i="12"/>
  <c r="N43" i="12"/>
  <c r="M43" i="12"/>
  <c r="L43" i="12"/>
  <c r="K43" i="12"/>
  <c r="J43" i="12"/>
  <c r="I43" i="12"/>
  <c r="H43" i="12"/>
  <c r="AG42" i="12"/>
  <c r="AG41" i="12"/>
  <c r="E40" i="12"/>
  <c r="AH40" i="12" s="1"/>
  <c r="C37" i="12"/>
  <c r="B40" i="12"/>
  <c r="AG39" i="12"/>
  <c r="AG38" i="12"/>
  <c r="AE37" i="12"/>
  <c r="AD37" i="12"/>
  <c r="AC37" i="12"/>
  <c r="AB37" i="12"/>
  <c r="AA37" i="12"/>
  <c r="Z37" i="12"/>
  <c r="Y37" i="12"/>
  <c r="X37" i="12"/>
  <c r="W37" i="12"/>
  <c r="V37" i="12"/>
  <c r="U37" i="12"/>
  <c r="T37" i="12"/>
  <c r="S37" i="12"/>
  <c r="R37" i="12"/>
  <c r="P37" i="12"/>
  <c r="O37" i="12"/>
  <c r="N37" i="12"/>
  <c r="M37" i="12"/>
  <c r="L37" i="12"/>
  <c r="K37" i="12"/>
  <c r="J37" i="12"/>
  <c r="I37" i="12"/>
  <c r="H37" i="12"/>
  <c r="AG36" i="12"/>
  <c r="E34" i="12"/>
  <c r="E33" i="12"/>
  <c r="D33" i="12" s="1"/>
  <c r="E32" i="12"/>
  <c r="E26" i="12" s="1"/>
  <c r="AE31" i="12"/>
  <c r="AD31" i="12"/>
  <c r="AC31" i="12"/>
  <c r="AB31" i="12"/>
  <c r="AA31" i="12"/>
  <c r="Z31" i="12"/>
  <c r="Y31" i="12"/>
  <c r="X31" i="12"/>
  <c r="W31" i="12"/>
  <c r="V31" i="12"/>
  <c r="U31" i="12"/>
  <c r="T31" i="12"/>
  <c r="S31" i="12"/>
  <c r="R31" i="12"/>
  <c r="Q31" i="12"/>
  <c r="O31" i="12"/>
  <c r="N31" i="12"/>
  <c r="M31" i="12"/>
  <c r="L31" i="12"/>
  <c r="K31" i="12"/>
  <c r="J31" i="12"/>
  <c r="I31" i="12"/>
  <c r="AG30" i="12"/>
  <c r="AE29" i="12"/>
  <c r="AD29" i="12"/>
  <c r="AC29" i="12"/>
  <c r="AB29" i="12"/>
  <c r="AA29" i="12"/>
  <c r="Z29" i="12"/>
  <c r="Y29" i="12"/>
  <c r="X29" i="12"/>
  <c r="W29" i="12"/>
  <c r="V29" i="12"/>
  <c r="U29" i="12"/>
  <c r="T29" i="12"/>
  <c r="S29" i="12"/>
  <c r="R29" i="12"/>
  <c r="Q29" i="12"/>
  <c r="P29" i="12"/>
  <c r="O29" i="12"/>
  <c r="N29" i="12"/>
  <c r="M29" i="12"/>
  <c r="L29" i="12"/>
  <c r="E29" i="12"/>
  <c r="D29" i="12"/>
  <c r="B29" i="12"/>
  <c r="AE28" i="12"/>
  <c r="AD28" i="12"/>
  <c r="AC28" i="12"/>
  <c r="AB28" i="12"/>
  <c r="AA28" i="12"/>
  <c r="Z28" i="12"/>
  <c r="Y28" i="12"/>
  <c r="X28" i="12"/>
  <c r="W28" i="12"/>
  <c r="V28" i="12"/>
  <c r="U28" i="12"/>
  <c r="T28" i="12"/>
  <c r="S28" i="12"/>
  <c r="R28" i="12"/>
  <c r="Q28" i="12"/>
  <c r="P28" i="12"/>
  <c r="O28" i="12"/>
  <c r="N28" i="12"/>
  <c r="M28" i="12"/>
  <c r="AE27" i="12"/>
  <c r="AD27" i="12"/>
  <c r="AC27" i="12"/>
  <c r="AB27" i="12"/>
  <c r="AA27" i="12"/>
  <c r="Z27" i="12"/>
  <c r="Y27" i="12"/>
  <c r="X27" i="12"/>
  <c r="W27" i="12"/>
  <c r="V27" i="12"/>
  <c r="U27" i="12"/>
  <c r="T27" i="12"/>
  <c r="S27" i="12"/>
  <c r="R27" i="12"/>
  <c r="P27" i="12"/>
  <c r="O27" i="12"/>
  <c r="N27" i="12"/>
  <c r="M27" i="12"/>
  <c r="L27" i="12"/>
  <c r="AE26" i="12"/>
  <c r="AD26" i="12"/>
  <c r="AC26" i="12"/>
  <c r="AB26" i="12"/>
  <c r="AA26" i="12"/>
  <c r="Z26" i="12"/>
  <c r="Y26" i="12"/>
  <c r="X26" i="12"/>
  <c r="W26" i="12"/>
  <c r="V26" i="12"/>
  <c r="U26" i="12"/>
  <c r="T26" i="12"/>
  <c r="S26" i="12"/>
  <c r="R26" i="12"/>
  <c r="Q26" i="12"/>
  <c r="P26" i="12"/>
  <c r="O26" i="12"/>
  <c r="N26" i="12"/>
  <c r="M26" i="12"/>
  <c r="L26" i="12"/>
  <c r="K26" i="12"/>
  <c r="J26" i="12"/>
  <c r="I26" i="12"/>
  <c r="AG24" i="12"/>
  <c r="AG23" i="12"/>
  <c r="E16" i="12"/>
  <c r="C16" i="12"/>
  <c r="B16" i="12"/>
  <c r="E15" i="12"/>
  <c r="C15" i="12"/>
  <c r="B15" i="12"/>
  <c r="E14" i="12"/>
  <c r="C14" i="12"/>
  <c r="B14" i="12"/>
  <c r="E13" i="12"/>
  <c r="C13" i="12"/>
  <c r="B13" i="12"/>
  <c r="AE12" i="12"/>
  <c r="AD12" i="12"/>
  <c r="AC12" i="12"/>
  <c r="AB12" i="12"/>
  <c r="AA12" i="12"/>
  <c r="Z12" i="12"/>
  <c r="Y12" i="12"/>
  <c r="X12" i="12"/>
  <c r="W12" i="12"/>
  <c r="V12" i="12"/>
  <c r="U12" i="12"/>
  <c r="T12" i="12"/>
  <c r="S12" i="12"/>
  <c r="R12" i="12"/>
  <c r="Q12" i="12"/>
  <c r="P12" i="12"/>
  <c r="O12" i="12"/>
  <c r="N12" i="12"/>
  <c r="M12" i="12"/>
  <c r="L12" i="12"/>
  <c r="K12" i="12"/>
  <c r="J12" i="12"/>
  <c r="I12" i="12"/>
  <c r="H12" i="12"/>
  <c r="AG11" i="12"/>
  <c r="G165" i="11"/>
  <c r="E110" i="11"/>
  <c r="E108" i="11"/>
  <c r="E107" i="11"/>
  <c r="E105" i="11"/>
  <c r="E103" i="11"/>
  <c r="D100" i="11"/>
  <c r="C100" i="11"/>
  <c r="B100" i="11"/>
  <c r="D98" i="11"/>
  <c r="D97" i="11"/>
  <c r="C97" i="11"/>
  <c r="C96" i="11" s="1"/>
  <c r="B97" i="11"/>
  <c r="B96" i="11" s="1"/>
  <c r="AD96" i="11"/>
  <c r="AB96" i="11"/>
  <c r="Z96" i="11"/>
  <c r="X96" i="11"/>
  <c r="V96" i="11"/>
  <c r="T96" i="11"/>
  <c r="R96" i="11"/>
  <c r="N96" i="11"/>
  <c r="L96" i="11"/>
  <c r="J96" i="11"/>
  <c r="I96" i="11"/>
  <c r="H96" i="11"/>
  <c r="C94" i="11"/>
  <c r="B94" i="11"/>
  <c r="D91" i="11"/>
  <c r="C91" i="11"/>
  <c r="B91" i="11"/>
  <c r="AD90" i="11"/>
  <c r="AB90" i="11"/>
  <c r="Z90" i="11"/>
  <c r="X90" i="11"/>
  <c r="V90" i="11"/>
  <c r="T90" i="11"/>
  <c r="R90" i="11"/>
  <c r="N90" i="11"/>
  <c r="L90" i="11"/>
  <c r="J90" i="11"/>
  <c r="I90" i="11"/>
  <c r="H90" i="11"/>
  <c r="D88" i="11"/>
  <c r="C88" i="11"/>
  <c r="C84" i="11" s="1"/>
  <c r="B88" i="11"/>
  <c r="D86" i="11"/>
  <c r="B86" i="11"/>
  <c r="D85" i="11"/>
  <c r="B85" i="11"/>
  <c r="AE84" i="11"/>
  <c r="AD84" i="11"/>
  <c r="AC84" i="11"/>
  <c r="AB84" i="11"/>
  <c r="AA84" i="11"/>
  <c r="Z84" i="11"/>
  <c r="Y84" i="11"/>
  <c r="X84" i="11"/>
  <c r="W84" i="11"/>
  <c r="V84" i="11"/>
  <c r="U84" i="11"/>
  <c r="T84" i="11"/>
  <c r="S84" i="11"/>
  <c r="R84" i="11"/>
  <c r="O84" i="11"/>
  <c r="N84" i="11"/>
  <c r="L84" i="11"/>
  <c r="J84" i="11"/>
  <c r="I84" i="11"/>
  <c r="H84" i="11"/>
  <c r="AE82" i="11"/>
  <c r="AD82" i="11"/>
  <c r="AC82" i="11"/>
  <c r="AB82" i="11"/>
  <c r="AA82" i="11"/>
  <c r="Z82" i="11"/>
  <c r="Y82" i="11"/>
  <c r="X82" i="11"/>
  <c r="W82" i="11"/>
  <c r="V82" i="11"/>
  <c r="U82" i="11"/>
  <c r="T82" i="11"/>
  <c r="R82" i="11"/>
  <c r="Q82" i="11"/>
  <c r="P82" i="11"/>
  <c r="O82" i="11"/>
  <c r="N82" i="11"/>
  <c r="M82" i="11"/>
  <c r="L82" i="11"/>
  <c r="K82" i="11"/>
  <c r="J82" i="11"/>
  <c r="I82" i="11"/>
  <c r="H82" i="11"/>
  <c r="D82" i="11"/>
  <c r="AE81" i="11"/>
  <c r="AD81" i="11"/>
  <c r="AC81" i="11"/>
  <c r="AB81" i="11"/>
  <c r="AA81" i="11"/>
  <c r="Z81" i="11"/>
  <c r="Y81" i="11"/>
  <c r="X81" i="11"/>
  <c r="W81" i="11"/>
  <c r="V81" i="11"/>
  <c r="U81" i="11"/>
  <c r="T81" i="11"/>
  <c r="S81" i="11"/>
  <c r="R81" i="11"/>
  <c r="Q81" i="11"/>
  <c r="N81" i="11"/>
  <c r="M81" i="11"/>
  <c r="L81" i="11"/>
  <c r="K81" i="11"/>
  <c r="J81" i="11"/>
  <c r="AE80" i="11"/>
  <c r="AD80" i="11"/>
  <c r="AC80" i="11"/>
  <c r="AB80" i="11"/>
  <c r="AA80" i="11"/>
  <c r="Z80" i="11"/>
  <c r="Y80" i="11"/>
  <c r="X80" i="11"/>
  <c r="W80" i="11"/>
  <c r="V80" i="11"/>
  <c r="U80" i="11"/>
  <c r="T80" i="11"/>
  <c r="S80" i="11"/>
  <c r="R80" i="11"/>
  <c r="N80" i="11"/>
  <c r="M80" i="11"/>
  <c r="L80" i="11"/>
  <c r="K80" i="11"/>
  <c r="J80" i="11"/>
  <c r="I80" i="11"/>
  <c r="H80" i="11"/>
  <c r="AE79" i="11"/>
  <c r="AD79" i="11"/>
  <c r="AC79" i="11"/>
  <c r="AB79" i="11"/>
  <c r="AA79" i="11"/>
  <c r="Z79" i="11"/>
  <c r="Y79" i="11"/>
  <c r="X79" i="11"/>
  <c r="W79" i="11"/>
  <c r="V79" i="11"/>
  <c r="U79" i="11"/>
  <c r="U78" i="11" s="1"/>
  <c r="U77" i="11" s="1"/>
  <c r="T79" i="11"/>
  <c r="S79" i="11"/>
  <c r="R79" i="11"/>
  <c r="Q79" i="11"/>
  <c r="P79" i="11"/>
  <c r="O79" i="11"/>
  <c r="N79" i="11"/>
  <c r="M79" i="11"/>
  <c r="L79" i="11"/>
  <c r="K79" i="11"/>
  <c r="J79" i="11"/>
  <c r="I79" i="11"/>
  <c r="H79" i="11"/>
  <c r="D79" i="11"/>
  <c r="D74" i="11"/>
  <c r="C74" i="11"/>
  <c r="B74" i="11"/>
  <c r="B73" i="11"/>
  <c r="D72" i="11"/>
  <c r="C72" i="11"/>
  <c r="B72" i="11"/>
  <c r="D71" i="11"/>
  <c r="C71" i="11"/>
  <c r="C70" i="11" s="1"/>
  <c r="B71" i="11"/>
  <c r="AD70" i="11"/>
  <c r="AB70" i="11"/>
  <c r="Z70" i="11"/>
  <c r="X70" i="11"/>
  <c r="V70" i="11"/>
  <c r="T70" i="11"/>
  <c r="R70" i="11"/>
  <c r="P70" i="11"/>
  <c r="L70" i="11"/>
  <c r="J70" i="11"/>
  <c r="I70" i="11"/>
  <c r="H70" i="11"/>
  <c r="D68" i="11"/>
  <c r="C68" i="11"/>
  <c r="B68" i="11"/>
  <c r="D67" i="11"/>
  <c r="B67" i="11"/>
  <c r="D66" i="11"/>
  <c r="C66" i="11"/>
  <c r="B66" i="11"/>
  <c r="D65" i="11"/>
  <c r="C65" i="11"/>
  <c r="B65" i="11"/>
  <c r="AD64" i="11"/>
  <c r="AB64" i="11"/>
  <c r="Z64" i="11"/>
  <c r="X64" i="11"/>
  <c r="V64" i="11"/>
  <c r="T64" i="11"/>
  <c r="R64" i="11"/>
  <c r="P64" i="11"/>
  <c r="N64" i="11"/>
  <c r="L64" i="11"/>
  <c r="J64" i="11"/>
  <c r="H64" i="11"/>
  <c r="AE62" i="11"/>
  <c r="AD62" i="11"/>
  <c r="AC62" i="11"/>
  <c r="AB62" i="11"/>
  <c r="AA62" i="11"/>
  <c r="Z62" i="11"/>
  <c r="Y62" i="11"/>
  <c r="X62" i="11"/>
  <c r="W62" i="11"/>
  <c r="V62" i="11"/>
  <c r="U62" i="11"/>
  <c r="T62" i="11"/>
  <c r="S62" i="11"/>
  <c r="R62" i="11"/>
  <c r="Q62" i="11"/>
  <c r="P62" i="11"/>
  <c r="O62" i="11"/>
  <c r="N62" i="11"/>
  <c r="M62" i="11"/>
  <c r="L62" i="11"/>
  <c r="K62" i="11"/>
  <c r="J62" i="11"/>
  <c r="I62" i="11"/>
  <c r="H62" i="11"/>
  <c r="D62" i="11"/>
  <c r="AE61" i="11"/>
  <c r="AD61" i="11"/>
  <c r="AC61" i="11"/>
  <c r="AB61" i="11"/>
  <c r="AA61" i="11"/>
  <c r="Z61" i="11"/>
  <c r="Y61" i="11"/>
  <c r="X61" i="11"/>
  <c r="W61" i="11"/>
  <c r="V61" i="11"/>
  <c r="U61" i="11"/>
  <c r="T61" i="11"/>
  <c r="S61" i="11"/>
  <c r="S58" i="11" s="1"/>
  <c r="S57" i="11" s="1"/>
  <c r="R61" i="11"/>
  <c r="Q58" i="11"/>
  <c r="Q57" i="11" s="1"/>
  <c r="P61" i="11"/>
  <c r="O61" i="11"/>
  <c r="O58" i="11" s="1"/>
  <c r="O57" i="11" s="1"/>
  <c r="N61" i="11"/>
  <c r="M61" i="11"/>
  <c r="M58" i="11" s="1"/>
  <c r="M57" i="11" s="1"/>
  <c r="L61" i="11"/>
  <c r="J61" i="11"/>
  <c r="I61" i="11"/>
  <c r="H61" i="11"/>
  <c r="AE60" i="11"/>
  <c r="AD60" i="11"/>
  <c r="AC60" i="11"/>
  <c r="AB60" i="11"/>
  <c r="AA60" i="11"/>
  <c r="Z60" i="11"/>
  <c r="Y60" i="11"/>
  <c r="X60" i="11"/>
  <c r="W60" i="11"/>
  <c r="V60" i="11"/>
  <c r="U60" i="11"/>
  <c r="T60" i="11"/>
  <c r="S60" i="11"/>
  <c r="R60" i="11"/>
  <c r="Q60" i="11"/>
  <c r="P60" i="11"/>
  <c r="N60" i="11"/>
  <c r="M60" i="11"/>
  <c r="L60" i="11"/>
  <c r="K60" i="11"/>
  <c r="J60" i="11"/>
  <c r="I60" i="11"/>
  <c r="H60" i="11"/>
  <c r="D60" i="11"/>
  <c r="AE59" i="11"/>
  <c r="AD59" i="11"/>
  <c r="AC59" i="11"/>
  <c r="AB59" i="11"/>
  <c r="AA59" i="11"/>
  <c r="Z59" i="11"/>
  <c r="Y59" i="11"/>
  <c r="X59" i="11"/>
  <c r="W59" i="11"/>
  <c r="V59" i="11"/>
  <c r="U59" i="11"/>
  <c r="T59" i="11"/>
  <c r="S59" i="11"/>
  <c r="R59" i="11"/>
  <c r="Q59" i="11"/>
  <c r="P59" i="11"/>
  <c r="N59" i="11"/>
  <c r="M59" i="11"/>
  <c r="L59" i="11"/>
  <c r="K59" i="11"/>
  <c r="J59" i="11"/>
  <c r="I59" i="11"/>
  <c r="H59" i="11"/>
  <c r="D54" i="11"/>
  <c r="C54" i="11"/>
  <c r="B54" i="11"/>
  <c r="E53" i="11"/>
  <c r="E50" i="11" s="1"/>
  <c r="E49" i="11" s="1"/>
  <c r="D53" i="11"/>
  <c r="C53" i="11"/>
  <c r="B53" i="11"/>
  <c r="D52" i="11"/>
  <c r="C52" i="11"/>
  <c r="B52" i="11"/>
  <c r="D51" i="11"/>
  <c r="C51" i="11"/>
  <c r="B51" i="11"/>
  <c r="AD50" i="11"/>
  <c r="AD49" i="11" s="1"/>
  <c r="AB50" i="11"/>
  <c r="AB49" i="11" s="1"/>
  <c r="Z50" i="11"/>
  <c r="Z49" i="11" s="1"/>
  <c r="X50" i="11"/>
  <c r="X49" i="11" s="1"/>
  <c r="V50" i="11"/>
  <c r="V49" i="11" s="1"/>
  <c r="T50" i="11"/>
  <c r="T49" i="11" s="1"/>
  <c r="R50" i="11"/>
  <c r="R49" i="11" s="1"/>
  <c r="P50" i="11"/>
  <c r="P49" i="11" s="1"/>
  <c r="N50" i="11"/>
  <c r="N49" i="11" s="1"/>
  <c r="L50" i="11"/>
  <c r="L49" i="11" s="1"/>
  <c r="J50" i="11"/>
  <c r="J49" i="11" s="1"/>
  <c r="I50" i="11"/>
  <c r="I49" i="11" s="1"/>
  <c r="H50" i="11"/>
  <c r="H49" i="11" s="1"/>
  <c r="G50" i="11"/>
  <c r="F50" i="11"/>
  <c r="F49" i="11" s="1"/>
  <c r="D48" i="11"/>
  <c r="C48" i="11"/>
  <c r="B48" i="11"/>
  <c r="E47" i="11"/>
  <c r="E44" i="11" s="1"/>
  <c r="E43" i="11" s="1"/>
  <c r="D47" i="11"/>
  <c r="B47" i="11"/>
  <c r="D46" i="11"/>
  <c r="C46" i="11"/>
  <c r="B46" i="11"/>
  <c r="D45" i="11"/>
  <c r="C45" i="11"/>
  <c r="B45" i="11"/>
  <c r="AD44" i="11"/>
  <c r="AD43" i="11" s="1"/>
  <c r="AB44" i="11"/>
  <c r="AB43" i="11" s="1"/>
  <c r="Z44" i="11"/>
  <c r="Z43" i="11" s="1"/>
  <c r="X44" i="11"/>
  <c r="X43" i="11" s="1"/>
  <c r="V44" i="11"/>
  <c r="V43" i="11" s="1"/>
  <c r="L44" i="11"/>
  <c r="L43" i="11" s="1"/>
  <c r="J44" i="11"/>
  <c r="J43" i="11" s="1"/>
  <c r="I44" i="11"/>
  <c r="I43" i="11" s="1"/>
  <c r="H44" i="11"/>
  <c r="H43" i="11" s="1"/>
  <c r="F44" i="11"/>
  <c r="F43" i="11" s="1"/>
  <c r="D28" i="11"/>
  <c r="C28" i="11"/>
  <c r="B28" i="11"/>
  <c r="D26" i="11"/>
  <c r="C26" i="11"/>
  <c r="B26" i="11"/>
  <c r="D25" i="11"/>
  <c r="C25" i="11"/>
  <c r="B25" i="11"/>
  <c r="AD24" i="11"/>
  <c r="AB24" i="11"/>
  <c r="Z24" i="11"/>
  <c r="X24" i="11"/>
  <c r="V24" i="11"/>
  <c r="T24" i="11"/>
  <c r="R24" i="11"/>
  <c r="P24" i="11"/>
  <c r="L24" i="11"/>
  <c r="J24" i="11"/>
  <c r="I24" i="11"/>
  <c r="H24" i="11"/>
  <c r="D22" i="11"/>
  <c r="D20" i="11"/>
  <c r="D19" i="11"/>
  <c r="AD18" i="11"/>
  <c r="AB18" i="11"/>
  <c r="Z18" i="11"/>
  <c r="X18" i="11"/>
  <c r="V18" i="11"/>
  <c r="T18" i="11"/>
  <c r="R18" i="11"/>
  <c r="L18" i="11"/>
  <c r="J18" i="11"/>
  <c r="AE16" i="11"/>
  <c r="AD16" i="11"/>
  <c r="AC16" i="11"/>
  <c r="AB16" i="11"/>
  <c r="AA16" i="11"/>
  <c r="Z16" i="11"/>
  <c r="Y16" i="11"/>
  <c r="X16" i="11"/>
  <c r="V16" i="11"/>
  <c r="U16" i="11"/>
  <c r="T16" i="11"/>
  <c r="S16" i="11"/>
  <c r="R16" i="11"/>
  <c r="Q16" i="11"/>
  <c r="P16" i="11"/>
  <c r="O16" i="11"/>
  <c r="N16" i="11"/>
  <c r="M16" i="11"/>
  <c r="L16" i="11"/>
  <c r="K16" i="11"/>
  <c r="J16" i="11"/>
  <c r="AE15" i="11"/>
  <c r="AD15" i="11"/>
  <c r="AC15" i="11"/>
  <c r="AB15" i="11"/>
  <c r="AA15" i="11"/>
  <c r="Z15" i="11"/>
  <c r="Y15" i="11"/>
  <c r="V15" i="11"/>
  <c r="U15" i="11"/>
  <c r="T15" i="11"/>
  <c r="S15" i="11"/>
  <c r="R15" i="11"/>
  <c r="Q15" i="11"/>
  <c r="P15" i="11"/>
  <c r="O15" i="11"/>
  <c r="O104" i="11" s="1"/>
  <c r="N15" i="11"/>
  <c r="M15" i="11"/>
  <c r="L15" i="11"/>
  <c r="K15" i="11"/>
  <c r="J15" i="11"/>
  <c r="E15" i="11"/>
  <c r="AE14" i="11"/>
  <c r="AD14" i="11"/>
  <c r="AC14" i="11"/>
  <c r="AB14" i="11"/>
  <c r="AA14" i="11"/>
  <c r="Z14" i="11"/>
  <c r="Y14" i="11"/>
  <c r="X14" i="11"/>
  <c r="V14" i="11"/>
  <c r="U14" i="11"/>
  <c r="T14" i="11"/>
  <c r="S14" i="11"/>
  <c r="R14" i="11"/>
  <c r="Q14" i="11"/>
  <c r="P14" i="11"/>
  <c r="O14" i="11"/>
  <c r="N14" i="11"/>
  <c r="M14" i="11"/>
  <c r="L14" i="11"/>
  <c r="K14" i="11"/>
  <c r="J14" i="11"/>
  <c r="AE13" i="11"/>
  <c r="AD13" i="11"/>
  <c r="AC13" i="11"/>
  <c r="AB13" i="11"/>
  <c r="AA13" i="11"/>
  <c r="Z13" i="11"/>
  <c r="Y13" i="11"/>
  <c r="X13" i="11"/>
  <c r="V13" i="11"/>
  <c r="U13" i="11"/>
  <c r="T13" i="11"/>
  <c r="S13" i="11"/>
  <c r="R13" i="11"/>
  <c r="Q13" i="11"/>
  <c r="P13" i="11"/>
  <c r="O13" i="11"/>
  <c r="O102" i="11" s="1"/>
  <c r="N13" i="11"/>
  <c r="M13" i="11"/>
  <c r="L13" i="11"/>
  <c r="K13" i="11"/>
  <c r="J13" i="11"/>
  <c r="G143" i="9"/>
  <c r="G94" i="9"/>
  <c r="F94" i="9"/>
  <c r="AG77" i="9"/>
  <c r="D81" i="9"/>
  <c r="C81" i="9"/>
  <c r="AG76" i="9"/>
  <c r="C80" i="9"/>
  <c r="AG75" i="9"/>
  <c r="AG72" i="9"/>
  <c r="AG70" i="9"/>
  <c r="AG69" i="9"/>
  <c r="AG66" i="9"/>
  <c r="AG65" i="9"/>
  <c r="AG64" i="9"/>
  <c r="AG63" i="9"/>
  <c r="AG58" i="9"/>
  <c r="AG57" i="9"/>
  <c r="AG54" i="9"/>
  <c r="AG52" i="9"/>
  <c r="AG48" i="9"/>
  <c r="AG47" i="9"/>
  <c r="AG46" i="9"/>
  <c r="AG42" i="9"/>
  <c r="AG41" i="9"/>
  <c r="AG39" i="9"/>
  <c r="AG29" i="9"/>
  <c r="AG28" i="9"/>
  <c r="AG27" i="9"/>
  <c r="AG23" i="9"/>
  <c r="AG22" i="9"/>
  <c r="AG21" i="9"/>
  <c r="AG18" i="9"/>
  <c r="AG17" i="9"/>
  <c r="AG16" i="9"/>
  <c r="AE291" i="8"/>
  <c r="AD291" i="8"/>
  <c r="X291" i="8" s="1"/>
  <c r="AC291" i="8"/>
  <c r="AB291" i="8"/>
  <c r="Z291" i="8"/>
  <c r="AE288" i="8"/>
  <c r="AD288" i="8"/>
  <c r="AC288" i="8"/>
  <c r="AB288" i="8"/>
  <c r="AA288" i="8"/>
  <c r="Z288" i="8"/>
  <c r="Y288" i="8"/>
  <c r="X288" i="8"/>
  <c r="W288" i="8"/>
  <c r="V288" i="8"/>
  <c r="U288" i="8"/>
  <c r="T288" i="8"/>
  <c r="S288" i="8"/>
  <c r="R288" i="8"/>
  <c r="Q288" i="8"/>
  <c r="P288" i="8"/>
  <c r="O288" i="8"/>
  <c r="N288" i="8"/>
  <c r="M288" i="8"/>
  <c r="L288" i="8"/>
  <c r="K288" i="8"/>
  <c r="J288" i="8"/>
  <c r="I288" i="8"/>
  <c r="H288" i="8"/>
  <c r="AE285" i="8"/>
  <c r="AD285" i="8"/>
  <c r="AC285" i="8"/>
  <c r="AB285" i="8"/>
  <c r="AA285" i="8"/>
  <c r="Z285" i="8"/>
  <c r="Y285" i="8"/>
  <c r="X285" i="8"/>
  <c r="W285" i="8"/>
  <c r="V285" i="8"/>
  <c r="U285" i="8"/>
  <c r="T285" i="8"/>
  <c r="S285" i="8"/>
  <c r="R285" i="8"/>
  <c r="Q285" i="8"/>
  <c r="P285" i="8"/>
  <c r="O285" i="8"/>
  <c r="N285" i="8"/>
  <c r="M285" i="8"/>
  <c r="L285" i="8"/>
  <c r="K285" i="8"/>
  <c r="J285" i="8"/>
  <c r="I285" i="8"/>
  <c r="H285" i="8"/>
  <c r="AE284" i="8"/>
  <c r="AD284" i="8"/>
  <c r="AC284" i="8"/>
  <c r="AB284" i="8"/>
  <c r="AA284" i="8"/>
  <c r="Z284" i="8"/>
  <c r="Y284" i="8"/>
  <c r="X284" i="8"/>
  <c r="W284" i="8"/>
  <c r="V284" i="8"/>
  <c r="U284" i="8"/>
  <c r="T284" i="8"/>
  <c r="S284" i="8"/>
  <c r="R284" i="8"/>
  <c r="Q284" i="8"/>
  <c r="P284" i="8"/>
  <c r="O284" i="8"/>
  <c r="N284" i="8"/>
  <c r="M284" i="8"/>
  <c r="L284" i="8"/>
  <c r="K284" i="8"/>
  <c r="J284" i="8"/>
  <c r="I284" i="8"/>
  <c r="H284" i="8"/>
  <c r="AE283" i="8"/>
  <c r="AD283" i="8"/>
  <c r="AC283" i="8"/>
  <c r="AB283" i="8"/>
  <c r="AA283" i="8"/>
  <c r="Z283" i="8"/>
  <c r="Y283" i="8"/>
  <c r="X283" i="8"/>
  <c r="W283" i="8"/>
  <c r="V283" i="8"/>
  <c r="U283" i="8"/>
  <c r="T283" i="8"/>
  <c r="S283" i="8"/>
  <c r="R283" i="8"/>
  <c r="Q283" i="8"/>
  <c r="P283" i="8"/>
  <c r="O283" i="8"/>
  <c r="N283" i="8"/>
  <c r="M283" i="8"/>
  <c r="L283" i="8"/>
  <c r="K283" i="8"/>
  <c r="J283" i="8"/>
  <c r="I283" i="8"/>
  <c r="H283" i="8"/>
  <c r="AE282" i="8"/>
  <c r="AD282" i="8"/>
  <c r="AD281" i="8" s="1"/>
  <c r="AC282" i="8"/>
  <c r="AB282" i="8"/>
  <c r="AB281" i="8" s="1"/>
  <c r="AA282" i="8"/>
  <c r="AA281" i="8" s="1"/>
  <c r="Z282" i="8"/>
  <c r="Z281" i="8" s="1"/>
  <c r="Y282" i="8"/>
  <c r="X282" i="8"/>
  <c r="W282" i="8"/>
  <c r="W281" i="8" s="1"/>
  <c r="V282" i="8"/>
  <c r="V281" i="8" s="1"/>
  <c r="U282" i="8"/>
  <c r="T282" i="8"/>
  <c r="T281" i="8" s="1"/>
  <c r="S282" i="8"/>
  <c r="S281" i="8" s="1"/>
  <c r="R282" i="8"/>
  <c r="R281" i="8" s="1"/>
  <c r="Q282" i="8"/>
  <c r="P282" i="8"/>
  <c r="P281" i="8" s="1"/>
  <c r="O282" i="8"/>
  <c r="O281" i="8" s="1"/>
  <c r="N282" i="8"/>
  <c r="M282" i="8"/>
  <c r="L282" i="8"/>
  <c r="L281" i="8" s="1"/>
  <c r="K282" i="8"/>
  <c r="K281" i="8" s="1"/>
  <c r="J282" i="8"/>
  <c r="J281" i="8" s="1"/>
  <c r="I282" i="8"/>
  <c r="H282" i="8"/>
  <c r="H281" i="8" s="1"/>
  <c r="AE281" i="8"/>
  <c r="AE280" i="8"/>
  <c r="AD280" i="8"/>
  <c r="AC280" i="8"/>
  <c r="AB280" i="8"/>
  <c r="AA280" i="8"/>
  <c r="Z280" i="8"/>
  <c r="Y280" i="8"/>
  <c r="X280" i="8"/>
  <c r="W280" i="8"/>
  <c r="V280" i="8"/>
  <c r="U280" i="8"/>
  <c r="T280" i="8"/>
  <c r="S280" i="8"/>
  <c r="R280" i="8"/>
  <c r="Q280" i="8"/>
  <c r="P280" i="8"/>
  <c r="O280" i="8"/>
  <c r="N280" i="8"/>
  <c r="M280" i="8"/>
  <c r="L280" i="8"/>
  <c r="K280" i="8"/>
  <c r="J280" i="8"/>
  <c r="I280" i="8"/>
  <c r="H280" i="8"/>
  <c r="E273" i="8"/>
  <c r="B273" i="8"/>
  <c r="AE270" i="8"/>
  <c r="AD270" i="8"/>
  <c r="AC270" i="8"/>
  <c r="AB270" i="8"/>
  <c r="AA270" i="8"/>
  <c r="Z270" i="8"/>
  <c r="Y270" i="8"/>
  <c r="X270" i="8"/>
  <c r="W270" i="8"/>
  <c r="V270" i="8"/>
  <c r="U270" i="8"/>
  <c r="T270" i="8"/>
  <c r="S270" i="8"/>
  <c r="R270" i="8"/>
  <c r="Q270" i="8"/>
  <c r="P270" i="8"/>
  <c r="O270" i="8"/>
  <c r="N270" i="8"/>
  <c r="M270" i="8"/>
  <c r="L270" i="8"/>
  <c r="K270" i="8"/>
  <c r="J270" i="8"/>
  <c r="I270" i="8"/>
  <c r="H270" i="8"/>
  <c r="E267" i="8"/>
  <c r="C264" i="8"/>
  <c r="B267" i="8"/>
  <c r="AE264" i="8"/>
  <c r="AD264" i="8"/>
  <c r="AC264" i="8"/>
  <c r="AB264" i="8"/>
  <c r="AA264" i="8"/>
  <c r="Z264" i="8"/>
  <c r="Y264" i="8"/>
  <c r="X264" i="8"/>
  <c r="W264" i="8"/>
  <c r="V264" i="8"/>
  <c r="U264" i="8"/>
  <c r="T264" i="8"/>
  <c r="S264" i="8"/>
  <c r="R264" i="8"/>
  <c r="Q264" i="8"/>
  <c r="P264" i="8"/>
  <c r="O264" i="8"/>
  <c r="N264" i="8"/>
  <c r="M264" i="8"/>
  <c r="L264" i="8"/>
  <c r="K264" i="8"/>
  <c r="J264" i="8"/>
  <c r="I264" i="8"/>
  <c r="H264" i="8"/>
  <c r="AE261" i="8"/>
  <c r="AE258" i="8" s="1"/>
  <c r="AD261" i="8"/>
  <c r="AD258" i="8" s="1"/>
  <c r="AC261" i="8"/>
  <c r="AC258" i="8" s="1"/>
  <c r="AB261" i="8"/>
  <c r="AB258" i="8" s="1"/>
  <c r="AA261" i="8"/>
  <c r="AA258" i="8" s="1"/>
  <c r="Z261" i="8"/>
  <c r="Z258" i="8" s="1"/>
  <c r="Y261" i="8"/>
  <c r="Y258" i="8" s="1"/>
  <c r="X261" i="8"/>
  <c r="X258" i="8" s="1"/>
  <c r="W261" i="8"/>
  <c r="W258" i="8" s="1"/>
  <c r="V261" i="8"/>
  <c r="V258" i="8" s="1"/>
  <c r="U261" i="8"/>
  <c r="U258" i="8" s="1"/>
  <c r="T261" i="8"/>
  <c r="T258" i="8" s="1"/>
  <c r="S261" i="8"/>
  <c r="S258" i="8" s="1"/>
  <c r="R261" i="8"/>
  <c r="R258" i="8" s="1"/>
  <c r="Q261" i="8"/>
  <c r="Q258" i="8" s="1"/>
  <c r="P261" i="8"/>
  <c r="P258" i="8" s="1"/>
  <c r="O261" i="8"/>
  <c r="O258" i="8" s="1"/>
  <c r="N261" i="8"/>
  <c r="N258" i="8" s="1"/>
  <c r="M261" i="8"/>
  <c r="M258" i="8" s="1"/>
  <c r="L261" i="8"/>
  <c r="L258" i="8" s="1"/>
  <c r="K261" i="8"/>
  <c r="K258" i="8" s="1"/>
  <c r="J261" i="8"/>
  <c r="J258" i="8" s="1"/>
  <c r="I261" i="8"/>
  <c r="I258" i="8" s="1"/>
  <c r="H261" i="8"/>
  <c r="H258" i="8" s="1"/>
  <c r="E253" i="8"/>
  <c r="C250" i="8"/>
  <c r="B253" i="8"/>
  <c r="AE250" i="8"/>
  <c r="AD250" i="8"/>
  <c r="AC250" i="8"/>
  <c r="AB250" i="8"/>
  <c r="AA250" i="8"/>
  <c r="Z250" i="8"/>
  <c r="Y250" i="8"/>
  <c r="X250" i="8"/>
  <c r="W250" i="8"/>
  <c r="V250" i="8"/>
  <c r="U250" i="8"/>
  <c r="T250" i="8"/>
  <c r="S250" i="8"/>
  <c r="R250" i="8"/>
  <c r="Q250" i="8"/>
  <c r="P250" i="8"/>
  <c r="O250" i="8"/>
  <c r="N250" i="8"/>
  <c r="M250" i="8"/>
  <c r="L250" i="8"/>
  <c r="K250" i="8"/>
  <c r="J250" i="8"/>
  <c r="I250" i="8"/>
  <c r="H250" i="8"/>
  <c r="E246" i="8"/>
  <c r="D246" i="8" s="1"/>
  <c r="C246" i="8"/>
  <c r="C240" i="8" s="1"/>
  <c r="C238" i="8" s="1"/>
  <c r="B246" i="8"/>
  <c r="B244" i="8" s="1"/>
  <c r="AE244" i="8"/>
  <c r="AD244" i="8"/>
  <c r="AC244" i="8"/>
  <c r="AB244" i="8"/>
  <c r="AA244" i="8"/>
  <c r="Z244" i="8"/>
  <c r="Y244" i="8"/>
  <c r="X244" i="8"/>
  <c r="W244" i="8"/>
  <c r="V244" i="8"/>
  <c r="U244" i="8"/>
  <c r="T244" i="8"/>
  <c r="S244" i="8"/>
  <c r="R244" i="8"/>
  <c r="Q244" i="8"/>
  <c r="P244" i="8"/>
  <c r="O244" i="8"/>
  <c r="N244" i="8"/>
  <c r="M244" i="8"/>
  <c r="L244" i="8"/>
  <c r="K244" i="8"/>
  <c r="J244" i="8"/>
  <c r="I244" i="8"/>
  <c r="H244" i="8"/>
  <c r="AE240" i="8"/>
  <c r="AE238" i="8" s="1"/>
  <c r="AD240" i="8"/>
  <c r="AD238" i="8" s="1"/>
  <c r="AC240" i="8"/>
  <c r="AC238" i="8" s="1"/>
  <c r="AB240" i="8"/>
  <c r="AB238" i="8" s="1"/>
  <c r="AA240" i="8"/>
  <c r="AA238" i="8" s="1"/>
  <c r="Z240" i="8"/>
  <c r="Z238" i="8" s="1"/>
  <c r="Y240" i="8"/>
  <c r="Y238" i="8" s="1"/>
  <c r="X240" i="8"/>
  <c r="X238" i="8" s="1"/>
  <c r="W240" i="8"/>
  <c r="W238" i="8" s="1"/>
  <c r="V240" i="8"/>
  <c r="V238" i="8" s="1"/>
  <c r="U240" i="8"/>
  <c r="U238" i="8" s="1"/>
  <c r="T240" i="8"/>
  <c r="T238" i="8" s="1"/>
  <c r="S240" i="8"/>
  <c r="S238" i="8" s="1"/>
  <c r="R240" i="8"/>
  <c r="R238" i="8" s="1"/>
  <c r="Q240" i="8"/>
  <c r="Q238" i="8" s="1"/>
  <c r="P240" i="8"/>
  <c r="P238" i="8" s="1"/>
  <c r="O240" i="8"/>
  <c r="O238" i="8" s="1"/>
  <c r="N240" i="8"/>
  <c r="N238" i="8" s="1"/>
  <c r="M240" i="8"/>
  <c r="M238" i="8" s="1"/>
  <c r="L240" i="8"/>
  <c r="L238" i="8" s="1"/>
  <c r="K240" i="8"/>
  <c r="K238" i="8" s="1"/>
  <c r="J240" i="8"/>
  <c r="J238" i="8" s="1"/>
  <c r="I240" i="8"/>
  <c r="I238" i="8" s="1"/>
  <c r="H240" i="8"/>
  <c r="H238" i="8" s="1"/>
  <c r="E235" i="8"/>
  <c r="C232" i="8"/>
  <c r="B235" i="8"/>
  <c r="AE232" i="8"/>
  <c r="AD232" i="8"/>
  <c r="AC232" i="8"/>
  <c r="AB232" i="8"/>
  <c r="AA232" i="8"/>
  <c r="Z232" i="8"/>
  <c r="Y232" i="8"/>
  <c r="X232" i="8"/>
  <c r="W232" i="8"/>
  <c r="V232" i="8"/>
  <c r="U232" i="8"/>
  <c r="T232" i="8"/>
  <c r="S232" i="8"/>
  <c r="R232" i="8"/>
  <c r="Q232" i="8"/>
  <c r="P232" i="8"/>
  <c r="O232" i="8"/>
  <c r="N232" i="8"/>
  <c r="M232" i="8"/>
  <c r="L232" i="8"/>
  <c r="K232" i="8"/>
  <c r="J232" i="8"/>
  <c r="I232" i="8"/>
  <c r="H232" i="8"/>
  <c r="E229" i="8"/>
  <c r="C226" i="8"/>
  <c r="B229" i="8"/>
  <c r="AE226" i="8"/>
  <c r="AD226" i="8"/>
  <c r="AC226" i="8"/>
  <c r="AB226" i="8"/>
  <c r="AA226" i="8"/>
  <c r="Z226" i="8"/>
  <c r="Y226" i="8"/>
  <c r="X226" i="8"/>
  <c r="W226" i="8"/>
  <c r="V226" i="8"/>
  <c r="U226" i="8"/>
  <c r="T226" i="8"/>
  <c r="S226" i="8"/>
  <c r="R226" i="8"/>
  <c r="Q226" i="8"/>
  <c r="P226" i="8"/>
  <c r="O226" i="8"/>
  <c r="N226" i="8"/>
  <c r="M226" i="8"/>
  <c r="L226" i="8"/>
  <c r="K226" i="8"/>
  <c r="J226" i="8"/>
  <c r="I226" i="8"/>
  <c r="H226" i="8"/>
  <c r="AE223" i="8"/>
  <c r="AE220" i="8" s="1"/>
  <c r="AD223" i="8"/>
  <c r="AD220" i="8" s="1"/>
  <c r="AC223" i="8"/>
  <c r="AC220" i="8" s="1"/>
  <c r="AB223" i="8"/>
  <c r="AB220" i="8" s="1"/>
  <c r="AA223" i="8"/>
  <c r="AA220" i="8" s="1"/>
  <c r="Z223" i="8"/>
  <c r="Z220" i="8" s="1"/>
  <c r="Y223" i="8"/>
  <c r="Y220" i="8" s="1"/>
  <c r="X223" i="8"/>
  <c r="X220" i="8" s="1"/>
  <c r="W223" i="8"/>
  <c r="W220" i="8" s="1"/>
  <c r="V223" i="8"/>
  <c r="V220" i="8" s="1"/>
  <c r="U223" i="8"/>
  <c r="U220" i="8" s="1"/>
  <c r="T223" i="8"/>
  <c r="T220" i="8" s="1"/>
  <c r="S223" i="8"/>
  <c r="S220" i="8" s="1"/>
  <c r="R223" i="8"/>
  <c r="R220" i="8" s="1"/>
  <c r="Q223" i="8"/>
  <c r="Q220" i="8" s="1"/>
  <c r="P223" i="8"/>
  <c r="P220" i="8" s="1"/>
  <c r="O223" i="8"/>
  <c r="O220" i="8" s="1"/>
  <c r="N223" i="8"/>
  <c r="N220" i="8" s="1"/>
  <c r="M223" i="8"/>
  <c r="M220" i="8" s="1"/>
  <c r="L223" i="8"/>
  <c r="L220" i="8" s="1"/>
  <c r="K223" i="8"/>
  <c r="K220" i="8" s="1"/>
  <c r="J223" i="8"/>
  <c r="J220" i="8" s="1"/>
  <c r="I223" i="8"/>
  <c r="I220" i="8" s="1"/>
  <c r="H223" i="8"/>
  <c r="H220" i="8" s="1"/>
  <c r="E215" i="8"/>
  <c r="C215" i="8"/>
  <c r="C212" i="8" s="1"/>
  <c r="B215" i="8"/>
  <c r="AE212" i="8"/>
  <c r="AD212" i="8"/>
  <c r="AC212" i="8"/>
  <c r="AB212" i="8"/>
  <c r="AA212" i="8"/>
  <c r="Z212" i="8"/>
  <c r="Y212" i="8"/>
  <c r="X212" i="8"/>
  <c r="W212" i="8"/>
  <c r="V212" i="8"/>
  <c r="U212" i="8"/>
  <c r="T212" i="8"/>
  <c r="S212" i="8"/>
  <c r="R212" i="8"/>
  <c r="Q212" i="8"/>
  <c r="P212" i="8"/>
  <c r="O212" i="8"/>
  <c r="N212" i="8"/>
  <c r="M212" i="8"/>
  <c r="L212" i="8"/>
  <c r="K212" i="8"/>
  <c r="J212" i="8"/>
  <c r="I212" i="8"/>
  <c r="H212" i="8"/>
  <c r="H209" i="8"/>
  <c r="B209" i="8" s="1"/>
  <c r="E209" i="8"/>
  <c r="D209" i="8" s="1"/>
  <c r="D206" i="8" s="1"/>
  <c r="AE206" i="8"/>
  <c r="AD206" i="8"/>
  <c r="AC206" i="8"/>
  <c r="AB206" i="8"/>
  <c r="AA206" i="8"/>
  <c r="Z206" i="8"/>
  <c r="Y206" i="8"/>
  <c r="X206" i="8"/>
  <c r="W206" i="8"/>
  <c r="V206" i="8"/>
  <c r="U206" i="8"/>
  <c r="T206" i="8"/>
  <c r="S206" i="8"/>
  <c r="R206" i="8"/>
  <c r="Q206" i="8"/>
  <c r="P206" i="8"/>
  <c r="O206" i="8"/>
  <c r="N206" i="8"/>
  <c r="M206" i="8"/>
  <c r="L206" i="8"/>
  <c r="K206" i="8"/>
  <c r="J206" i="8"/>
  <c r="I206" i="8"/>
  <c r="E203" i="8"/>
  <c r="D203" i="8" s="1"/>
  <c r="D200" i="8" s="1"/>
  <c r="C200" i="8"/>
  <c r="B203" i="8"/>
  <c r="AE200" i="8"/>
  <c r="AD200" i="8"/>
  <c r="AC200" i="8"/>
  <c r="AB200" i="8"/>
  <c r="AA200" i="8"/>
  <c r="Z200" i="8"/>
  <c r="Y200" i="8"/>
  <c r="X200" i="8"/>
  <c r="W200" i="8"/>
  <c r="V200" i="8"/>
  <c r="U200" i="8"/>
  <c r="T200" i="8"/>
  <c r="S200" i="8"/>
  <c r="R200" i="8"/>
  <c r="Q200" i="8"/>
  <c r="P200" i="8"/>
  <c r="O200" i="8"/>
  <c r="N200" i="8"/>
  <c r="M200" i="8"/>
  <c r="L200" i="8"/>
  <c r="K200" i="8"/>
  <c r="J200" i="8"/>
  <c r="I200" i="8"/>
  <c r="H200" i="8"/>
  <c r="E197" i="8"/>
  <c r="D197" i="8" s="1"/>
  <c r="D194" i="8" s="1"/>
  <c r="C197" i="8"/>
  <c r="C194" i="8" s="1"/>
  <c r="B197" i="8"/>
  <c r="B194" i="8" s="1"/>
  <c r="AE194" i="8"/>
  <c r="AD194" i="8"/>
  <c r="AC194" i="8"/>
  <c r="AB194" i="8"/>
  <c r="AA194" i="8"/>
  <c r="Z194" i="8"/>
  <c r="Y194" i="8"/>
  <c r="X194" i="8"/>
  <c r="W194" i="8"/>
  <c r="V194" i="8"/>
  <c r="U194" i="8"/>
  <c r="T194" i="8"/>
  <c r="S194" i="8"/>
  <c r="R194" i="8"/>
  <c r="Q194" i="8"/>
  <c r="P194" i="8"/>
  <c r="O194" i="8"/>
  <c r="N194" i="8"/>
  <c r="M194" i="8"/>
  <c r="L194" i="8"/>
  <c r="K194" i="8"/>
  <c r="J194" i="8"/>
  <c r="I194" i="8"/>
  <c r="H194" i="8"/>
  <c r="B192" i="8"/>
  <c r="E191" i="8"/>
  <c r="B191" i="8"/>
  <c r="AE188" i="8"/>
  <c r="AD188" i="8"/>
  <c r="AC188" i="8"/>
  <c r="AB188" i="8"/>
  <c r="AA188" i="8"/>
  <c r="Z188" i="8"/>
  <c r="Y188" i="8"/>
  <c r="X188" i="8"/>
  <c r="W188" i="8"/>
  <c r="V188" i="8"/>
  <c r="U188" i="8"/>
  <c r="T188" i="8"/>
  <c r="S188" i="8"/>
  <c r="R188" i="8"/>
  <c r="Q188" i="8"/>
  <c r="P188" i="8"/>
  <c r="O188" i="8"/>
  <c r="N188" i="8"/>
  <c r="M188" i="8"/>
  <c r="L188" i="8"/>
  <c r="K188" i="8"/>
  <c r="J188" i="8"/>
  <c r="I188" i="8"/>
  <c r="H188" i="8"/>
  <c r="AE186" i="8"/>
  <c r="AD186" i="8"/>
  <c r="AC186" i="8"/>
  <c r="AB186" i="8"/>
  <c r="AA186" i="8"/>
  <c r="Z186" i="8"/>
  <c r="Y186" i="8"/>
  <c r="X186" i="8"/>
  <c r="W186" i="8"/>
  <c r="V186" i="8"/>
  <c r="U186" i="8"/>
  <c r="T186" i="8"/>
  <c r="S186" i="8"/>
  <c r="R186" i="8"/>
  <c r="Q186" i="8"/>
  <c r="P186" i="8"/>
  <c r="O186" i="8"/>
  <c r="N186" i="8"/>
  <c r="M186" i="8"/>
  <c r="L186" i="8"/>
  <c r="K186" i="8"/>
  <c r="J186" i="8"/>
  <c r="I186" i="8"/>
  <c r="H186" i="8"/>
  <c r="AE185" i="8"/>
  <c r="AE182" i="8" s="1"/>
  <c r="AD185" i="8"/>
  <c r="AD182" i="8" s="1"/>
  <c r="AC185" i="8"/>
  <c r="AB185" i="8"/>
  <c r="AB182" i="8" s="1"/>
  <c r="AA185" i="8"/>
  <c r="AA182" i="8" s="1"/>
  <c r="Z185" i="8"/>
  <c r="Z182" i="8" s="1"/>
  <c r="Y185" i="8"/>
  <c r="Y182" i="8" s="1"/>
  <c r="X185" i="8"/>
  <c r="X182" i="8" s="1"/>
  <c r="W185" i="8"/>
  <c r="W182" i="8" s="1"/>
  <c r="V185" i="8"/>
  <c r="V182" i="8" s="1"/>
  <c r="U185" i="8"/>
  <c r="U182" i="8" s="1"/>
  <c r="T185" i="8"/>
  <c r="T182" i="8" s="1"/>
  <c r="S185" i="8"/>
  <c r="S182" i="8" s="1"/>
  <c r="R185" i="8"/>
  <c r="R182" i="8" s="1"/>
  <c r="Q185" i="8"/>
  <c r="Q182" i="8" s="1"/>
  <c r="P185" i="8"/>
  <c r="P182" i="8" s="1"/>
  <c r="O185" i="8"/>
  <c r="O182" i="8" s="1"/>
  <c r="N185" i="8"/>
  <c r="N182" i="8" s="1"/>
  <c r="M185" i="8"/>
  <c r="M182" i="8" s="1"/>
  <c r="L185" i="8"/>
  <c r="L182" i="8" s="1"/>
  <c r="K185" i="8"/>
  <c r="K182" i="8" s="1"/>
  <c r="J185" i="8"/>
  <c r="J182" i="8" s="1"/>
  <c r="I185" i="8"/>
  <c r="I182" i="8" s="1"/>
  <c r="H185" i="8"/>
  <c r="H182" i="8" s="1"/>
  <c r="AC182" i="8"/>
  <c r="E180" i="8"/>
  <c r="E149" i="8" s="1"/>
  <c r="C180" i="8"/>
  <c r="C149" i="8" s="1"/>
  <c r="B180" i="8"/>
  <c r="E179" i="8"/>
  <c r="C179" i="8"/>
  <c r="C148" i="8" s="1"/>
  <c r="C145" i="8" s="1"/>
  <c r="B179" i="8"/>
  <c r="E178" i="8"/>
  <c r="C178" i="8"/>
  <c r="B178" i="8"/>
  <c r="AD290" i="8"/>
  <c r="Z290" i="8"/>
  <c r="V290" i="8"/>
  <c r="R290" i="8"/>
  <c r="N290" i="8"/>
  <c r="J290" i="8"/>
  <c r="AE289" i="8"/>
  <c r="W289" i="8"/>
  <c r="O289" i="8"/>
  <c r="AD287" i="8"/>
  <c r="AC287" i="8"/>
  <c r="Z287" i="8"/>
  <c r="U287" i="8"/>
  <c r="R287" i="8"/>
  <c r="N287" i="8"/>
  <c r="K127" i="8"/>
  <c r="K124" i="8" s="1"/>
  <c r="J287" i="8"/>
  <c r="AA127" i="8"/>
  <c r="AA124" i="8" s="1"/>
  <c r="B128" i="8"/>
  <c r="E122" i="8"/>
  <c r="D122" i="8" s="1"/>
  <c r="C122" i="8"/>
  <c r="B122" i="8"/>
  <c r="E121" i="8"/>
  <c r="C121" i="8"/>
  <c r="B121" i="8"/>
  <c r="E120" i="8"/>
  <c r="D120" i="8" s="1"/>
  <c r="C120" i="8"/>
  <c r="B120" i="8"/>
  <c r="E119" i="8"/>
  <c r="C119" i="8"/>
  <c r="B119" i="8"/>
  <c r="AE118" i="8"/>
  <c r="AD118" i="8"/>
  <c r="AC118" i="8"/>
  <c r="AB118" i="8"/>
  <c r="AA118" i="8"/>
  <c r="Z118" i="8"/>
  <c r="Y118" i="8"/>
  <c r="X118" i="8"/>
  <c r="W118" i="8"/>
  <c r="V118" i="8"/>
  <c r="U118" i="8"/>
  <c r="T118" i="8"/>
  <c r="S118" i="8"/>
  <c r="R118" i="8"/>
  <c r="Q118" i="8"/>
  <c r="P118" i="8"/>
  <c r="O118" i="8"/>
  <c r="N118" i="8"/>
  <c r="M118" i="8"/>
  <c r="L118" i="8"/>
  <c r="K118" i="8"/>
  <c r="J118" i="8"/>
  <c r="I118" i="8"/>
  <c r="H118" i="8"/>
  <c r="E116" i="8"/>
  <c r="D116" i="8" s="1"/>
  <c r="C116" i="8"/>
  <c r="B116" i="8"/>
  <c r="E115" i="8"/>
  <c r="B115" i="8"/>
  <c r="E114" i="8"/>
  <c r="D114" i="8" s="1"/>
  <c r="C114" i="8"/>
  <c r="B114" i="8"/>
  <c r="E113" i="8"/>
  <c r="C113" i="8"/>
  <c r="B113" i="8"/>
  <c r="AE112" i="8"/>
  <c r="AD112" i="8"/>
  <c r="AC112" i="8"/>
  <c r="AB112" i="8"/>
  <c r="AA112" i="8"/>
  <c r="Z112" i="8"/>
  <c r="Y112" i="8"/>
  <c r="X112" i="8"/>
  <c r="W112" i="8"/>
  <c r="V112" i="8"/>
  <c r="U112" i="8"/>
  <c r="T112" i="8"/>
  <c r="S112" i="8"/>
  <c r="R112" i="8"/>
  <c r="Q112" i="8"/>
  <c r="P112" i="8"/>
  <c r="O112" i="8"/>
  <c r="N112" i="8"/>
  <c r="M112" i="8"/>
  <c r="L112" i="8"/>
  <c r="K112" i="8"/>
  <c r="J112" i="8"/>
  <c r="I112" i="8"/>
  <c r="H112" i="8"/>
  <c r="E109" i="8"/>
  <c r="B109" i="8"/>
  <c r="AE106" i="8"/>
  <c r="AD106" i="8"/>
  <c r="AC106" i="8"/>
  <c r="AB106" i="8"/>
  <c r="AA106" i="8"/>
  <c r="Z106" i="8"/>
  <c r="Y106" i="8"/>
  <c r="X106" i="8"/>
  <c r="W106" i="8"/>
  <c r="V106" i="8"/>
  <c r="U106" i="8"/>
  <c r="T106" i="8"/>
  <c r="S106" i="8"/>
  <c r="R106" i="8"/>
  <c r="Q106" i="8"/>
  <c r="P106" i="8"/>
  <c r="O106" i="8"/>
  <c r="N106" i="8"/>
  <c r="M106" i="8"/>
  <c r="L106" i="8"/>
  <c r="K106" i="8"/>
  <c r="J106" i="8"/>
  <c r="I106" i="8"/>
  <c r="H106" i="8"/>
  <c r="AE104" i="8"/>
  <c r="AD104" i="8"/>
  <c r="AC104" i="8"/>
  <c r="AB104" i="8"/>
  <c r="AA104" i="8"/>
  <c r="Z104" i="8"/>
  <c r="Y104" i="8"/>
  <c r="X104" i="8"/>
  <c r="W104" i="8"/>
  <c r="V104" i="8"/>
  <c r="U104" i="8"/>
  <c r="T104" i="8"/>
  <c r="S104" i="8"/>
  <c r="R104" i="8"/>
  <c r="Q104" i="8"/>
  <c r="P104" i="8"/>
  <c r="O104" i="8"/>
  <c r="N104" i="8"/>
  <c r="M104" i="8"/>
  <c r="L104" i="8"/>
  <c r="K104" i="8"/>
  <c r="J104" i="8"/>
  <c r="I104" i="8"/>
  <c r="H104" i="8"/>
  <c r="AE103" i="8"/>
  <c r="AE100" i="8" s="1"/>
  <c r="AD103" i="8"/>
  <c r="AD100" i="8" s="1"/>
  <c r="AC103" i="8"/>
  <c r="AC100" i="8" s="1"/>
  <c r="AB103" i="8"/>
  <c r="AB100" i="8" s="1"/>
  <c r="AA103" i="8"/>
  <c r="AA100" i="8" s="1"/>
  <c r="Z103" i="8"/>
  <c r="Z100" i="8" s="1"/>
  <c r="Y103" i="8"/>
  <c r="X103" i="8"/>
  <c r="X100" i="8" s="1"/>
  <c r="W103" i="8"/>
  <c r="W100" i="8" s="1"/>
  <c r="V103" i="8"/>
  <c r="V100" i="8" s="1"/>
  <c r="U103" i="8"/>
  <c r="U100" i="8" s="1"/>
  <c r="T103" i="8"/>
  <c r="T100" i="8" s="1"/>
  <c r="S103" i="8"/>
  <c r="S100" i="8" s="1"/>
  <c r="R103" i="8"/>
  <c r="R100" i="8" s="1"/>
  <c r="Q103" i="8"/>
  <c r="Q100" i="8" s="1"/>
  <c r="P103" i="8"/>
  <c r="P100" i="8" s="1"/>
  <c r="O103" i="8"/>
  <c r="O100" i="8" s="1"/>
  <c r="N103" i="8"/>
  <c r="N100" i="8" s="1"/>
  <c r="M103" i="8"/>
  <c r="M100" i="8" s="1"/>
  <c r="L103" i="8"/>
  <c r="L100" i="8" s="1"/>
  <c r="K103" i="8"/>
  <c r="K100" i="8" s="1"/>
  <c r="J103" i="8"/>
  <c r="J100" i="8" s="1"/>
  <c r="I103" i="8"/>
  <c r="I100" i="8" s="1"/>
  <c r="H103" i="8"/>
  <c r="H100" i="8" s="1"/>
  <c r="Y100" i="8"/>
  <c r="E97" i="8"/>
  <c r="D97" i="8" s="1"/>
  <c r="D94" i="8" s="1"/>
  <c r="C94" i="8"/>
  <c r="B97" i="8"/>
  <c r="B94" i="8" s="1"/>
  <c r="AE94" i="8"/>
  <c r="AD94" i="8"/>
  <c r="AC94" i="8"/>
  <c r="AB94" i="8"/>
  <c r="AA94" i="8"/>
  <c r="Z94" i="8"/>
  <c r="Y94" i="8"/>
  <c r="X94" i="8"/>
  <c r="W94" i="8"/>
  <c r="V94" i="8"/>
  <c r="U94" i="8"/>
  <c r="T94" i="8"/>
  <c r="S94" i="8"/>
  <c r="R94" i="8"/>
  <c r="Q94" i="8"/>
  <c r="P94" i="8"/>
  <c r="O94" i="8"/>
  <c r="N94" i="8"/>
  <c r="M94" i="8"/>
  <c r="L94" i="8"/>
  <c r="K94" i="8"/>
  <c r="J94" i="8"/>
  <c r="I94" i="8"/>
  <c r="H94" i="8"/>
  <c r="E91" i="8"/>
  <c r="D91" i="8" s="1"/>
  <c r="D88" i="8" s="1"/>
  <c r="C88" i="8"/>
  <c r="B91" i="8"/>
  <c r="AE88" i="8"/>
  <c r="AD88" i="8"/>
  <c r="AC88" i="8"/>
  <c r="AB88" i="8"/>
  <c r="AA88" i="8"/>
  <c r="Z88" i="8"/>
  <c r="Y88" i="8"/>
  <c r="X88" i="8"/>
  <c r="W88" i="8"/>
  <c r="V88" i="8"/>
  <c r="U88" i="8"/>
  <c r="T88" i="8"/>
  <c r="S88" i="8"/>
  <c r="R88" i="8"/>
  <c r="Q88" i="8"/>
  <c r="P88" i="8"/>
  <c r="O88" i="8"/>
  <c r="N88" i="8"/>
  <c r="M88" i="8"/>
  <c r="L88" i="8"/>
  <c r="K88" i="8"/>
  <c r="J88" i="8"/>
  <c r="I88" i="8"/>
  <c r="H88" i="8"/>
  <c r="E85" i="8"/>
  <c r="D85" i="8" s="1"/>
  <c r="D82" i="8" s="1"/>
  <c r="C82" i="8"/>
  <c r="B85" i="8"/>
  <c r="B82" i="8" s="1"/>
  <c r="AE82" i="8"/>
  <c r="AD82" i="8"/>
  <c r="AC82" i="8"/>
  <c r="AB82" i="8"/>
  <c r="AA82" i="8"/>
  <c r="Z82" i="8"/>
  <c r="Y82" i="8"/>
  <c r="X82" i="8"/>
  <c r="W82" i="8"/>
  <c r="V82" i="8"/>
  <c r="U82" i="8"/>
  <c r="T82" i="8"/>
  <c r="S82" i="8"/>
  <c r="R82" i="8"/>
  <c r="Q82" i="8"/>
  <c r="P82" i="8"/>
  <c r="O82" i="8"/>
  <c r="N82" i="8"/>
  <c r="M82" i="8"/>
  <c r="L82" i="8"/>
  <c r="K82" i="8"/>
  <c r="J82" i="8"/>
  <c r="I82" i="8"/>
  <c r="H82" i="8"/>
  <c r="E79" i="8"/>
  <c r="D79" i="8" s="1"/>
  <c r="D76" i="8" s="1"/>
  <c r="C79" i="8"/>
  <c r="C76" i="8" s="1"/>
  <c r="B79" i="8"/>
  <c r="AE76" i="8"/>
  <c r="AD76" i="8"/>
  <c r="AC76" i="8"/>
  <c r="AB76" i="8"/>
  <c r="AA76" i="8"/>
  <c r="Z76" i="8"/>
  <c r="Y76" i="8"/>
  <c r="X76" i="8"/>
  <c r="W76" i="8"/>
  <c r="V76" i="8"/>
  <c r="U76" i="8"/>
  <c r="T76" i="8"/>
  <c r="S76" i="8"/>
  <c r="R76" i="8"/>
  <c r="Q76" i="8"/>
  <c r="P76" i="8"/>
  <c r="O76" i="8"/>
  <c r="N76" i="8"/>
  <c r="M76" i="8"/>
  <c r="L76" i="8"/>
  <c r="K76" i="8"/>
  <c r="J76" i="8"/>
  <c r="I76" i="8"/>
  <c r="H76" i="8"/>
  <c r="E73" i="8"/>
  <c r="D73" i="8" s="1"/>
  <c r="D70" i="8" s="1"/>
  <c r="C73" i="8"/>
  <c r="C70" i="8" s="1"/>
  <c r="B73" i="8"/>
  <c r="B70" i="8" s="1"/>
  <c r="AE70" i="8"/>
  <c r="AD70" i="8"/>
  <c r="AC70" i="8"/>
  <c r="AB70" i="8"/>
  <c r="AA70" i="8"/>
  <c r="Z70" i="8"/>
  <c r="Y70" i="8"/>
  <c r="X70" i="8"/>
  <c r="W70" i="8"/>
  <c r="V70" i="8"/>
  <c r="U70" i="8"/>
  <c r="T70" i="8"/>
  <c r="S70" i="8"/>
  <c r="R70" i="8"/>
  <c r="Q70" i="8"/>
  <c r="P70" i="8"/>
  <c r="O70" i="8"/>
  <c r="N70" i="8"/>
  <c r="M70" i="8"/>
  <c r="L70" i="8"/>
  <c r="K70" i="8"/>
  <c r="J70" i="8"/>
  <c r="I70" i="8"/>
  <c r="H70" i="8"/>
  <c r="AE67" i="8"/>
  <c r="AE64" i="8" s="1"/>
  <c r="AD67" i="8"/>
  <c r="AD64" i="8" s="1"/>
  <c r="AC67" i="8"/>
  <c r="AB67" i="8"/>
  <c r="AB64" i="8" s="1"/>
  <c r="AA67" i="8"/>
  <c r="AA64" i="8" s="1"/>
  <c r="Z67" i="8"/>
  <c r="Z64" i="8" s="1"/>
  <c r="Y67" i="8"/>
  <c r="Y64" i="8" s="1"/>
  <c r="X67" i="8"/>
  <c r="X64" i="8" s="1"/>
  <c r="W67" i="8"/>
  <c r="W64" i="8" s="1"/>
  <c r="V67" i="8"/>
  <c r="V64" i="8" s="1"/>
  <c r="U67" i="8"/>
  <c r="U64" i="8" s="1"/>
  <c r="T67" i="8"/>
  <c r="T64" i="8" s="1"/>
  <c r="S67" i="8"/>
  <c r="S64" i="8" s="1"/>
  <c r="R67" i="8"/>
  <c r="R64" i="8" s="1"/>
  <c r="Q67" i="8"/>
  <c r="Q64" i="8" s="1"/>
  <c r="P67" i="8"/>
  <c r="P64" i="8" s="1"/>
  <c r="O67" i="8"/>
  <c r="O64" i="8" s="1"/>
  <c r="N67" i="8"/>
  <c r="N64" i="8" s="1"/>
  <c r="M67" i="8"/>
  <c r="M64" i="8" s="1"/>
  <c r="L67" i="8"/>
  <c r="L64" i="8" s="1"/>
  <c r="K67" i="8"/>
  <c r="K64" i="8" s="1"/>
  <c r="J67" i="8"/>
  <c r="J64" i="8" s="1"/>
  <c r="I67" i="8"/>
  <c r="I64" i="8" s="1"/>
  <c r="H67" i="8"/>
  <c r="H64" i="8" s="1"/>
  <c r="AC64" i="8"/>
  <c r="E60" i="8"/>
  <c r="D60" i="8" s="1"/>
  <c r="B60" i="8"/>
  <c r="F62" i="8" s="1"/>
  <c r="E59" i="8"/>
  <c r="B59" i="8"/>
  <c r="AE57" i="8"/>
  <c r="AD57" i="8"/>
  <c r="AC57" i="8"/>
  <c r="AB57" i="8"/>
  <c r="AA57" i="8"/>
  <c r="Z57" i="8"/>
  <c r="Y57" i="8"/>
  <c r="X57" i="8"/>
  <c r="W57" i="8"/>
  <c r="V57" i="8"/>
  <c r="U57" i="8"/>
  <c r="T57" i="8"/>
  <c r="S57" i="8"/>
  <c r="R57" i="8"/>
  <c r="Q57" i="8"/>
  <c r="P57" i="8"/>
  <c r="O57" i="8"/>
  <c r="N57" i="8"/>
  <c r="M57" i="8"/>
  <c r="L57" i="8"/>
  <c r="K57" i="8"/>
  <c r="J57" i="8"/>
  <c r="I57" i="8"/>
  <c r="H57" i="8"/>
  <c r="E54" i="8"/>
  <c r="D54" i="8" s="1"/>
  <c r="B54" i="8"/>
  <c r="E53" i="8"/>
  <c r="B53" i="8"/>
  <c r="E52" i="8"/>
  <c r="D52" i="8" s="1"/>
  <c r="C52" i="8"/>
  <c r="B52" i="8"/>
  <c r="AE50" i="8"/>
  <c r="AD50" i="8"/>
  <c r="AC50" i="8"/>
  <c r="AB50" i="8"/>
  <c r="AA50" i="8"/>
  <c r="Z50" i="8"/>
  <c r="Y50" i="8"/>
  <c r="X50" i="8"/>
  <c r="W50" i="8"/>
  <c r="V50" i="8"/>
  <c r="U50" i="8"/>
  <c r="T50" i="8"/>
  <c r="R50" i="8"/>
  <c r="Q50" i="8"/>
  <c r="P50" i="8"/>
  <c r="O50" i="8"/>
  <c r="N50" i="8"/>
  <c r="M50" i="8"/>
  <c r="L50" i="8"/>
  <c r="K50" i="8"/>
  <c r="J50" i="8"/>
  <c r="I50" i="8"/>
  <c r="H50" i="8"/>
  <c r="P47" i="8"/>
  <c r="E47" i="8"/>
  <c r="C44" i="8"/>
  <c r="AE44" i="8"/>
  <c r="AD44" i="8"/>
  <c r="AC44" i="8"/>
  <c r="AB44" i="8"/>
  <c r="AA44" i="8"/>
  <c r="Z44" i="8"/>
  <c r="Y44" i="8"/>
  <c r="X44" i="8"/>
  <c r="W44" i="8"/>
  <c r="V44" i="8"/>
  <c r="U44" i="8"/>
  <c r="S44" i="8"/>
  <c r="R44" i="8"/>
  <c r="Q44" i="8"/>
  <c r="O44" i="8"/>
  <c r="N44" i="8"/>
  <c r="M44" i="8"/>
  <c r="L44" i="8"/>
  <c r="K44" i="8"/>
  <c r="J44" i="8"/>
  <c r="I44" i="8"/>
  <c r="H44" i="8"/>
  <c r="E41" i="8"/>
  <c r="C38" i="8"/>
  <c r="B41" i="8"/>
  <c r="AE38" i="8"/>
  <c r="AD38" i="8"/>
  <c r="AC38" i="8"/>
  <c r="AB38" i="8"/>
  <c r="AA38" i="8"/>
  <c r="Z38" i="8"/>
  <c r="Y38" i="8"/>
  <c r="X38" i="8"/>
  <c r="W38" i="8"/>
  <c r="V38" i="8"/>
  <c r="U38" i="8"/>
  <c r="T38" i="8"/>
  <c r="S38" i="8"/>
  <c r="R38" i="8"/>
  <c r="Q38" i="8"/>
  <c r="P38" i="8"/>
  <c r="O38" i="8"/>
  <c r="N38" i="8"/>
  <c r="M38" i="8"/>
  <c r="L38" i="8"/>
  <c r="K38" i="8"/>
  <c r="J38" i="8"/>
  <c r="I38" i="8"/>
  <c r="H38" i="8"/>
  <c r="E35" i="8"/>
  <c r="C35" i="8"/>
  <c r="E34" i="8"/>
  <c r="B34" i="8"/>
  <c r="E33" i="8"/>
  <c r="D33" i="8" s="1"/>
  <c r="C33" i="8"/>
  <c r="B33" i="8"/>
  <c r="E32" i="8"/>
  <c r="C32" i="8"/>
  <c r="C26" i="8" s="1"/>
  <c r="B32" i="8"/>
  <c r="AE31" i="8"/>
  <c r="AD31" i="8"/>
  <c r="AC31" i="8"/>
  <c r="AB31" i="8"/>
  <c r="AA31" i="8"/>
  <c r="Z31" i="8"/>
  <c r="Y31" i="8"/>
  <c r="X31" i="8"/>
  <c r="W31" i="8"/>
  <c r="V31" i="8"/>
  <c r="U31" i="8"/>
  <c r="T31" i="8"/>
  <c r="S31" i="8"/>
  <c r="R31" i="8"/>
  <c r="Q31" i="8"/>
  <c r="P31" i="8"/>
  <c r="O31" i="8"/>
  <c r="N31" i="8"/>
  <c r="M31" i="8"/>
  <c r="L31" i="8"/>
  <c r="K31" i="8"/>
  <c r="J31" i="8"/>
  <c r="I31" i="8"/>
  <c r="H31" i="8"/>
  <c r="AE29" i="8"/>
  <c r="AC29" i="8"/>
  <c r="AA29" i="8"/>
  <c r="Y29" i="8"/>
  <c r="W29" i="8"/>
  <c r="U29" i="8"/>
  <c r="S29" i="8"/>
  <c r="Q29" i="8"/>
  <c r="K29" i="8"/>
  <c r="J29" i="8"/>
  <c r="I29" i="8"/>
  <c r="H29" i="8"/>
  <c r="AE28" i="8"/>
  <c r="AD28" i="8"/>
  <c r="AC28" i="8"/>
  <c r="AB28" i="8"/>
  <c r="AA28" i="8"/>
  <c r="Z28" i="8"/>
  <c r="Y28" i="8"/>
  <c r="X28" i="8"/>
  <c r="W28" i="8"/>
  <c r="V28" i="8"/>
  <c r="U28" i="8"/>
  <c r="S28" i="8"/>
  <c r="R28" i="8"/>
  <c r="Q28" i="8"/>
  <c r="O28" i="8"/>
  <c r="N28" i="8"/>
  <c r="M28" i="8"/>
  <c r="L28" i="8"/>
  <c r="K28" i="8"/>
  <c r="J28" i="8"/>
  <c r="I28" i="8"/>
  <c r="H28" i="8"/>
  <c r="AE27" i="8"/>
  <c r="AD27" i="8"/>
  <c r="AC27" i="8"/>
  <c r="AB27" i="8"/>
  <c r="AA27" i="8"/>
  <c r="Z27" i="8"/>
  <c r="Y27" i="8"/>
  <c r="X27" i="8"/>
  <c r="W27" i="8"/>
  <c r="V27" i="8"/>
  <c r="U27" i="8"/>
  <c r="T27" i="8"/>
  <c r="S27" i="8"/>
  <c r="R27" i="8"/>
  <c r="Q27" i="8"/>
  <c r="P27" i="8"/>
  <c r="O27" i="8"/>
  <c r="N27" i="8"/>
  <c r="M27" i="8"/>
  <c r="L27" i="8"/>
  <c r="K27" i="8"/>
  <c r="J27" i="8"/>
  <c r="I27" i="8"/>
  <c r="H27" i="8"/>
  <c r="AE26" i="8"/>
  <c r="AD26" i="8"/>
  <c r="AC26" i="8"/>
  <c r="AB26" i="8"/>
  <c r="AA26" i="8"/>
  <c r="Z26" i="8"/>
  <c r="Y26" i="8"/>
  <c r="X26" i="8"/>
  <c r="W26" i="8"/>
  <c r="V26" i="8"/>
  <c r="U26" i="8"/>
  <c r="T26" i="8"/>
  <c r="S26" i="8"/>
  <c r="R26" i="8"/>
  <c r="Q26" i="8"/>
  <c r="P26" i="8"/>
  <c r="O26" i="8"/>
  <c r="N26" i="8"/>
  <c r="M26" i="8"/>
  <c r="L26" i="8"/>
  <c r="K26" i="8"/>
  <c r="J26" i="8"/>
  <c r="I26" i="8"/>
  <c r="H26" i="8"/>
  <c r="E22" i="8"/>
  <c r="B22" i="8"/>
  <c r="E21" i="8"/>
  <c r="D21" i="8" s="1"/>
  <c r="B21" i="8"/>
  <c r="E20" i="8"/>
  <c r="B20" i="8"/>
  <c r="E19" i="8"/>
  <c r="D19" i="8" s="1"/>
  <c r="B19" i="8"/>
  <c r="AE18" i="8"/>
  <c r="AD18" i="8"/>
  <c r="AC18" i="8"/>
  <c r="AB18" i="8"/>
  <c r="AA18" i="8"/>
  <c r="Z18" i="8"/>
  <c r="Y18" i="8"/>
  <c r="X18" i="8"/>
  <c r="W18" i="8"/>
  <c r="V18" i="8"/>
  <c r="U18" i="8"/>
  <c r="T18" i="8"/>
  <c r="S18" i="8"/>
  <c r="R18" i="8"/>
  <c r="Q18" i="8"/>
  <c r="P18" i="8"/>
  <c r="O18" i="8"/>
  <c r="N18" i="8"/>
  <c r="M18" i="8"/>
  <c r="L18" i="8"/>
  <c r="K18" i="8"/>
  <c r="J18" i="8"/>
  <c r="I18" i="8"/>
  <c r="H18" i="8"/>
  <c r="E16" i="8"/>
  <c r="C16" i="8"/>
  <c r="B16" i="8"/>
  <c r="E15" i="8"/>
  <c r="D15" i="8" s="1"/>
  <c r="C15" i="8"/>
  <c r="B15" i="8"/>
  <c r="E14" i="8"/>
  <c r="C14" i="8"/>
  <c r="C283" i="8" s="1"/>
  <c r="B14" i="8"/>
  <c r="E13" i="8"/>
  <c r="D13" i="8" s="1"/>
  <c r="C13" i="8"/>
  <c r="B13" i="8"/>
  <c r="AE12" i="8"/>
  <c r="AD12" i="8"/>
  <c r="AC12" i="8"/>
  <c r="AB12" i="8"/>
  <c r="AA12" i="8"/>
  <c r="Z12" i="8"/>
  <c r="Y12" i="8"/>
  <c r="X12" i="8"/>
  <c r="W12" i="8"/>
  <c r="V12" i="8"/>
  <c r="U12" i="8"/>
  <c r="T12" i="8"/>
  <c r="S12" i="8"/>
  <c r="R12" i="8"/>
  <c r="Q12" i="8"/>
  <c r="P12" i="8"/>
  <c r="O12" i="8"/>
  <c r="N12" i="8"/>
  <c r="M12" i="8"/>
  <c r="L12" i="8"/>
  <c r="K12" i="8"/>
  <c r="J12" i="8"/>
  <c r="I12" i="8"/>
  <c r="H12" i="8"/>
  <c r="C90" i="11" l="1"/>
  <c r="D96" i="11"/>
  <c r="Q78" i="11"/>
  <c r="B90" i="11"/>
  <c r="B84" i="11"/>
  <c r="E61" i="11"/>
  <c r="B44" i="11"/>
  <c r="B43" i="11" s="1"/>
  <c r="W102" i="11"/>
  <c r="B80" i="11"/>
  <c r="C81" i="11"/>
  <c r="E177" i="14"/>
  <c r="D183" i="14"/>
  <c r="D64" i="11"/>
  <c r="Q77" i="11"/>
  <c r="B59" i="11"/>
  <c r="C59" i="11"/>
  <c r="P102" i="11"/>
  <c r="X102" i="11"/>
  <c r="C64" i="11"/>
  <c r="S78" i="11"/>
  <c r="S77" i="11" s="1"/>
  <c r="E140" i="14"/>
  <c r="F140" i="14" s="1"/>
  <c r="D143" i="14"/>
  <c r="E121" i="17"/>
  <c r="G121" i="17" s="1"/>
  <c r="C176" i="8"/>
  <c r="D179" i="8"/>
  <c r="D148" i="8" s="1"/>
  <c r="D145" i="8" s="1"/>
  <c r="E148" i="8"/>
  <c r="E176" i="8"/>
  <c r="B149" i="8"/>
  <c r="F149" i="8" s="1"/>
  <c r="B148" i="8"/>
  <c r="B145" i="8" s="1"/>
  <c r="B176" i="8"/>
  <c r="G149" i="8"/>
  <c r="G96" i="11"/>
  <c r="C44" i="11"/>
  <c r="J102" i="11"/>
  <c r="R102" i="11"/>
  <c r="Z102" i="11"/>
  <c r="O77" i="11"/>
  <c r="AH101" i="12"/>
  <c r="AH136" i="12"/>
  <c r="Q27" i="12"/>
  <c r="N104" i="11"/>
  <c r="E117" i="17"/>
  <c r="G117" i="17" s="1"/>
  <c r="G140" i="14"/>
  <c r="C81" i="14"/>
  <c r="B83" i="14"/>
  <c r="C83" i="14"/>
  <c r="C355" i="14" s="1"/>
  <c r="E119" i="17"/>
  <c r="F119" i="17" s="1"/>
  <c r="D41" i="17"/>
  <c r="E118" i="17"/>
  <c r="F121" i="17"/>
  <c r="N281" i="8"/>
  <c r="D140" i="14"/>
  <c r="G143" i="14"/>
  <c r="C82" i="14"/>
  <c r="C80" i="14"/>
  <c r="C208" i="14"/>
  <c r="C335" i="14"/>
  <c r="B50" i="8"/>
  <c r="AE187" i="14"/>
  <c r="AH129" i="12"/>
  <c r="C88" i="14"/>
  <c r="C91" i="14"/>
  <c r="C277" i="14"/>
  <c r="N299" i="14"/>
  <c r="N352" i="14" s="1"/>
  <c r="N372" i="14" s="1"/>
  <c r="C311" i="14"/>
  <c r="N300" i="14"/>
  <c r="N353" i="14" s="1"/>
  <c r="N373" i="14" s="1"/>
  <c r="C312" i="14"/>
  <c r="N301" i="14"/>
  <c r="N364" i="14" s="1"/>
  <c r="C313" i="14"/>
  <c r="B81" i="14"/>
  <c r="AG81" i="14" s="1"/>
  <c r="AG105" i="14"/>
  <c r="B87" i="14"/>
  <c r="K205" i="14"/>
  <c r="S205" i="14"/>
  <c r="AA205" i="14"/>
  <c r="AG214" i="14"/>
  <c r="B208" i="14"/>
  <c r="L355" i="14"/>
  <c r="L375" i="14" s="1"/>
  <c r="Q102" i="11"/>
  <c r="Y102" i="11"/>
  <c r="M61" i="12"/>
  <c r="U61" i="12"/>
  <c r="AC61" i="12"/>
  <c r="O79" i="12"/>
  <c r="W79" i="12"/>
  <c r="AE79" i="12"/>
  <c r="O187" i="14"/>
  <c r="K102" i="11"/>
  <c r="S102" i="11"/>
  <c r="AA102" i="11"/>
  <c r="C62" i="12"/>
  <c r="AH62" i="12" s="1"/>
  <c r="Q61" i="12"/>
  <c r="Y61" i="12"/>
  <c r="C82" i="12"/>
  <c r="AE235" i="14"/>
  <c r="L102" i="11"/>
  <c r="T102" i="11"/>
  <c r="AB102" i="11"/>
  <c r="N102" i="11"/>
  <c r="V102" i="11"/>
  <c r="M102" i="11"/>
  <c r="U102" i="11"/>
  <c r="D70" i="11"/>
  <c r="AH34" i="12"/>
  <c r="C65" i="12"/>
  <c r="AH77" i="12"/>
  <c r="AH80" i="12"/>
  <c r="AH81" i="12"/>
  <c r="AH83" i="12"/>
  <c r="AH100" i="12"/>
  <c r="AH13" i="12"/>
  <c r="AG51" i="12"/>
  <c r="AH52" i="12"/>
  <c r="C63" i="12"/>
  <c r="AH63" i="12" s="1"/>
  <c r="C64" i="12"/>
  <c r="D70" i="12"/>
  <c r="D67" i="12" s="1"/>
  <c r="AH70" i="12"/>
  <c r="B76" i="12"/>
  <c r="AG76" i="12" s="1"/>
  <c r="C76" i="12"/>
  <c r="AH76" i="12" s="1"/>
  <c r="AH107" i="12"/>
  <c r="AH128" i="12"/>
  <c r="D76" i="12"/>
  <c r="AH15" i="12"/>
  <c r="AH103" i="12"/>
  <c r="AH117" i="12"/>
  <c r="AH124" i="12"/>
  <c r="AH131" i="12"/>
  <c r="AH134" i="12"/>
  <c r="AH14" i="12"/>
  <c r="AH102" i="12"/>
  <c r="AH109" i="12"/>
  <c r="AH116" i="12"/>
  <c r="AH123" i="12"/>
  <c r="AH130" i="12"/>
  <c r="AH137" i="12"/>
  <c r="AH51" i="12"/>
  <c r="AH65" i="12"/>
  <c r="AH16" i="12"/>
  <c r="AH33" i="12"/>
  <c r="AH125" i="12"/>
  <c r="AH135" i="12"/>
  <c r="G149" i="18"/>
  <c r="F149" i="18"/>
  <c r="C107" i="17"/>
  <c r="X281" i="8"/>
  <c r="W205" i="14"/>
  <c r="B82" i="11"/>
  <c r="H82" i="9"/>
  <c r="H93" i="9" s="1"/>
  <c r="G21" i="14"/>
  <c r="AG28" i="14"/>
  <c r="C14" i="14"/>
  <c r="C358" i="14" s="1"/>
  <c r="AD354" i="14"/>
  <c r="AD359" i="14"/>
  <c r="C13" i="14"/>
  <c r="D20" i="14"/>
  <c r="D14" i="14" s="1"/>
  <c r="V291" i="8"/>
  <c r="P291" i="8" s="1"/>
  <c r="B15" i="14"/>
  <c r="AG15" i="14" s="1"/>
  <c r="D28" i="14"/>
  <c r="T354" i="14"/>
  <c r="T374" i="14" s="1"/>
  <c r="AD363" i="14"/>
  <c r="B165" i="14"/>
  <c r="AG165" i="14" s="1"/>
  <c r="AA25" i="12"/>
  <c r="K277" i="8"/>
  <c r="O277" i="8"/>
  <c r="S277" i="8"/>
  <c r="W277" i="8"/>
  <c r="AA277" i="8"/>
  <c r="AE277" i="8"/>
  <c r="C50" i="11"/>
  <c r="V78" i="11"/>
  <c r="V77" i="11" s="1"/>
  <c r="W25" i="12"/>
  <c r="K358" i="14"/>
  <c r="O358" i="14"/>
  <c r="S358" i="14"/>
  <c r="W358" i="14"/>
  <c r="AA358" i="14"/>
  <c r="AC358" i="14"/>
  <c r="AE358" i="14"/>
  <c r="K360" i="14"/>
  <c r="O360" i="14"/>
  <c r="S360" i="14"/>
  <c r="W360" i="14"/>
  <c r="AA360" i="14"/>
  <c r="AE360" i="14"/>
  <c r="M279" i="8"/>
  <c r="Y279" i="8"/>
  <c r="H277" i="8"/>
  <c r="J277" i="8"/>
  <c r="L277" i="8"/>
  <c r="N277" i="8"/>
  <c r="P277" i="8"/>
  <c r="R277" i="8"/>
  <c r="T277" i="8"/>
  <c r="V277" i="8"/>
  <c r="X277" i="8"/>
  <c r="Z277" i="8"/>
  <c r="AB277" i="8"/>
  <c r="AD277" i="8"/>
  <c r="P289" i="8"/>
  <c r="E223" i="8"/>
  <c r="E220" i="8" s="1"/>
  <c r="M12" i="11"/>
  <c r="M11" i="11" s="1"/>
  <c r="E337" i="14"/>
  <c r="C31" i="15"/>
  <c r="AH31" i="15" s="1"/>
  <c r="AB58" i="11"/>
  <c r="AB57" i="11" s="1"/>
  <c r="K78" i="11"/>
  <c r="K77" i="11" s="1"/>
  <c r="D26" i="15"/>
  <c r="L279" i="8"/>
  <c r="O152" i="12"/>
  <c r="S152" i="12"/>
  <c r="W152" i="12"/>
  <c r="AA152" i="12"/>
  <c r="AE152" i="12"/>
  <c r="D24" i="15"/>
  <c r="B107" i="17"/>
  <c r="C108" i="17"/>
  <c r="E110" i="17"/>
  <c r="I279" i="8"/>
  <c r="U279" i="8"/>
  <c r="AC279" i="8"/>
  <c r="B287" i="8"/>
  <c r="C57" i="8"/>
  <c r="T291" i="8"/>
  <c r="J108" i="11"/>
  <c r="N108" i="11"/>
  <c r="R108" i="11"/>
  <c r="V108" i="11"/>
  <c r="Z108" i="11"/>
  <c r="AD108" i="11"/>
  <c r="M78" i="11"/>
  <c r="M77" i="11" s="1"/>
  <c r="L58" i="11"/>
  <c r="L57" i="11" s="1"/>
  <c r="E14" i="14"/>
  <c r="H357" i="14"/>
  <c r="P357" i="14"/>
  <c r="X357" i="14"/>
  <c r="L357" i="14"/>
  <c r="T357" i="14"/>
  <c r="AB357" i="14"/>
  <c r="E237" i="14"/>
  <c r="H300" i="14"/>
  <c r="H301" i="14"/>
  <c r="J357" i="14"/>
  <c r="R357" i="14"/>
  <c r="V357" i="14"/>
  <c r="AD357" i="14"/>
  <c r="N357" i="14"/>
  <c r="Z357" i="14"/>
  <c r="C193" i="14"/>
  <c r="H299" i="14"/>
  <c r="E151" i="14"/>
  <c r="E148" i="14" s="1"/>
  <c r="E211" i="14"/>
  <c r="E236" i="14"/>
  <c r="B335" i="14"/>
  <c r="AG335" i="14" s="1"/>
  <c r="E115" i="14"/>
  <c r="C337" i="14"/>
  <c r="P364" i="14"/>
  <c r="P174" i="14"/>
  <c r="I358" i="14"/>
  <c r="M358" i="14"/>
  <c r="Q358" i="14"/>
  <c r="U358" i="14"/>
  <c r="Y358" i="14"/>
  <c r="C360" i="14"/>
  <c r="I360" i="14"/>
  <c r="M360" i="14"/>
  <c r="Q360" i="14"/>
  <c r="U360" i="14"/>
  <c r="Y360" i="14"/>
  <c r="AC360" i="14"/>
  <c r="AE31" i="14"/>
  <c r="J359" i="14"/>
  <c r="N359" i="14"/>
  <c r="R359" i="14"/>
  <c r="V359" i="14"/>
  <c r="Z359" i="14"/>
  <c r="T162" i="14"/>
  <c r="L364" i="14"/>
  <c r="AB364" i="14"/>
  <c r="AG152" i="14"/>
  <c r="AG178" i="14"/>
  <c r="H359" i="14"/>
  <c r="L359" i="14"/>
  <c r="P359" i="14"/>
  <c r="X359" i="14"/>
  <c r="AB359" i="14"/>
  <c r="T364" i="14"/>
  <c r="X364" i="14"/>
  <c r="B85" i="9"/>
  <c r="E82" i="12"/>
  <c r="E79" i="12" s="1"/>
  <c r="E103" i="14"/>
  <c r="G103" i="14" s="1"/>
  <c r="H162" i="14"/>
  <c r="L162" i="14"/>
  <c r="P162" i="14"/>
  <c r="X162" i="14"/>
  <c r="AB162" i="14"/>
  <c r="B168" i="14"/>
  <c r="AG168" i="14" s="1"/>
  <c r="J334" i="14"/>
  <c r="N334" i="14"/>
  <c r="R334" i="14"/>
  <c r="V334" i="14"/>
  <c r="Z334" i="14"/>
  <c r="AD334" i="14"/>
  <c r="B106" i="17"/>
  <c r="L25" i="8"/>
  <c r="Q279" i="8"/>
  <c r="I277" i="8"/>
  <c r="M277" i="8"/>
  <c r="Q277" i="8"/>
  <c r="U277" i="8"/>
  <c r="Y277" i="8"/>
  <c r="AC277" i="8"/>
  <c r="E94" i="8"/>
  <c r="F94" i="8" s="1"/>
  <c r="E127" i="8"/>
  <c r="E124" i="8" s="1"/>
  <c r="B223" i="8"/>
  <c r="B240" i="8"/>
  <c r="B238" i="8" s="1"/>
  <c r="C244" i="8"/>
  <c r="B250" i="8"/>
  <c r="L55" i="12"/>
  <c r="B55" i="12" s="1"/>
  <c r="B175" i="14"/>
  <c r="AG175" i="14" s="1"/>
  <c r="B256" i="14"/>
  <c r="AG256" i="14" s="1"/>
  <c r="E278" i="14"/>
  <c r="D278" i="14" s="1"/>
  <c r="B311" i="14"/>
  <c r="C106" i="17"/>
  <c r="B110" i="17"/>
  <c r="T279" i="8"/>
  <c r="X276" i="8"/>
  <c r="P28" i="8"/>
  <c r="P25" i="8" s="1"/>
  <c r="B26" i="8"/>
  <c r="AA278" i="8"/>
  <c r="K279" i="8"/>
  <c r="O279" i="8"/>
  <c r="S279" i="8"/>
  <c r="W279" i="8"/>
  <c r="AA279" i="8"/>
  <c r="AE279" i="8"/>
  <c r="B290" i="8"/>
  <c r="E206" i="8"/>
  <c r="C223" i="8"/>
  <c r="C220" i="8" s="1"/>
  <c r="Y25" i="12"/>
  <c r="AC25" i="12"/>
  <c r="L28" i="12"/>
  <c r="L151" i="12" s="1"/>
  <c r="AG65" i="12"/>
  <c r="E73" i="14"/>
  <c r="G73" i="14" s="1"/>
  <c r="D124" i="14"/>
  <c r="G124" i="14"/>
  <c r="W148" i="14"/>
  <c r="B163" i="14"/>
  <c r="AG163" i="14" s="1"/>
  <c r="E247" i="14"/>
  <c r="E106" i="17"/>
  <c r="C110" i="17"/>
  <c r="B35" i="14"/>
  <c r="B18" i="14"/>
  <c r="AG18" i="14" s="1"/>
  <c r="L12" i="14"/>
  <c r="B13" i="14"/>
  <c r="B24" i="14"/>
  <c r="AG24" i="14" s="1"/>
  <c r="E108" i="17"/>
  <c r="D34" i="17"/>
  <c r="E107" i="17"/>
  <c r="AG103" i="17"/>
  <c r="B108" i="17"/>
  <c r="D50" i="17"/>
  <c r="B80" i="17"/>
  <c r="AG80" i="17" s="1"/>
  <c r="B39" i="17"/>
  <c r="AG39" i="17" s="1"/>
  <c r="C18" i="17"/>
  <c r="AB111" i="17"/>
  <c r="U124" i="17"/>
  <c r="Y124" i="17"/>
  <c r="AC124" i="17"/>
  <c r="K12" i="11"/>
  <c r="K11" i="11" s="1"/>
  <c r="V276" i="8"/>
  <c r="V127" i="8"/>
  <c r="I58" i="11"/>
  <c r="I57" i="11" s="1"/>
  <c r="AD78" i="11"/>
  <c r="AD77" i="11" s="1"/>
  <c r="C12" i="12"/>
  <c r="D14" i="12"/>
  <c r="J148" i="14"/>
  <c r="N148" i="14"/>
  <c r="R148" i="14"/>
  <c r="V148" i="14"/>
  <c r="Z148" i="14"/>
  <c r="AD148" i="14"/>
  <c r="D170" i="14"/>
  <c r="D164" i="14" s="1"/>
  <c r="E257" i="14"/>
  <c r="G257" i="14" s="1"/>
  <c r="G281" i="14"/>
  <c r="G287" i="14"/>
  <c r="X298" i="14"/>
  <c r="E312" i="14"/>
  <c r="D312" i="14" s="1"/>
  <c r="E313" i="14"/>
  <c r="G313" i="14" s="1"/>
  <c r="B316" i="14"/>
  <c r="AG316" i="14" s="1"/>
  <c r="C12" i="17"/>
  <c r="E12" i="17"/>
  <c r="X79" i="12"/>
  <c r="AB12" i="14"/>
  <c r="P12" i="14"/>
  <c r="X12" i="14"/>
  <c r="S148" i="14"/>
  <c r="D157" i="14"/>
  <c r="D154" i="14" s="1"/>
  <c r="C162" i="14"/>
  <c r="K162" i="14"/>
  <c r="O162" i="14"/>
  <c r="S162" i="14"/>
  <c r="W162" i="14"/>
  <c r="AA162" i="14"/>
  <c r="AE162" i="14"/>
  <c r="E223" i="14"/>
  <c r="E229" i="14"/>
  <c r="E258" i="14"/>
  <c r="G258" i="14" s="1"/>
  <c r="B46" i="17"/>
  <c r="AG46" i="17" s="1"/>
  <c r="C86" i="9"/>
  <c r="U85" i="14"/>
  <c r="D238" i="14"/>
  <c r="C32" i="17"/>
  <c r="G16" i="8"/>
  <c r="C85" i="9"/>
  <c r="D100" i="14"/>
  <c r="D97" i="14" s="1"/>
  <c r="G100" i="14"/>
  <c r="H174" i="14"/>
  <c r="C188" i="14"/>
  <c r="AB257" i="14"/>
  <c r="AB255" i="14" s="1"/>
  <c r="AB261" i="14"/>
  <c r="G103" i="17"/>
  <c r="K58" i="11"/>
  <c r="K57" i="11" s="1"/>
  <c r="E87" i="14"/>
  <c r="F43" i="14"/>
  <c r="I61" i="14"/>
  <c r="I300" i="14"/>
  <c r="E300" i="14" s="1"/>
  <c r="D300" i="14" s="1"/>
  <c r="I301" i="14"/>
  <c r="I364" i="14" s="1"/>
  <c r="T359" i="14"/>
  <c r="B238" i="14"/>
  <c r="AG238" i="14" s="1"/>
  <c r="E86" i="14"/>
  <c r="F86" i="14" s="1"/>
  <c r="B88" i="14"/>
  <c r="AG88" i="14" s="1"/>
  <c r="C12" i="8"/>
  <c r="H279" i="8"/>
  <c r="P279" i="8"/>
  <c r="X279" i="8"/>
  <c r="AB279" i="8"/>
  <c r="Z127" i="8"/>
  <c r="Z124" i="8" s="1"/>
  <c r="K109" i="11"/>
  <c r="K106" i="11" s="1"/>
  <c r="O109" i="11"/>
  <c r="O106" i="11" s="1"/>
  <c r="S109" i="11"/>
  <c r="S106" i="11" s="1"/>
  <c r="W109" i="11"/>
  <c r="AA109" i="11"/>
  <c r="AE109" i="11"/>
  <c r="E70" i="11"/>
  <c r="AG40" i="12"/>
  <c r="B37" i="12"/>
  <c r="AG37" i="12" s="1"/>
  <c r="AG100" i="12"/>
  <c r="B99" i="12"/>
  <c r="AG99" i="12" s="1"/>
  <c r="B127" i="12"/>
  <c r="AG127" i="12" s="1"/>
  <c r="E28" i="8"/>
  <c r="I61" i="12"/>
  <c r="AG88" i="12"/>
  <c r="B82" i="12"/>
  <c r="AG82" i="12" s="1"/>
  <c r="C99" i="12"/>
  <c r="H276" i="8"/>
  <c r="E70" i="8"/>
  <c r="F70" i="8" s="1"/>
  <c r="N127" i="8"/>
  <c r="N124" i="8" s="1"/>
  <c r="AD276" i="8"/>
  <c r="Z279" i="8"/>
  <c r="AD279" i="8"/>
  <c r="E200" i="8"/>
  <c r="G200" i="8" s="1"/>
  <c r="B226" i="8"/>
  <c r="B232" i="8"/>
  <c r="E240" i="8"/>
  <c r="E238" i="8" s="1"/>
  <c r="G238" i="8" s="1"/>
  <c r="R291" i="8"/>
  <c r="L108" i="11"/>
  <c r="P108" i="11"/>
  <c r="T108" i="11"/>
  <c r="X108" i="11"/>
  <c r="AB108" i="11"/>
  <c r="M109" i="11"/>
  <c r="M106" i="11" s="1"/>
  <c r="Q109" i="11"/>
  <c r="Q106" i="11" s="1"/>
  <c r="U109" i="11"/>
  <c r="U106" i="11" s="1"/>
  <c r="Y109" i="11"/>
  <c r="AC109" i="11"/>
  <c r="C60" i="11"/>
  <c r="N78" i="11"/>
  <c r="N77" i="11" s="1"/>
  <c r="AE25" i="12"/>
  <c r="B85" i="12"/>
  <c r="AG85" i="12" s="1"/>
  <c r="B91" i="12"/>
  <c r="AG91" i="12" s="1"/>
  <c r="AG134" i="12"/>
  <c r="B133" i="12"/>
  <c r="AG133" i="12" s="1"/>
  <c r="C62" i="11"/>
  <c r="O25" i="12"/>
  <c r="AG46" i="12"/>
  <c r="B43" i="12"/>
  <c r="AG43" i="12" s="1"/>
  <c r="AG122" i="12"/>
  <c r="B121" i="12"/>
  <c r="AG121" i="12" s="1"/>
  <c r="M142" i="12"/>
  <c r="M162" i="12" s="1"/>
  <c r="Q142" i="12"/>
  <c r="Q162" i="12" s="1"/>
  <c r="U142" i="12"/>
  <c r="U162" i="12" s="1"/>
  <c r="Y142" i="12"/>
  <c r="AC142" i="12"/>
  <c r="AC162" i="12" s="1"/>
  <c r="AG80" i="12"/>
  <c r="H79" i="12"/>
  <c r="L79" i="12"/>
  <c r="P79" i="12"/>
  <c r="T79" i="12"/>
  <c r="AB79" i="12"/>
  <c r="AG81" i="12"/>
  <c r="B33" i="14"/>
  <c r="AG33" i="14" s="1"/>
  <c r="E49" i="14"/>
  <c r="G49" i="14" s="1"/>
  <c r="E80" i="14"/>
  <c r="U82" i="14"/>
  <c r="E82" i="14" s="1"/>
  <c r="C86" i="14"/>
  <c r="AG89" i="14"/>
  <c r="AG131" i="14"/>
  <c r="F154" i="14"/>
  <c r="B177" i="14"/>
  <c r="AG177" i="14" s="1"/>
  <c r="C211" i="14"/>
  <c r="B275" i="14"/>
  <c r="R274" i="14"/>
  <c r="Z274" i="14"/>
  <c r="B280" i="14"/>
  <c r="AG280" i="14" s="1"/>
  <c r="AB310" i="14"/>
  <c r="I334" i="14"/>
  <c r="M334" i="14"/>
  <c r="Q334" i="14"/>
  <c r="U334" i="14"/>
  <c r="Y334" i="14"/>
  <c r="AC334" i="14"/>
  <c r="E336" i="14"/>
  <c r="B346" i="14"/>
  <c r="AG346" i="14" s="1"/>
  <c r="B113" i="17"/>
  <c r="AG113" i="17" s="1"/>
  <c r="C114" i="17"/>
  <c r="AG119" i="17"/>
  <c r="G71" i="17"/>
  <c r="C74" i="17"/>
  <c r="M354" i="14"/>
  <c r="M374" i="14" s="1"/>
  <c r="Q354" i="14"/>
  <c r="Q374" i="14" s="1"/>
  <c r="Y354" i="14"/>
  <c r="Y374" i="14" s="1"/>
  <c r="AC354" i="14"/>
  <c r="AC374" i="14" s="1"/>
  <c r="C206" i="14"/>
  <c r="G20" i="15"/>
  <c r="G17" i="15" s="1"/>
  <c r="G16" i="15" s="1"/>
  <c r="F20" i="15"/>
  <c r="F17" i="15" s="1"/>
  <c r="F16" i="15" s="1"/>
  <c r="AC22" i="15"/>
  <c r="AC27" i="15" s="1"/>
  <c r="AC30" i="15"/>
  <c r="I127" i="14"/>
  <c r="M127" i="14"/>
  <c r="Q127" i="14"/>
  <c r="Y127" i="14"/>
  <c r="AC127" i="14"/>
  <c r="C148" i="14"/>
  <c r="B189" i="14"/>
  <c r="AG189" i="14" s="1"/>
  <c r="S187" i="14"/>
  <c r="C189" i="14"/>
  <c r="E199" i="14"/>
  <c r="E207" i="14"/>
  <c r="K235" i="14"/>
  <c r="B277" i="14"/>
  <c r="AG277" i="14" s="1"/>
  <c r="J79" i="12"/>
  <c r="N79" i="12"/>
  <c r="E32" i="14"/>
  <c r="E33" i="14"/>
  <c r="D33" i="14" s="1"/>
  <c r="M363" i="14"/>
  <c r="U363" i="14"/>
  <c r="AC363" i="14"/>
  <c r="E34" i="14"/>
  <c r="D34" i="14" s="1"/>
  <c r="W31" i="14"/>
  <c r="AA31" i="14"/>
  <c r="E109" i="14"/>
  <c r="E121" i="14"/>
  <c r="X174" i="14"/>
  <c r="B180" i="14"/>
  <c r="AG180" i="14" s="1"/>
  <c r="C229" i="14"/>
  <c r="AG259" i="14"/>
  <c r="E275" i="14"/>
  <c r="D275" i="14" s="1"/>
  <c r="E276" i="14"/>
  <c r="D276" i="14" s="1"/>
  <c r="AG338" i="14"/>
  <c r="E112" i="17"/>
  <c r="C115" i="17"/>
  <c r="B32" i="17"/>
  <c r="AG32" i="17" s="1"/>
  <c r="C39" i="17"/>
  <c r="C80" i="17"/>
  <c r="C94" i="17"/>
  <c r="F14" i="15"/>
  <c r="F11" i="15" s="1"/>
  <c r="F10" i="15" s="1"/>
  <c r="G14" i="15"/>
  <c r="G11" i="15" s="1"/>
  <c r="G10" i="15" s="1"/>
  <c r="E261" i="8"/>
  <c r="C261" i="8"/>
  <c r="B261" i="8"/>
  <c r="B258" i="8" s="1"/>
  <c r="E185" i="8"/>
  <c r="E194" i="8"/>
  <c r="F194" i="8" s="1"/>
  <c r="C287" i="8"/>
  <c r="G109" i="8"/>
  <c r="E82" i="8"/>
  <c r="F82" i="8" s="1"/>
  <c r="E67" i="8"/>
  <c r="E64" i="8" s="1"/>
  <c r="B17" i="15"/>
  <c r="B16" i="15" s="1"/>
  <c r="AG16" i="15" s="1"/>
  <c r="J22" i="15"/>
  <c r="J27" i="15" s="1"/>
  <c r="N22" i="15"/>
  <c r="N27" i="15" s="1"/>
  <c r="R22" i="15"/>
  <c r="R27" i="15" s="1"/>
  <c r="V22" i="15"/>
  <c r="V27" i="15" s="1"/>
  <c r="Z22" i="15"/>
  <c r="Z27" i="15" s="1"/>
  <c r="AD22" i="15"/>
  <c r="AD27" i="15" s="1"/>
  <c r="Q22" i="15"/>
  <c r="Q27" i="15" s="1"/>
  <c r="U22" i="15"/>
  <c r="U27" i="15" s="1"/>
  <c r="D11" i="15"/>
  <c r="D10" i="15" s="1"/>
  <c r="B11" i="15"/>
  <c r="B10" i="15" s="1"/>
  <c r="AG10" i="15" s="1"/>
  <c r="C11" i="15"/>
  <c r="C10" i="15" s="1"/>
  <c r="I22" i="15"/>
  <c r="I27" i="15" s="1"/>
  <c r="M22" i="15"/>
  <c r="M27" i="15" s="1"/>
  <c r="Y22" i="15"/>
  <c r="Y27" i="15" s="1"/>
  <c r="D284" i="8"/>
  <c r="L276" i="8"/>
  <c r="P276" i="8"/>
  <c r="T276" i="8"/>
  <c r="AB276" i="8"/>
  <c r="E283" i="8"/>
  <c r="G20" i="8"/>
  <c r="E18" i="8"/>
  <c r="X25" i="8"/>
  <c r="S127" i="8"/>
  <c r="J276" i="8"/>
  <c r="C18" i="8"/>
  <c r="V287" i="8"/>
  <c r="E302" i="14"/>
  <c r="D302" i="14" s="1"/>
  <c r="B283" i="8"/>
  <c r="R276" i="8"/>
  <c r="Q25" i="12"/>
  <c r="M25" i="12"/>
  <c r="U25" i="12"/>
  <c r="L79" i="14"/>
  <c r="P79" i="14"/>
  <c r="T79" i="14"/>
  <c r="X79" i="14"/>
  <c r="AB79" i="14"/>
  <c r="AG86" i="14"/>
  <c r="G64" i="17"/>
  <c r="E147" i="18"/>
  <c r="F147" i="18" s="1"/>
  <c r="B185" i="8"/>
  <c r="G43" i="11"/>
  <c r="B61" i="11"/>
  <c r="T58" i="11"/>
  <c r="T57" i="11" s="1"/>
  <c r="B79" i="11"/>
  <c r="H78" i="11"/>
  <c r="H77" i="11" s="1"/>
  <c r="L78" i="11"/>
  <c r="L77" i="11" s="1"/>
  <c r="P77" i="11"/>
  <c r="T78" i="11"/>
  <c r="T77" i="11" s="1"/>
  <c r="X78" i="11"/>
  <c r="X77" i="11" s="1"/>
  <c r="AB78" i="11"/>
  <c r="AB77" i="11" s="1"/>
  <c r="K31" i="14"/>
  <c r="O31" i="14"/>
  <c r="S31" i="14"/>
  <c r="J364" i="14"/>
  <c r="R364" i="14"/>
  <c r="V364" i="14"/>
  <c r="Z364" i="14"/>
  <c r="AD364" i="14"/>
  <c r="C37" i="14"/>
  <c r="AG83" i="14"/>
  <c r="Q85" i="14"/>
  <c r="J174" i="14"/>
  <c r="N174" i="14"/>
  <c r="R174" i="14"/>
  <c r="V174" i="14"/>
  <c r="Z174" i="14"/>
  <c r="AD174" i="14"/>
  <c r="E189" i="14"/>
  <c r="W187" i="14"/>
  <c r="AA187" i="14"/>
  <c r="C199" i="14"/>
  <c r="E208" i="14"/>
  <c r="E217" i="14"/>
  <c r="E238" i="14"/>
  <c r="C236" i="14"/>
  <c r="C247" i="14"/>
  <c r="H255" i="14"/>
  <c r="P255" i="14"/>
  <c r="E267" i="14"/>
  <c r="B278" i="14"/>
  <c r="AG278" i="14" s="1"/>
  <c r="G293" i="14"/>
  <c r="G305" i="14"/>
  <c r="F151" i="18"/>
  <c r="G151" i="18"/>
  <c r="I104" i="11"/>
  <c r="I101" i="11" s="1"/>
  <c r="I109" i="11"/>
  <c r="B12" i="12"/>
  <c r="AG12" i="12" s="1"/>
  <c r="G39" i="14"/>
  <c r="AG65" i="14"/>
  <c r="E88" i="14"/>
  <c r="E97" i="14"/>
  <c r="G97" i="14" s="1"/>
  <c r="K148" i="14"/>
  <c r="O148" i="14"/>
  <c r="AA148" i="14"/>
  <c r="AE148" i="14"/>
  <c r="K174" i="14"/>
  <c r="O174" i="14"/>
  <c r="S174" i="14"/>
  <c r="W174" i="14"/>
  <c r="AA174" i="14"/>
  <c r="AE174" i="14"/>
  <c r="B207" i="14"/>
  <c r="AG207" i="14" s="1"/>
  <c r="C217" i="14"/>
  <c r="I255" i="14"/>
  <c r="M255" i="14"/>
  <c r="Q255" i="14"/>
  <c r="U255" i="14"/>
  <c r="Y255" i="14"/>
  <c r="AC255" i="14"/>
  <c r="D151" i="18"/>
  <c r="D147" i="18"/>
  <c r="R78" i="11"/>
  <c r="R77" i="11" s="1"/>
  <c r="Z78" i="11"/>
  <c r="Z77" i="11" s="1"/>
  <c r="R79" i="12"/>
  <c r="V79" i="12"/>
  <c r="Z79" i="12"/>
  <c r="AD79" i="12"/>
  <c r="L353" i="14"/>
  <c r="L373" i="14" s="1"/>
  <c r="P353" i="14"/>
  <c r="P373" i="14" s="1"/>
  <c r="T353" i="14"/>
  <c r="T373" i="14" s="1"/>
  <c r="X353" i="14"/>
  <c r="X373" i="14" s="1"/>
  <c r="D43" i="14"/>
  <c r="U61" i="14"/>
  <c r="B82" i="14"/>
  <c r="AG82" i="14" s="1"/>
  <c r="I85" i="14"/>
  <c r="M85" i="14"/>
  <c r="Y85" i="14"/>
  <c r="AC85" i="14"/>
  <c r="AG129" i="14"/>
  <c r="U127" i="14"/>
  <c r="E130" i="14"/>
  <c r="E127" i="14" s="1"/>
  <c r="L174" i="14"/>
  <c r="T174" i="14"/>
  <c r="AB174" i="14"/>
  <c r="K187" i="14"/>
  <c r="E193" i="14"/>
  <c r="G225" i="14"/>
  <c r="S235" i="14"/>
  <c r="W235" i="14"/>
  <c r="AA235" i="14"/>
  <c r="E241" i="14"/>
  <c r="C241" i="14"/>
  <c r="X255" i="14"/>
  <c r="C267" i="14"/>
  <c r="J274" i="14"/>
  <c r="B292" i="14"/>
  <c r="AG292" i="14" s="1"/>
  <c r="P298" i="14"/>
  <c r="B312" i="14"/>
  <c r="AG312" i="14" s="1"/>
  <c r="B313" i="14"/>
  <c r="AG313" i="14" s="1"/>
  <c r="T310" i="14"/>
  <c r="B328" i="14"/>
  <c r="AG328" i="14" s="1"/>
  <c r="G91" i="17"/>
  <c r="F135" i="18"/>
  <c r="G135" i="18"/>
  <c r="C82" i="11"/>
  <c r="E64" i="11"/>
  <c r="E24" i="11"/>
  <c r="D24" i="11"/>
  <c r="D240" i="8"/>
  <c r="D238" i="8" s="1"/>
  <c r="D244" i="8"/>
  <c r="I127" i="8"/>
  <c r="Q127" i="8"/>
  <c r="Q124" i="8" s="1"/>
  <c r="Y127" i="8"/>
  <c r="Y124" i="8" s="1"/>
  <c r="E12" i="8"/>
  <c r="B285" i="8"/>
  <c r="B106" i="8"/>
  <c r="B112" i="8"/>
  <c r="B118" i="8"/>
  <c r="G178" i="8"/>
  <c r="B188" i="8"/>
  <c r="B212" i="8"/>
  <c r="B264" i="8"/>
  <c r="B270" i="8"/>
  <c r="E12" i="11"/>
  <c r="E11" i="11" s="1"/>
  <c r="R12" i="11"/>
  <c r="R11" i="11" s="1"/>
  <c r="B62" i="11"/>
  <c r="J78" i="11"/>
  <c r="J77" i="11" s="1"/>
  <c r="C79" i="11"/>
  <c r="AG63" i="12"/>
  <c r="E67" i="12"/>
  <c r="F67" i="12" s="1"/>
  <c r="AG83" i="12"/>
  <c r="C121" i="12"/>
  <c r="C127" i="12"/>
  <c r="C133" i="12"/>
  <c r="H12" i="14"/>
  <c r="C24" i="14"/>
  <c r="B32" i="14"/>
  <c r="AG32" i="14" s="1"/>
  <c r="E76" i="8"/>
  <c r="G76" i="8" s="1"/>
  <c r="E88" i="8"/>
  <c r="G88" i="8" s="1"/>
  <c r="G115" i="8"/>
  <c r="J279" i="8"/>
  <c r="N279" i="8"/>
  <c r="R279" i="8"/>
  <c r="V279" i="8"/>
  <c r="E244" i="8"/>
  <c r="D86" i="9"/>
  <c r="Z12" i="11"/>
  <c r="Z11" i="11" s="1"/>
  <c r="D15" i="11"/>
  <c r="D16" i="12"/>
  <c r="D142" i="12" s="1"/>
  <c r="D162" i="12" s="1"/>
  <c r="E64" i="12"/>
  <c r="E61" i="12" s="1"/>
  <c r="G22" i="8"/>
  <c r="H25" i="8"/>
  <c r="AB25" i="8"/>
  <c r="B31" i="8"/>
  <c r="B38" i="8"/>
  <c r="P44" i="8"/>
  <c r="C67" i="8"/>
  <c r="C64" i="8" s="1"/>
  <c r="B103" i="8"/>
  <c r="G113" i="8"/>
  <c r="D282" i="8"/>
  <c r="J12" i="11"/>
  <c r="J11" i="11" s="1"/>
  <c r="B60" i="11"/>
  <c r="I78" i="11"/>
  <c r="I77" i="11" s="1"/>
  <c r="S25" i="12"/>
  <c r="I79" i="12"/>
  <c r="M79" i="12"/>
  <c r="Q79" i="12"/>
  <c r="U79" i="12"/>
  <c r="Y79" i="12"/>
  <c r="AC79" i="12"/>
  <c r="T12" i="14"/>
  <c r="E37" i="14"/>
  <c r="AG34" i="14"/>
  <c r="B80" i="14"/>
  <c r="AG80" i="14" s="1"/>
  <c r="C121" i="14"/>
  <c r="F166" i="14"/>
  <c r="E176" i="14"/>
  <c r="E174" i="14" s="1"/>
  <c r="E206" i="14"/>
  <c r="C223" i="14"/>
  <c r="AG239" i="14"/>
  <c r="C237" i="14"/>
  <c r="C255" i="14"/>
  <c r="L310" i="14"/>
  <c r="B337" i="14"/>
  <c r="AG337" i="14" s="1"/>
  <c r="D30" i="17"/>
  <c r="D121" i="17" s="1"/>
  <c r="G35" i="17"/>
  <c r="G49" i="17"/>
  <c r="B68" i="17"/>
  <c r="AG68" i="17" s="1"/>
  <c r="G83" i="17"/>
  <c r="G97" i="17"/>
  <c r="C100" i="17"/>
  <c r="AG63" i="14"/>
  <c r="C61" i="14"/>
  <c r="E67" i="14"/>
  <c r="F67" i="14" s="1"/>
  <c r="J79" i="14"/>
  <c r="N79" i="14"/>
  <c r="R79" i="14"/>
  <c r="V79" i="14"/>
  <c r="Z79" i="14"/>
  <c r="AD79" i="14"/>
  <c r="C115" i="14"/>
  <c r="I162" i="14"/>
  <c r="M162" i="14"/>
  <c r="Q162" i="14"/>
  <c r="U162" i="14"/>
  <c r="Y162" i="14"/>
  <c r="AC162" i="14"/>
  <c r="AG176" i="14"/>
  <c r="E188" i="14"/>
  <c r="E190" i="14"/>
  <c r="AG209" i="14"/>
  <c r="C207" i="14"/>
  <c r="K255" i="14"/>
  <c r="O255" i="14"/>
  <c r="S255" i="14"/>
  <c r="W255" i="14"/>
  <c r="AA255" i="14"/>
  <c r="AE255" i="14"/>
  <c r="C261" i="14"/>
  <c r="K334" i="14"/>
  <c r="O334" i="14"/>
  <c r="S334" i="14"/>
  <c r="W334" i="14"/>
  <c r="AA334" i="14"/>
  <c r="AE334" i="14"/>
  <c r="B31" i="15"/>
  <c r="H22" i="15"/>
  <c r="H27" i="15" s="1"/>
  <c r="L22" i="15"/>
  <c r="L27" i="15" s="1"/>
  <c r="P22" i="15"/>
  <c r="P27" i="15" s="1"/>
  <c r="T22" i="15"/>
  <c r="T27" i="15" s="1"/>
  <c r="X22" i="15"/>
  <c r="X27" i="15" s="1"/>
  <c r="AB22" i="15"/>
  <c r="AB27" i="15" s="1"/>
  <c r="E64" i="14"/>
  <c r="E61" i="14" s="1"/>
  <c r="E81" i="14"/>
  <c r="D81" i="14" s="1"/>
  <c r="E91" i="14"/>
  <c r="C109" i="14"/>
  <c r="H148" i="14"/>
  <c r="L148" i="14"/>
  <c r="P148" i="14"/>
  <c r="T148" i="14"/>
  <c r="X148" i="14"/>
  <c r="AB148" i="14"/>
  <c r="AG150" i="14"/>
  <c r="I174" i="14"/>
  <c r="M174" i="14"/>
  <c r="Q174" i="14"/>
  <c r="U174" i="14"/>
  <c r="Y174" i="14"/>
  <c r="AC174" i="14"/>
  <c r="AG191" i="14"/>
  <c r="B237" i="14"/>
  <c r="AG237" i="14" s="1"/>
  <c r="E277" i="14"/>
  <c r="B286" i="14"/>
  <c r="AG286" i="14" s="1"/>
  <c r="B304" i="14"/>
  <c r="AG304" i="14" s="1"/>
  <c r="D13" i="17"/>
  <c r="C68" i="17"/>
  <c r="C88" i="17"/>
  <c r="W126" i="17"/>
  <c r="AA126" i="17"/>
  <c r="AE126" i="17"/>
  <c r="B12" i="8"/>
  <c r="B18" i="8"/>
  <c r="G19" i="8"/>
  <c r="F21" i="8"/>
  <c r="G21" i="8"/>
  <c r="G52" i="8"/>
  <c r="C50" i="8"/>
  <c r="G54" i="8"/>
  <c r="C27" i="8"/>
  <c r="C277" i="8" s="1"/>
  <c r="B57" i="8"/>
  <c r="G60" i="8"/>
  <c r="F60" i="8"/>
  <c r="G73" i="8"/>
  <c r="B76" i="8"/>
  <c r="G79" i="8"/>
  <c r="G85" i="8"/>
  <c r="B88" i="8"/>
  <c r="G91" i="8"/>
  <c r="G97" i="8"/>
  <c r="F114" i="8"/>
  <c r="G114" i="8"/>
  <c r="G116" i="8"/>
  <c r="G120" i="8"/>
  <c r="G122" i="8"/>
  <c r="H287" i="8"/>
  <c r="L287" i="8"/>
  <c r="P287" i="8"/>
  <c r="T287" i="8"/>
  <c r="X287" i="8"/>
  <c r="AB287" i="8"/>
  <c r="J289" i="8"/>
  <c r="J286" i="8" s="1"/>
  <c r="N289" i="8"/>
  <c r="N286" i="8" s="1"/>
  <c r="R289" i="8"/>
  <c r="R286" i="8" s="1"/>
  <c r="V289" i="8"/>
  <c r="Z289" i="8"/>
  <c r="Z286" i="8" s="1"/>
  <c r="AD289" i="8"/>
  <c r="AD286" i="8" s="1"/>
  <c r="D127" i="8"/>
  <c r="D124" i="8" s="1"/>
  <c r="G179" i="8"/>
  <c r="G197" i="8"/>
  <c r="B200" i="8"/>
  <c r="G203" i="8"/>
  <c r="F209" i="8"/>
  <c r="F246" i="8"/>
  <c r="G246" i="8"/>
  <c r="I281" i="8"/>
  <c r="M281" i="8"/>
  <c r="Q281" i="8"/>
  <c r="U281" i="8"/>
  <c r="Y281" i="8"/>
  <c r="AC281" i="8"/>
  <c r="C92" i="9"/>
  <c r="I80" i="9"/>
  <c r="I91" i="9" s="1"/>
  <c r="I85" i="9"/>
  <c r="K80" i="9"/>
  <c r="K91" i="9" s="1"/>
  <c r="K85" i="9"/>
  <c r="M80" i="9"/>
  <c r="M91" i="9" s="1"/>
  <c r="M85" i="9"/>
  <c r="O80" i="9"/>
  <c r="O91" i="9" s="1"/>
  <c r="O85" i="9"/>
  <c r="Q80" i="9"/>
  <c r="Q91" i="9" s="1"/>
  <c r="Q85" i="9"/>
  <c r="S80" i="9"/>
  <c r="S91" i="9" s="1"/>
  <c r="S85" i="9"/>
  <c r="U80" i="9"/>
  <c r="U91" i="9" s="1"/>
  <c r="U85" i="9"/>
  <c r="W80" i="9"/>
  <c r="W91" i="9" s="1"/>
  <c r="W85" i="9"/>
  <c r="Y80" i="9"/>
  <c r="Y91" i="9" s="1"/>
  <c r="Y85" i="9"/>
  <c r="AA80" i="9"/>
  <c r="AA91" i="9" s="1"/>
  <c r="AA85" i="9"/>
  <c r="AC80" i="9"/>
  <c r="AC91" i="9" s="1"/>
  <c r="AC85" i="9"/>
  <c r="AE80" i="9"/>
  <c r="AE91" i="9" s="1"/>
  <c r="AE85" i="9"/>
  <c r="H81" i="9"/>
  <c r="H92" i="9" s="1"/>
  <c r="H86" i="9"/>
  <c r="J81" i="9"/>
  <c r="J92" i="9" s="1"/>
  <c r="J86" i="9"/>
  <c r="L81" i="9"/>
  <c r="L92" i="9" s="1"/>
  <c r="L86" i="9"/>
  <c r="N81" i="9"/>
  <c r="N92" i="9" s="1"/>
  <c r="N86" i="9"/>
  <c r="P81" i="9"/>
  <c r="P92" i="9" s="1"/>
  <c r="P86" i="9"/>
  <c r="R81" i="9"/>
  <c r="R92" i="9" s="1"/>
  <c r="R86" i="9"/>
  <c r="T81" i="9"/>
  <c r="T92" i="9" s="1"/>
  <c r="T86" i="9"/>
  <c r="V81" i="9"/>
  <c r="V92" i="9" s="1"/>
  <c r="V86" i="9"/>
  <c r="X81" i="9"/>
  <c r="X92" i="9" s="1"/>
  <c r="X86" i="9"/>
  <c r="Z81" i="9"/>
  <c r="Z92" i="9" s="1"/>
  <c r="Z86" i="9"/>
  <c r="AB81" i="9"/>
  <c r="AB92" i="9" s="1"/>
  <c r="AB86" i="9"/>
  <c r="AD81" i="9"/>
  <c r="AD92" i="9" s="1"/>
  <c r="AD86" i="9"/>
  <c r="I82" i="9"/>
  <c r="I93" i="9" s="1"/>
  <c r="I87" i="9"/>
  <c r="K82" i="9"/>
  <c r="K93" i="9" s="1"/>
  <c r="K87" i="9"/>
  <c r="M82" i="9"/>
  <c r="M93" i="9" s="1"/>
  <c r="M87" i="9"/>
  <c r="O82" i="9"/>
  <c r="O93" i="9" s="1"/>
  <c r="O87" i="9"/>
  <c r="Q82" i="9"/>
  <c r="Q93" i="9" s="1"/>
  <c r="Q87" i="9"/>
  <c r="S82" i="9"/>
  <c r="S93" i="9" s="1"/>
  <c r="S87" i="9"/>
  <c r="U82" i="9"/>
  <c r="U93" i="9" s="1"/>
  <c r="U87" i="9"/>
  <c r="W82" i="9"/>
  <c r="W93" i="9" s="1"/>
  <c r="W87" i="9"/>
  <c r="Y82" i="9"/>
  <c r="Y93" i="9" s="1"/>
  <c r="Y87" i="9"/>
  <c r="AA82" i="9"/>
  <c r="AA93" i="9" s="1"/>
  <c r="AA87" i="9"/>
  <c r="AC82" i="9"/>
  <c r="AC93" i="9" s="1"/>
  <c r="AC87" i="9"/>
  <c r="AE82" i="9"/>
  <c r="AE93" i="9" s="1"/>
  <c r="AE87" i="9"/>
  <c r="H83" i="9"/>
  <c r="H94" i="9" s="1"/>
  <c r="H88" i="9"/>
  <c r="J83" i="9"/>
  <c r="J94" i="9" s="1"/>
  <c r="J88" i="9"/>
  <c r="L83" i="9"/>
  <c r="L94" i="9" s="1"/>
  <c r="L88" i="9"/>
  <c r="N83" i="9"/>
  <c r="N94" i="9" s="1"/>
  <c r="N88" i="9"/>
  <c r="P83" i="9"/>
  <c r="P94" i="9" s="1"/>
  <c r="P88" i="9"/>
  <c r="R83" i="9"/>
  <c r="R94" i="9" s="1"/>
  <c r="R88" i="9"/>
  <c r="T83" i="9"/>
  <c r="T94" i="9" s="1"/>
  <c r="T88" i="9"/>
  <c r="V83" i="9"/>
  <c r="V94" i="9" s="1"/>
  <c r="V88" i="9"/>
  <c r="X83" i="9"/>
  <c r="X94" i="9" s="1"/>
  <c r="X88" i="9"/>
  <c r="Z83" i="9"/>
  <c r="Z94" i="9" s="1"/>
  <c r="Z88" i="9"/>
  <c r="AB83" i="9"/>
  <c r="AB94" i="9" s="1"/>
  <c r="AB88" i="9"/>
  <c r="AD83" i="9"/>
  <c r="AD94" i="9" s="1"/>
  <c r="AD88" i="9"/>
  <c r="C88" i="9"/>
  <c r="D88" i="9"/>
  <c r="AG71" i="9"/>
  <c r="E81" i="9"/>
  <c r="E92" i="9" s="1"/>
  <c r="G27" i="11"/>
  <c r="C24" i="11"/>
  <c r="D50" i="11"/>
  <c r="D49" i="11" s="1"/>
  <c r="F33" i="12"/>
  <c r="AG33" i="12"/>
  <c r="G33" i="12"/>
  <c r="G51" i="12"/>
  <c r="C49" i="12"/>
  <c r="F63" i="12"/>
  <c r="K61" i="12"/>
  <c r="O61" i="12"/>
  <c r="S61" i="12"/>
  <c r="W61" i="12"/>
  <c r="AA61" i="12"/>
  <c r="AE61" i="12"/>
  <c r="N141" i="12"/>
  <c r="N161" i="12" s="1"/>
  <c r="P151" i="12"/>
  <c r="R141" i="12"/>
  <c r="R161" i="12" s="1"/>
  <c r="T151" i="12"/>
  <c r="V141" i="12"/>
  <c r="V161" i="12" s="1"/>
  <c r="X151" i="12"/>
  <c r="Z141" i="12"/>
  <c r="Z161" i="12" s="1"/>
  <c r="AB151" i="12"/>
  <c r="AD141" i="12"/>
  <c r="AD161" i="12" s="1"/>
  <c r="F65" i="12"/>
  <c r="M152" i="12"/>
  <c r="O142" i="12"/>
  <c r="O162" i="12" s="1"/>
  <c r="Q152" i="12"/>
  <c r="S142" i="12"/>
  <c r="S162" i="12" s="1"/>
  <c r="U152" i="12"/>
  <c r="W142" i="12"/>
  <c r="W162" i="12" s="1"/>
  <c r="Y152" i="12"/>
  <c r="AA142" i="12"/>
  <c r="AA162" i="12" s="1"/>
  <c r="AC152" i="12"/>
  <c r="AE142" i="12"/>
  <c r="AE162" i="12" s="1"/>
  <c r="AG67" i="12"/>
  <c r="G70" i="12"/>
  <c r="G77" i="12"/>
  <c r="G81" i="12"/>
  <c r="G83" i="12"/>
  <c r="G103" i="12"/>
  <c r="G26" i="14"/>
  <c r="F38" i="14"/>
  <c r="AG38" i="14"/>
  <c r="G38" i="14"/>
  <c r="AG43" i="14"/>
  <c r="B49" i="14"/>
  <c r="AG52" i="14"/>
  <c r="G52" i="14"/>
  <c r="G62" i="14"/>
  <c r="F63" i="14"/>
  <c r="G63" i="14"/>
  <c r="K61" i="14"/>
  <c r="O61" i="14"/>
  <c r="Q363" i="14"/>
  <c r="S61" i="14"/>
  <c r="W61" i="14"/>
  <c r="Y363" i="14"/>
  <c r="AA61" i="14"/>
  <c r="AE61" i="14"/>
  <c r="F65" i="14"/>
  <c r="AG67" i="14"/>
  <c r="G70" i="14"/>
  <c r="B73" i="14"/>
  <c r="AG76" i="14"/>
  <c r="G76" i="14"/>
  <c r="F89" i="14"/>
  <c r="G89" i="14"/>
  <c r="K85" i="14"/>
  <c r="M79" i="14"/>
  <c r="O85" i="14"/>
  <c r="Q79" i="14"/>
  <c r="S85" i="14"/>
  <c r="W85" i="14"/>
  <c r="Y79" i="14"/>
  <c r="AA85" i="14"/>
  <c r="AC79" i="14"/>
  <c r="AE85" i="14"/>
  <c r="F92" i="14"/>
  <c r="AG92" i="14"/>
  <c r="G92" i="14"/>
  <c r="B91" i="14"/>
  <c r="AG91" i="14" s="1"/>
  <c r="D91" i="14"/>
  <c r="G94" i="14"/>
  <c r="B97" i="14"/>
  <c r="AG100" i="14"/>
  <c r="B103" i="14"/>
  <c r="AG106" i="14"/>
  <c r="G106" i="14"/>
  <c r="B109" i="14"/>
  <c r="AG112" i="14"/>
  <c r="G112" i="14"/>
  <c r="B115" i="14"/>
  <c r="AG118" i="14"/>
  <c r="G118" i="14"/>
  <c r="B121" i="14"/>
  <c r="AG124" i="14"/>
  <c r="G128" i="14"/>
  <c r="F129" i="14"/>
  <c r="K127" i="14"/>
  <c r="O127" i="14"/>
  <c r="S127" i="14"/>
  <c r="W127" i="14"/>
  <c r="AA127" i="14"/>
  <c r="AE127" i="14"/>
  <c r="F131" i="14"/>
  <c r="G149" i="14"/>
  <c r="I148" i="14"/>
  <c r="M148" i="14"/>
  <c r="Q148" i="14"/>
  <c r="U148" i="14"/>
  <c r="Y148" i="14"/>
  <c r="AC148" i="14"/>
  <c r="F152" i="14"/>
  <c r="AG154" i="14"/>
  <c r="G157" i="14"/>
  <c r="G164" i="14"/>
  <c r="J162" i="14"/>
  <c r="N162" i="14"/>
  <c r="R162" i="14"/>
  <c r="V162" i="14"/>
  <c r="Z162" i="14"/>
  <c r="AD162" i="14"/>
  <c r="G166" i="14"/>
  <c r="AG166" i="14"/>
  <c r="G170" i="14"/>
  <c r="G178" i="14"/>
  <c r="F182" i="14"/>
  <c r="AG182" i="14"/>
  <c r="I187" i="14"/>
  <c r="M187" i="14"/>
  <c r="Q187" i="14"/>
  <c r="U187" i="14"/>
  <c r="Y187" i="14"/>
  <c r="AC187" i="14"/>
  <c r="F194" i="14"/>
  <c r="AG194" i="14"/>
  <c r="G194" i="14"/>
  <c r="G196" i="14"/>
  <c r="D188" i="14"/>
  <c r="G200" i="14"/>
  <c r="D190" i="14"/>
  <c r="G202" i="14"/>
  <c r="I205" i="14"/>
  <c r="M205" i="14"/>
  <c r="Q205" i="14"/>
  <c r="U205" i="14"/>
  <c r="Y205" i="14"/>
  <c r="AC205" i="14"/>
  <c r="F212" i="14"/>
  <c r="AG212" i="14"/>
  <c r="G212" i="14"/>
  <c r="G214" i="14"/>
  <c r="D206" i="14"/>
  <c r="G218" i="14"/>
  <c r="D208" i="14"/>
  <c r="G220" i="14"/>
  <c r="F224" i="14"/>
  <c r="AG224" i="14"/>
  <c r="G224" i="14"/>
  <c r="G226" i="14"/>
  <c r="G230" i="14"/>
  <c r="G232" i="14"/>
  <c r="I235" i="14"/>
  <c r="M235" i="14"/>
  <c r="Q235" i="14"/>
  <c r="U235" i="14"/>
  <c r="Y235" i="14"/>
  <c r="AC235" i="14"/>
  <c r="F242" i="14"/>
  <c r="AG242" i="14"/>
  <c r="G242" i="14"/>
  <c r="G244" i="14"/>
  <c r="D236" i="14"/>
  <c r="G248" i="14"/>
  <c r="G250" i="14"/>
  <c r="J255" i="14"/>
  <c r="L255" i="14"/>
  <c r="N255" i="14"/>
  <c r="R255" i="14"/>
  <c r="T255" i="14"/>
  <c r="V255" i="14"/>
  <c r="Z255" i="14"/>
  <c r="AD255" i="14"/>
  <c r="G259" i="14"/>
  <c r="G263" i="14"/>
  <c r="AG258" i="14"/>
  <c r="AG264" i="14"/>
  <c r="G264" i="14"/>
  <c r="G268" i="14"/>
  <c r="G270" i="14"/>
  <c r="B276" i="14"/>
  <c r="AG276" i="14" s="1"/>
  <c r="L274" i="14"/>
  <c r="N274" i="14"/>
  <c r="P274" i="14"/>
  <c r="T274" i="14"/>
  <c r="V274" i="14"/>
  <c r="X274" i="14"/>
  <c r="AB274" i="14"/>
  <c r="AD274" i="14"/>
  <c r="F282" i="14"/>
  <c r="AG282" i="14"/>
  <c r="G282" i="14"/>
  <c r="C280" i="14"/>
  <c r="F288" i="14"/>
  <c r="AG288" i="14"/>
  <c r="G288" i="14"/>
  <c r="C286" i="14"/>
  <c r="F294" i="14"/>
  <c r="AG294" i="14"/>
  <c r="G294" i="14"/>
  <c r="C292" i="14"/>
  <c r="F306" i="14"/>
  <c r="AG306" i="14"/>
  <c r="G306" i="14"/>
  <c r="C304" i="14"/>
  <c r="K298" i="14"/>
  <c r="M298" i="14"/>
  <c r="O298" i="14"/>
  <c r="Q298" i="14"/>
  <c r="S298" i="14"/>
  <c r="U298" i="14"/>
  <c r="W298" i="14"/>
  <c r="Y298" i="14"/>
  <c r="AA298" i="14"/>
  <c r="AC298" i="14"/>
  <c r="AE298" i="14"/>
  <c r="L298" i="14"/>
  <c r="T298" i="14"/>
  <c r="AB298" i="14"/>
  <c r="G324" i="14"/>
  <c r="G330" i="14"/>
  <c r="H334" i="14"/>
  <c r="L334" i="14"/>
  <c r="P334" i="14"/>
  <c r="T334" i="14"/>
  <c r="X334" i="14"/>
  <c r="AB334" i="14"/>
  <c r="G342" i="14"/>
  <c r="G348" i="14"/>
  <c r="B24" i="15"/>
  <c r="AG24" i="15" s="1"/>
  <c r="B29" i="15"/>
  <c r="AG13" i="15"/>
  <c r="D29" i="15"/>
  <c r="D25" i="15"/>
  <c r="D30" i="15" s="1"/>
  <c r="C17" i="15"/>
  <c r="K22" i="15"/>
  <c r="K27" i="15" s="1"/>
  <c r="O22" i="15"/>
  <c r="O27" i="15" s="1"/>
  <c r="S22" i="15"/>
  <c r="S27" i="15" s="1"/>
  <c r="W22" i="15"/>
  <c r="W27" i="15" s="1"/>
  <c r="AA22" i="15"/>
  <c r="AA27" i="15" s="1"/>
  <c r="AE22" i="15"/>
  <c r="AE27" i="15" s="1"/>
  <c r="G19" i="17"/>
  <c r="G21" i="17"/>
  <c r="AG26" i="17"/>
  <c r="F34" i="17"/>
  <c r="AG34" i="17"/>
  <c r="G34" i="17"/>
  <c r="F37" i="17"/>
  <c r="AG37" i="17"/>
  <c r="G37" i="17"/>
  <c r="G41" i="17"/>
  <c r="G44" i="17"/>
  <c r="F48" i="17"/>
  <c r="AG48" i="17"/>
  <c r="G48" i="17"/>
  <c r="F50" i="17"/>
  <c r="AG50" i="17"/>
  <c r="G50" i="17"/>
  <c r="B61" i="17"/>
  <c r="AG61" i="17" s="1"/>
  <c r="F66" i="17"/>
  <c r="AG66" i="17"/>
  <c r="G66" i="17"/>
  <c r="B74" i="17"/>
  <c r="AG74" i="17" s="1"/>
  <c r="B88" i="17"/>
  <c r="AG88" i="17" s="1"/>
  <c r="B94" i="17"/>
  <c r="AG94" i="17" s="1"/>
  <c r="B100" i="17"/>
  <c r="AG100" i="17" s="1"/>
  <c r="I105" i="17"/>
  <c r="Q105" i="17"/>
  <c r="Q126" i="17"/>
  <c r="Y105" i="17"/>
  <c r="H111" i="17"/>
  <c r="H122" i="17" s="1"/>
  <c r="J111" i="17"/>
  <c r="N111" i="17"/>
  <c r="P111" i="17"/>
  <c r="P122" i="17" s="1"/>
  <c r="R111" i="17"/>
  <c r="V111" i="17"/>
  <c r="X111" i="17"/>
  <c r="X122" i="17" s="1"/>
  <c r="Z111" i="17"/>
  <c r="AD111" i="17"/>
  <c r="K276" i="8"/>
  <c r="K25" i="8"/>
  <c r="O276" i="8"/>
  <c r="O25" i="8"/>
  <c r="S276" i="8"/>
  <c r="S25" i="8"/>
  <c r="W276" i="8"/>
  <c r="W25" i="8"/>
  <c r="AA276" i="8"/>
  <c r="AA25" i="8"/>
  <c r="F32" i="8"/>
  <c r="D32" i="8"/>
  <c r="F33" i="8"/>
  <c r="T289" i="8"/>
  <c r="B47" i="8"/>
  <c r="F47" i="8" s="1"/>
  <c r="T28" i="8"/>
  <c r="F73" i="8"/>
  <c r="F85" i="8"/>
  <c r="F120" i="8"/>
  <c r="F121" i="8"/>
  <c r="D121" i="8"/>
  <c r="E118" i="8"/>
  <c r="F197" i="8"/>
  <c r="F215" i="8"/>
  <c r="D215" i="8"/>
  <c r="D212" i="8" s="1"/>
  <c r="E212" i="8"/>
  <c r="F229" i="8"/>
  <c r="D229" i="8"/>
  <c r="E226" i="8"/>
  <c r="F253" i="8"/>
  <c r="D253" i="8"/>
  <c r="D250" i="8" s="1"/>
  <c r="E250" i="8"/>
  <c r="F267" i="8"/>
  <c r="D267" i="8"/>
  <c r="E264" i="8"/>
  <c r="F273" i="8"/>
  <c r="D273" i="8"/>
  <c r="D270" i="8" s="1"/>
  <c r="E270" i="8"/>
  <c r="B280" i="8"/>
  <c r="E287" i="8"/>
  <c r="M287" i="8"/>
  <c r="B288" i="8"/>
  <c r="L290" i="8"/>
  <c r="T290" i="8"/>
  <c r="AB290" i="8"/>
  <c r="AG14" i="9"/>
  <c r="AG24" i="9"/>
  <c r="AG19" i="9"/>
  <c r="AG30" i="9"/>
  <c r="AG25" i="9"/>
  <c r="J87" i="9"/>
  <c r="J82" i="9"/>
  <c r="J93" i="9" s="1"/>
  <c r="N87" i="9"/>
  <c r="N82" i="9"/>
  <c r="N93" i="9" s="1"/>
  <c r="R87" i="9"/>
  <c r="R82" i="9"/>
  <c r="R93" i="9" s="1"/>
  <c r="V87" i="9"/>
  <c r="V82" i="9"/>
  <c r="V93" i="9" s="1"/>
  <c r="Z87" i="9"/>
  <c r="Z82" i="9"/>
  <c r="Z93" i="9" s="1"/>
  <c r="AB87" i="9"/>
  <c r="AB82" i="9"/>
  <c r="AB93" i="9" s="1"/>
  <c r="G14" i="8"/>
  <c r="C276" i="8"/>
  <c r="I276" i="8"/>
  <c r="I25" i="8"/>
  <c r="M276" i="8"/>
  <c r="M25" i="8"/>
  <c r="Q276" i="8"/>
  <c r="Q25" i="8"/>
  <c r="U25" i="8"/>
  <c r="Y276" i="8"/>
  <c r="Y25" i="8"/>
  <c r="AC25" i="8"/>
  <c r="AE276" i="8"/>
  <c r="AE25" i="8"/>
  <c r="F34" i="8"/>
  <c r="D34" i="8"/>
  <c r="E31" i="8"/>
  <c r="C290" i="8"/>
  <c r="C280" i="8"/>
  <c r="G35" i="8"/>
  <c r="F41" i="8"/>
  <c r="D41" i="8"/>
  <c r="D38" i="8" s="1"/>
  <c r="E38" i="8"/>
  <c r="G47" i="8"/>
  <c r="F52" i="8"/>
  <c r="F53" i="8"/>
  <c r="D53" i="8"/>
  <c r="D50" i="8" s="1"/>
  <c r="E50" i="8"/>
  <c r="F54" i="8"/>
  <c r="F59" i="8"/>
  <c r="D59" i="8"/>
  <c r="D27" i="8" s="1"/>
  <c r="E27" i="8"/>
  <c r="F97" i="8"/>
  <c r="C106" i="8"/>
  <c r="C103" i="8"/>
  <c r="C100" i="8" s="1"/>
  <c r="C112" i="8"/>
  <c r="F119" i="8"/>
  <c r="D119" i="8"/>
  <c r="F122" i="8"/>
  <c r="G180" i="8"/>
  <c r="C188" i="8"/>
  <c r="G191" i="8"/>
  <c r="G188" i="8" s="1"/>
  <c r="F235" i="8"/>
  <c r="D235" i="8"/>
  <c r="D232" i="8" s="1"/>
  <c r="E232" i="8"/>
  <c r="B284" i="8"/>
  <c r="C285" i="8"/>
  <c r="I287" i="8"/>
  <c r="Q287" i="8"/>
  <c r="Y287" i="8"/>
  <c r="K289" i="8"/>
  <c r="S289" i="8"/>
  <c r="AA289" i="8"/>
  <c r="H290" i="8"/>
  <c r="P290" i="8"/>
  <c r="X290" i="8"/>
  <c r="D92" i="9"/>
  <c r="L87" i="9"/>
  <c r="L82" i="9"/>
  <c r="L93" i="9" s="1"/>
  <c r="P87" i="9"/>
  <c r="P82" i="9"/>
  <c r="P93" i="9" s="1"/>
  <c r="T87" i="9"/>
  <c r="T82" i="9"/>
  <c r="T93" i="9" s="1"/>
  <c r="X87" i="9"/>
  <c r="X82" i="9"/>
  <c r="X93" i="9" s="1"/>
  <c r="AD87" i="9"/>
  <c r="AD82" i="9"/>
  <c r="F13" i="8"/>
  <c r="F14" i="8"/>
  <c r="D14" i="8"/>
  <c r="F15" i="8"/>
  <c r="F16" i="8"/>
  <c r="D16" i="8"/>
  <c r="F19" i="8"/>
  <c r="F20" i="8"/>
  <c r="D20" i="8"/>
  <c r="F22" i="8"/>
  <c r="D22" i="8"/>
  <c r="J25" i="8"/>
  <c r="N25" i="8"/>
  <c r="R25" i="8"/>
  <c r="V25" i="8"/>
  <c r="Z25" i="8"/>
  <c r="AD25" i="8"/>
  <c r="E26" i="8"/>
  <c r="B27" i="8"/>
  <c r="K278" i="8"/>
  <c r="G32" i="8"/>
  <c r="C288" i="8"/>
  <c r="E288" i="8"/>
  <c r="C31" i="8"/>
  <c r="G34" i="8"/>
  <c r="E280" i="8"/>
  <c r="F35" i="8"/>
  <c r="D35" i="8"/>
  <c r="G41" i="8"/>
  <c r="T44" i="8"/>
  <c r="D47" i="8"/>
  <c r="D44" i="8" s="1"/>
  <c r="E44" i="8"/>
  <c r="G53" i="8"/>
  <c r="E57" i="8"/>
  <c r="G59" i="8"/>
  <c r="B67" i="8"/>
  <c r="D67" i="8"/>
  <c r="D64" i="8" s="1"/>
  <c r="F79" i="8"/>
  <c r="F91" i="8"/>
  <c r="F109" i="8"/>
  <c r="D109" i="8"/>
  <c r="E106" i="8"/>
  <c r="E103" i="8"/>
  <c r="F113" i="8"/>
  <c r="D113" i="8"/>
  <c r="F115" i="8"/>
  <c r="D115" i="8"/>
  <c r="E112" i="8"/>
  <c r="B104" i="8"/>
  <c r="F116" i="8"/>
  <c r="G119" i="8"/>
  <c r="C118" i="8"/>
  <c r="G121" i="8"/>
  <c r="M127" i="8"/>
  <c r="M124" i="8" s="1"/>
  <c r="O127" i="8"/>
  <c r="O124" i="8" s="1"/>
  <c r="W127" i="8"/>
  <c r="W124" i="8" s="1"/>
  <c r="AE127" i="8"/>
  <c r="AE124" i="8" s="1"/>
  <c r="H127" i="8"/>
  <c r="H124" i="8" s="1"/>
  <c r="L127" i="8"/>
  <c r="L124" i="8" s="1"/>
  <c r="P127" i="8"/>
  <c r="P124" i="8" s="1"/>
  <c r="T127" i="8"/>
  <c r="T124" i="8" s="1"/>
  <c r="X127" i="8"/>
  <c r="X124" i="8" s="1"/>
  <c r="AB127" i="8"/>
  <c r="AB124" i="8" s="1"/>
  <c r="H289" i="8"/>
  <c r="L289" i="8"/>
  <c r="X289" i="8"/>
  <c r="AB289" i="8"/>
  <c r="F178" i="8"/>
  <c r="D178" i="8"/>
  <c r="F179" i="8"/>
  <c r="F180" i="8"/>
  <c r="D180" i="8"/>
  <c r="D149" i="8" s="1"/>
  <c r="F191" i="8"/>
  <c r="F188" i="8" s="1"/>
  <c r="D191" i="8"/>
  <c r="E188" i="8"/>
  <c r="B186" i="8"/>
  <c r="F203" i="8"/>
  <c r="B206" i="8"/>
  <c r="C209" i="8"/>
  <c r="C206" i="8" s="1"/>
  <c r="H206" i="8"/>
  <c r="G215" i="8"/>
  <c r="G229" i="8"/>
  <c r="G235" i="8"/>
  <c r="G253" i="8"/>
  <c r="G267" i="8"/>
  <c r="G273" i="8"/>
  <c r="B282" i="8"/>
  <c r="E285" i="8"/>
  <c r="K287" i="8"/>
  <c r="O287" i="8"/>
  <c r="S287" i="8"/>
  <c r="W287" i="8"/>
  <c r="AA287" i="8"/>
  <c r="AE287" i="8"/>
  <c r="I289" i="8"/>
  <c r="M289" i="8"/>
  <c r="Q289" i="8"/>
  <c r="U289" i="8"/>
  <c r="Y289" i="8"/>
  <c r="AC289" i="8"/>
  <c r="AG11" i="9"/>
  <c r="AG13" i="9"/>
  <c r="AG15" i="9"/>
  <c r="C91" i="9"/>
  <c r="H85" i="9"/>
  <c r="H80" i="9"/>
  <c r="J85" i="9"/>
  <c r="J80" i="9"/>
  <c r="L85" i="9"/>
  <c r="L80" i="9"/>
  <c r="N85" i="9"/>
  <c r="N80" i="9"/>
  <c r="P85" i="9"/>
  <c r="P80" i="9"/>
  <c r="R85" i="9"/>
  <c r="R80" i="9"/>
  <c r="T85" i="9"/>
  <c r="T80" i="9"/>
  <c r="V85" i="9"/>
  <c r="V80" i="9"/>
  <c r="X85" i="9"/>
  <c r="X80" i="9"/>
  <c r="Z85" i="9"/>
  <c r="Z80" i="9"/>
  <c r="AB85" i="9"/>
  <c r="AB80" i="9"/>
  <c r="AD85" i="9"/>
  <c r="AD80" i="9"/>
  <c r="E86" i="9"/>
  <c r="I86" i="9"/>
  <c r="I81" i="9"/>
  <c r="I92" i="9" s="1"/>
  <c r="K86" i="9"/>
  <c r="K81" i="9"/>
  <c r="K92" i="9" s="1"/>
  <c r="M86" i="9"/>
  <c r="M81" i="9"/>
  <c r="M92" i="9" s="1"/>
  <c r="O86" i="9"/>
  <c r="O81" i="9"/>
  <c r="O92" i="9" s="1"/>
  <c r="Q86" i="9"/>
  <c r="Q81" i="9"/>
  <c r="Q92" i="9" s="1"/>
  <c r="S86" i="9"/>
  <c r="S81" i="9"/>
  <c r="S92" i="9" s="1"/>
  <c r="U86" i="9"/>
  <c r="U81" i="9"/>
  <c r="U92" i="9" s="1"/>
  <c r="W86" i="9"/>
  <c r="W81" i="9"/>
  <c r="W92" i="9" s="1"/>
  <c r="Y86" i="9"/>
  <c r="Y81" i="9"/>
  <c r="Y92" i="9" s="1"/>
  <c r="AA86" i="9"/>
  <c r="AA81" i="9"/>
  <c r="AA92" i="9" s="1"/>
  <c r="AC86" i="9"/>
  <c r="AC81" i="9"/>
  <c r="AC92" i="9" s="1"/>
  <c r="AE86" i="9"/>
  <c r="AE81" i="9"/>
  <c r="AE92" i="9" s="1"/>
  <c r="E88" i="9"/>
  <c r="E83" i="9"/>
  <c r="E94" i="9" s="1"/>
  <c r="I88" i="9"/>
  <c r="I83" i="9"/>
  <c r="I94" i="9" s="1"/>
  <c r="K88" i="9"/>
  <c r="K83" i="9"/>
  <c r="K94" i="9" s="1"/>
  <c r="M88" i="9"/>
  <c r="M83" i="9"/>
  <c r="M94" i="9" s="1"/>
  <c r="O88" i="9"/>
  <c r="O83" i="9"/>
  <c r="O94" i="9" s="1"/>
  <c r="Q88" i="9"/>
  <c r="Q83" i="9"/>
  <c r="Q94" i="9" s="1"/>
  <c r="S88" i="9"/>
  <c r="S83" i="9"/>
  <c r="S94" i="9" s="1"/>
  <c r="U88" i="9"/>
  <c r="U83" i="9"/>
  <c r="U94" i="9" s="1"/>
  <c r="W88" i="9"/>
  <c r="W83" i="9"/>
  <c r="W94" i="9" s="1"/>
  <c r="Y88" i="9"/>
  <c r="Y83" i="9"/>
  <c r="Y94" i="9" s="1"/>
  <c r="AA88" i="9"/>
  <c r="AA83" i="9"/>
  <c r="AA94" i="9" s="1"/>
  <c r="AC88" i="9"/>
  <c r="AC83" i="9"/>
  <c r="AC94" i="9" s="1"/>
  <c r="AE88" i="9"/>
  <c r="AE83" i="9"/>
  <c r="AE94" i="9" s="1"/>
  <c r="AG40" i="9"/>
  <c r="B81" i="9"/>
  <c r="B92" i="9" s="1"/>
  <c r="AG37" i="9"/>
  <c r="AG45" i="9"/>
  <c r="AG51" i="9"/>
  <c r="AG60" i="9"/>
  <c r="AG36" i="9"/>
  <c r="K107" i="11"/>
  <c r="M107" i="11"/>
  <c r="O107" i="11"/>
  <c r="Q107" i="11"/>
  <c r="S107" i="11"/>
  <c r="U107" i="11"/>
  <c r="W107" i="11"/>
  <c r="Y107" i="11"/>
  <c r="AA107" i="11"/>
  <c r="AC107" i="11"/>
  <c r="AC102" i="11"/>
  <c r="AE107" i="11"/>
  <c r="AE102" i="11"/>
  <c r="J110" i="11"/>
  <c r="J105" i="11"/>
  <c r="L110" i="11"/>
  <c r="L105" i="11"/>
  <c r="N110" i="11"/>
  <c r="N105" i="11"/>
  <c r="P110" i="11"/>
  <c r="P105" i="11"/>
  <c r="R110" i="11"/>
  <c r="R105" i="11"/>
  <c r="T110" i="11"/>
  <c r="T105" i="11"/>
  <c r="V110" i="11"/>
  <c r="V105" i="11"/>
  <c r="X110" i="11"/>
  <c r="X105" i="11"/>
  <c r="Z110" i="11"/>
  <c r="Z105" i="11"/>
  <c r="AB110" i="11"/>
  <c r="AB105" i="11"/>
  <c r="AD110" i="11"/>
  <c r="AD105" i="11"/>
  <c r="F27" i="11"/>
  <c r="F24" i="11" s="1"/>
  <c r="F15" i="11" s="1"/>
  <c r="F12" i="11" s="1"/>
  <c r="F11" i="11" s="1"/>
  <c r="D44" i="11"/>
  <c r="D43" i="11" s="1"/>
  <c r="B50" i="11"/>
  <c r="B49" i="11" s="1"/>
  <c r="H58" i="11"/>
  <c r="J58" i="11"/>
  <c r="J57" i="11" s="1"/>
  <c r="J107" i="11"/>
  <c r="L107" i="11"/>
  <c r="N58" i="11"/>
  <c r="N107" i="11"/>
  <c r="P107" i="11"/>
  <c r="R58" i="11"/>
  <c r="R57" i="11" s="1"/>
  <c r="R107" i="11"/>
  <c r="T107" i="11"/>
  <c r="V58" i="11"/>
  <c r="V57" i="11" s="1"/>
  <c r="V107" i="11"/>
  <c r="X107" i="11"/>
  <c r="Z58" i="11"/>
  <c r="Z57" i="11" s="1"/>
  <c r="Z107" i="11"/>
  <c r="AB107" i="11"/>
  <c r="AD58" i="11"/>
  <c r="AD107" i="11"/>
  <c r="AD102" i="11"/>
  <c r="B64" i="11"/>
  <c r="K105" i="11"/>
  <c r="K110" i="11"/>
  <c r="M110" i="11"/>
  <c r="M105" i="11"/>
  <c r="O105" i="11"/>
  <c r="O110" i="11"/>
  <c r="Q110" i="11"/>
  <c r="Q105" i="11"/>
  <c r="S105" i="11"/>
  <c r="S110" i="11"/>
  <c r="U110" i="11"/>
  <c r="U105" i="11"/>
  <c r="W105" i="11"/>
  <c r="W110" i="11"/>
  <c r="Y110" i="11"/>
  <c r="Y105" i="11"/>
  <c r="AA105" i="11"/>
  <c r="AA110" i="11"/>
  <c r="AC110" i="11"/>
  <c r="AC105" i="11"/>
  <c r="AE105" i="11"/>
  <c r="AE110" i="11"/>
  <c r="D87" i="11"/>
  <c r="D84" i="11" s="1"/>
  <c r="F93" i="11"/>
  <c r="F90" i="11" s="1"/>
  <c r="AG59" i="9"/>
  <c r="E80" i="9"/>
  <c r="E91" i="9" s="1"/>
  <c r="AG73" i="9"/>
  <c r="AG78" i="9"/>
  <c r="E85" i="9"/>
  <c r="N12" i="11"/>
  <c r="N11" i="11" s="1"/>
  <c r="V12" i="11"/>
  <c r="V11" i="11" s="1"/>
  <c r="AD12" i="11"/>
  <c r="K108" i="11"/>
  <c r="K103" i="11"/>
  <c r="M103" i="11"/>
  <c r="M108" i="11"/>
  <c r="O108" i="11"/>
  <c r="O103" i="11"/>
  <c r="Q103" i="11"/>
  <c r="Q108" i="11"/>
  <c r="S108" i="11"/>
  <c r="S103" i="11"/>
  <c r="U103" i="11"/>
  <c r="U108" i="11"/>
  <c r="W108" i="11"/>
  <c r="W103" i="11"/>
  <c r="Y103" i="11"/>
  <c r="Y108" i="11"/>
  <c r="AA108" i="11"/>
  <c r="AA103" i="11"/>
  <c r="AC103" i="11"/>
  <c r="AC108" i="11"/>
  <c r="AE108" i="11"/>
  <c r="AE103" i="11"/>
  <c r="J104" i="11"/>
  <c r="J109" i="11"/>
  <c r="L12" i="11"/>
  <c r="L11" i="11" s="1"/>
  <c r="L109" i="11"/>
  <c r="L104" i="11"/>
  <c r="N109" i="11"/>
  <c r="P12" i="11"/>
  <c r="P11" i="11" s="1"/>
  <c r="P109" i="11"/>
  <c r="P104" i="11"/>
  <c r="R104" i="11"/>
  <c r="R109" i="11"/>
  <c r="T12" i="11"/>
  <c r="T11" i="11" s="1"/>
  <c r="T109" i="11"/>
  <c r="T104" i="11"/>
  <c r="V104" i="11"/>
  <c r="V109" i="11"/>
  <c r="X12" i="11"/>
  <c r="X11" i="11" s="1"/>
  <c r="X109" i="11"/>
  <c r="X104" i="11"/>
  <c r="Z104" i="11"/>
  <c r="Z109" i="11"/>
  <c r="AB12" i="11"/>
  <c r="AB11" i="11" s="1"/>
  <c r="AB109" i="11"/>
  <c r="AB104" i="11"/>
  <c r="AD104" i="11"/>
  <c r="AD109" i="11"/>
  <c r="B24" i="11"/>
  <c r="P58" i="11"/>
  <c r="P57" i="11" s="1"/>
  <c r="X58" i="11"/>
  <c r="X57" i="11" s="1"/>
  <c r="F73" i="11"/>
  <c r="F70" i="11" s="1"/>
  <c r="B70" i="11"/>
  <c r="G93" i="11"/>
  <c r="I79" i="14"/>
  <c r="G13" i="12"/>
  <c r="F14" i="12"/>
  <c r="AG14" i="12"/>
  <c r="G15" i="12"/>
  <c r="F16" i="12"/>
  <c r="AG16" i="12"/>
  <c r="B152" i="12"/>
  <c r="B142" i="12"/>
  <c r="D152" i="12"/>
  <c r="F29" i="12"/>
  <c r="G34" i="12"/>
  <c r="G40" i="12"/>
  <c r="G46" i="12"/>
  <c r="F51" i="12"/>
  <c r="F52" i="12"/>
  <c r="D52" i="12"/>
  <c r="D49" i="12" s="1"/>
  <c r="E49" i="12"/>
  <c r="F62" i="12"/>
  <c r="F70" i="12"/>
  <c r="F77" i="12"/>
  <c r="F80" i="12"/>
  <c r="F81" i="12"/>
  <c r="F83" i="12"/>
  <c r="G88" i="12"/>
  <c r="G94" i="12"/>
  <c r="G100" i="12"/>
  <c r="F102" i="12"/>
  <c r="D102" i="12"/>
  <c r="F103" i="12"/>
  <c r="F108" i="12"/>
  <c r="D108" i="12"/>
  <c r="AG109" i="12"/>
  <c r="D114" i="12"/>
  <c r="F116" i="12"/>
  <c r="D116" i="12"/>
  <c r="D122" i="12"/>
  <c r="E121" i="12"/>
  <c r="F124" i="12"/>
  <c r="D124" i="12"/>
  <c r="D128" i="12"/>
  <c r="E127" i="12"/>
  <c r="F130" i="12"/>
  <c r="D130" i="12"/>
  <c r="D134" i="12"/>
  <c r="E133" i="12"/>
  <c r="F136" i="12"/>
  <c r="D136" i="12"/>
  <c r="P141" i="12"/>
  <c r="T141" i="12"/>
  <c r="X141" i="12"/>
  <c r="AB141" i="12"/>
  <c r="E142" i="12"/>
  <c r="N151" i="12"/>
  <c r="R151" i="12"/>
  <c r="V151" i="12"/>
  <c r="Z151" i="12"/>
  <c r="AD151" i="12"/>
  <c r="I357" i="14"/>
  <c r="I12" i="14"/>
  <c r="K352" i="14"/>
  <c r="K372" i="14" s="1"/>
  <c r="K12" i="14"/>
  <c r="M352" i="14"/>
  <c r="M372" i="14" s="1"/>
  <c r="M357" i="14"/>
  <c r="M12" i="14"/>
  <c r="O352" i="14"/>
  <c r="O372" i="14" s="1"/>
  <c r="O12" i="14"/>
  <c r="Q352" i="14"/>
  <c r="Q372" i="14" s="1"/>
  <c r="Q357" i="14"/>
  <c r="Q12" i="14"/>
  <c r="S352" i="14"/>
  <c r="S372" i="14" s="1"/>
  <c r="S12" i="14"/>
  <c r="U352" i="14"/>
  <c r="U372" i="14" s="1"/>
  <c r="U357" i="14"/>
  <c r="U12" i="14"/>
  <c r="W352" i="14"/>
  <c r="W372" i="14" s="1"/>
  <c r="W12" i="14"/>
  <c r="Y352" i="14"/>
  <c r="Y372" i="14" s="1"/>
  <c r="Y357" i="14"/>
  <c r="Y12" i="14"/>
  <c r="AA352" i="14"/>
  <c r="AA372" i="14" s="1"/>
  <c r="AA12" i="14"/>
  <c r="AC352" i="14"/>
  <c r="AC372" i="14" s="1"/>
  <c r="AC357" i="14"/>
  <c r="AC12" i="14"/>
  <c r="AE352" i="14"/>
  <c r="AE372" i="14" s="1"/>
  <c r="AE12" i="14"/>
  <c r="J353" i="14"/>
  <c r="J373" i="14" s="1"/>
  <c r="J358" i="14"/>
  <c r="N358" i="14"/>
  <c r="R353" i="14"/>
  <c r="R373" i="14" s="1"/>
  <c r="R358" i="14"/>
  <c r="V353" i="14"/>
  <c r="V373" i="14" s="1"/>
  <c r="V358" i="14"/>
  <c r="Z353" i="14"/>
  <c r="Z373" i="14" s="1"/>
  <c r="Z358" i="14"/>
  <c r="AD353" i="14"/>
  <c r="AD373" i="14" s="1"/>
  <c r="AD358" i="14"/>
  <c r="K354" i="14"/>
  <c r="K374" i="14" s="1"/>
  <c r="K359" i="14"/>
  <c r="O354" i="14"/>
  <c r="O374" i="14" s="1"/>
  <c r="O359" i="14"/>
  <c r="S354" i="14"/>
  <c r="S374" i="14" s="1"/>
  <c r="S359" i="14"/>
  <c r="W354" i="14"/>
  <c r="W374" i="14" s="1"/>
  <c r="W359" i="14"/>
  <c r="AA354" i="14"/>
  <c r="AA374" i="14" s="1"/>
  <c r="AA359" i="14"/>
  <c r="AE354" i="14"/>
  <c r="AE374" i="14" s="1"/>
  <c r="AE359" i="14"/>
  <c r="H355" i="14"/>
  <c r="H360" i="14"/>
  <c r="L360" i="14"/>
  <c r="P355" i="14"/>
  <c r="P375" i="14" s="1"/>
  <c r="P360" i="14"/>
  <c r="T355" i="14"/>
  <c r="T375" i="14" s="1"/>
  <c r="T360" i="14"/>
  <c r="X355" i="14"/>
  <c r="X375" i="14" s="1"/>
  <c r="X360" i="14"/>
  <c r="AB355" i="14"/>
  <c r="AB375" i="14" s="1"/>
  <c r="AB360" i="14"/>
  <c r="AG16" i="14"/>
  <c r="F19" i="14"/>
  <c r="D19" i="14"/>
  <c r="F20" i="14"/>
  <c r="F21" i="14"/>
  <c r="D21" i="14"/>
  <c r="E18" i="14"/>
  <c r="F25" i="14"/>
  <c r="D25" i="14"/>
  <c r="E24" i="14"/>
  <c r="F26" i="14"/>
  <c r="F27" i="14"/>
  <c r="D27" i="14"/>
  <c r="F28" i="14"/>
  <c r="I365" i="14"/>
  <c r="M365" i="14"/>
  <c r="Q365" i="14"/>
  <c r="U365" i="14"/>
  <c r="Y365" i="14"/>
  <c r="AC365" i="14"/>
  <c r="F46" i="14"/>
  <c r="F62" i="14"/>
  <c r="F70" i="14"/>
  <c r="H79" i="14"/>
  <c r="F94" i="14"/>
  <c r="G105" i="14"/>
  <c r="G111" i="14"/>
  <c r="F128" i="14"/>
  <c r="F143" i="14"/>
  <c r="AG149" i="14"/>
  <c r="F157" i="14"/>
  <c r="F169" i="14"/>
  <c r="D169" i="14"/>
  <c r="D163" i="14" s="1"/>
  <c r="F170" i="14"/>
  <c r="F171" i="14"/>
  <c r="D165" i="14"/>
  <c r="E168" i="14"/>
  <c r="F178" i="14"/>
  <c r="G181" i="14"/>
  <c r="G183" i="14"/>
  <c r="G195" i="14"/>
  <c r="F200" i="14"/>
  <c r="F201" i="14"/>
  <c r="D201" i="14"/>
  <c r="D199" i="14" s="1"/>
  <c r="B199" i="14"/>
  <c r="AG199" i="14" s="1"/>
  <c r="F202" i="14"/>
  <c r="G213" i="14"/>
  <c r="F218" i="14"/>
  <c r="F219" i="14"/>
  <c r="D219" i="14"/>
  <c r="D217" i="14" s="1"/>
  <c r="B217" i="14"/>
  <c r="AG217" i="14" s="1"/>
  <c r="F220" i="14"/>
  <c r="F230" i="14"/>
  <c r="F231" i="14"/>
  <c r="D231" i="14"/>
  <c r="D229" i="14" s="1"/>
  <c r="B229" i="14"/>
  <c r="AG229" i="14" s="1"/>
  <c r="F232" i="14"/>
  <c r="G243" i="14"/>
  <c r="F248" i="14"/>
  <c r="F249" i="14"/>
  <c r="G249" i="14"/>
  <c r="D249" i="14"/>
  <c r="D247" i="14" s="1"/>
  <c r="G256" i="14"/>
  <c r="G262" i="14"/>
  <c r="B263" i="14"/>
  <c r="B261" i="14" s="1"/>
  <c r="B267" i="14"/>
  <c r="AG267" i="14" s="1"/>
  <c r="AG268" i="14"/>
  <c r="F268" i="14"/>
  <c r="F270" i="14"/>
  <c r="C276" i="14"/>
  <c r="H274" i="14"/>
  <c r="G283" i="14"/>
  <c r="G289" i="14"/>
  <c r="G295" i="14"/>
  <c r="G307" i="14"/>
  <c r="E311" i="14"/>
  <c r="I299" i="14"/>
  <c r="I362" i="14" s="1"/>
  <c r="J310" i="14"/>
  <c r="J302" i="14"/>
  <c r="J365" i="14" s="1"/>
  <c r="N310" i="14"/>
  <c r="N302" i="14"/>
  <c r="R310" i="14"/>
  <c r="R302" i="14"/>
  <c r="R298" i="14" s="1"/>
  <c r="V310" i="14"/>
  <c r="V302" i="14"/>
  <c r="Z310" i="14"/>
  <c r="Z302" i="14"/>
  <c r="Z298" i="14" s="1"/>
  <c r="AD310" i="14"/>
  <c r="AD302" i="14"/>
  <c r="AG314" i="14"/>
  <c r="F317" i="14"/>
  <c r="D317" i="14"/>
  <c r="D316" i="14" s="1"/>
  <c r="G317" i="14"/>
  <c r="F319" i="14"/>
  <c r="E316" i="14"/>
  <c r="F324" i="14"/>
  <c r="F329" i="14"/>
  <c r="D329" i="14"/>
  <c r="G329" i="14"/>
  <c r="F331" i="14"/>
  <c r="D331" i="14"/>
  <c r="E328" i="14"/>
  <c r="G331" i="14"/>
  <c r="AG342" i="14"/>
  <c r="B336" i="14"/>
  <c r="D336" i="14"/>
  <c r="F342" i="14"/>
  <c r="F347" i="14"/>
  <c r="D347" i="14"/>
  <c r="G347" i="14"/>
  <c r="F349" i="14"/>
  <c r="D349" i="14"/>
  <c r="E346" i="14"/>
  <c r="G349" i="14"/>
  <c r="V352" i="14"/>
  <c r="V372" i="14" s="1"/>
  <c r="AD352" i="14"/>
  <c r="O353" i="14"/>
  <c r="O373" i="14" s="1"/>
  <c r="W353" i="14"/>
  <c r="W373" i="14" s="1"/>
  <c r="AE353" i="14"/>
  <c r="AE373" i="14" s="1"/>
  <c r="P354" i="14"/>
  <c r="P374" i="14" s="1"/>
  <c r="X354" i="14"/>
  <c r="X374" i="14" s="1"/>
  <c r="I355" i="14"/>
  <c r="I375" i="14" s="1"/>
  <c r="Q355" i="14"/>
  <c r="Q375" i="14" s="1"/>
  <c r="Y355" i="14"/>
  <c r="Y375" i="14" s="1"/>
  <c r="K357" i="14"/>
  <c r="S357" i="14"/>
  <c r="AA357" i="14"/>
  <c r="L358" i="14"/>
  <c r="T358" i="14"/>
  <c r="M359" i="14"/>
  <c r="U359" i="14"/>
  <c r="AC359" i="14"/>
  <c r="N360" i="14"/>
  <c r="V360" i="14"/>
  <c r="AD360" i="14"/>
  <c r="P362" i="14"/>
  <c r="X362" i="14"/>
  <c r="F20" i="17"/>
  <c r="D20" i="17"/>
  <c r="G20" i="17"/>
  <c r="AG118" i="17"/>
  <c r="AG27" i="17"/>
  <c r="B25" i="17"/>
  <c r="AG25" i="17" s="1"/>
  <c r="F27" i="17"/>
  <c r="AG121" i="17"/>
  <c r="AG30" i="17"/>
  <c r="F30" i="17"/>
  <c r="F42" i="17"/>
  <c r="D42" i="17"/>
  <c r="G42" i="17"/>
  <c r="AG63" i="17"/>
  <c r="G13" i="8"/>
  <c r="G15" i="8"/>
  <c r="G33" i="8"/>
  <c r="C282" i="8"/>
  <c r="E282" i="8"/>
  <c r="C284" i="8"/>
  <c r="E284" i="8"/>
  <c r="I290" i="8"/>
  <c r="K290" i="8"/>
  <c r="M290" i="8"/>
  <c r="O290" i="8"/>
  <c r="Q290" i="8"/>
  <c r="S290" i="8"/>
  <c r="U290" i="8"/>
  <c r="W290" i="8"/>
  <c r="Y290" i="8"/>
  <c r="AA290" i="8"/>
  <c r="AC290" i="8"/>
  <c r="AE290" i="8"/>
  <c r="J103" i="11"/>
  <c r="L103" i="11"/>
  <c r="N103" i="11"/>
  <c r="P103" i="11"/>
  <c r="R103" i="11"/>
  <c r="T103" i="11"/>
  <c r="V103" i="11"/>
  <c r="X103" i="11"/>
  <c r="Z103" i="11"/>
  <c r="AB103" i="11"/>
  <c r="AD103" i="11"/>
  <c r="K104" i="11"/>
  <c r="K101" i="11" s="1"/>
  <c r="M104" i="11"/>
  <c r="M101" i="11" s="1"/>
  <c r="Q104" i="11"/>
  <c r="Q101" i="11" s="1"/>
  <c r="S104" i="11"/>
  <c r="U104" i="11"/>
  <c r="W104" i="11"/>
  <c r="Y104" i="11"/>
  <c r="AA104" i="11"/>
  <c r="AC104" i="11"/>
  <c r="AE104" i="11"/>
  <c r="E12" i="12"/>
  <c r="D13" i="12"/>
  <c r="F13" i="12"/>
  <c r="AG13" i="12"/>
  <c r="G14" i="12"/>
  <c r="D15" i="12"/>
  <c r="F15" i="12"/>
  <c r="AG15" i="12"/>
  <c r="G16" i="12"/>
  <c r="N25" i="12"/>
  <c r="P25" i="12"/>
  <c r="R25" i="12"/>
  <c r="T25" i="12"/>
  <c r="V25" i="12"/>
  <c r="X25" i="12"/>
  <c r="Z25" i="12"/>
  <c r="AB25" i="12"/>
  <c r="AD25" i="12"/>
  <c r="M151" i="12"/>
  <c r="M141" i="12"/>
  <c r="O151" i="12"/>
  <c r="O141" i="12"/>
  <c r="Q151" i="12"/>
  <c r="Q141" i="12"/>
  <c r="S151" i="12"/>
  <c r="S141" i="12"/>
  <c r="U151" i="12"/>
  <c r="U141" i="12"/>
  <c r="W151" i="12"/>
  <c r="W141" i="12"/>
  <c r="Y151" i="12"/>
  <c r="Y141" i="12"/>
  <c r="AA151" i="12"/>
  <c r="AA141" i="12"/>
  <c r="AC151" i="12"/>
  <c r="AC141" i="12"/>
  <c r="AE151" i="12"/>
  <c r="AE141" i="12"/>
  <c r="L152" i="12"/>
  <c r="L142" i="12"/>
  <c r="N152" i="12"/>
  <c r="N142" i="12"/>
  <c r="P152" i="12"/>
  <c r="P142" i="12"/>
  <c r="R152" i="12"/>
  <c r="R142" i="12"/>
  <c r="T152" i="12"/>
  <c r="T142" i="12"/>
  <c r="V152" i="12"/>
  <c r="V142" i="12"/>
  <c r="X152" i="12"/>
  <c r="X142" i="12"/>
  <c r="Z152" i="12"/>
  <c r="Z142" i="12"/>
  <c r="AB152" i="12"/>
  <c r="AB142" i="12"/>
  <c r="AD152" i="12"/>
  <c r="AD142" i="12"/>
  <c r="D32" i="12"/>
  <c r="D26" i="12" s="1"/>
  <c r="F34" i="12"/>
  <c r="D34" i="12"/>
  <c r="E31" i="12"/>
  <c r="F40" i="12"/>
  <c r="D40" i="12"/>
  <c r="D37" i="12" s="1"/>
  <c r="E37" i="12"/>
  <c r="AH37" i="12" s="1"/>
  <c r="F46" i="12"/>
  <c r="D46" i="12"/>
  <c r="D43" i="12" s="1"/>
  <c r="E43" i="12"/>
  <c r="AH43" i="12" s="1"/>
  <c r="B49" i="12"/>
  <c r="AG49" i="12" s="1"/>
  <c r="G52" i="12"/>
  <c r="H61" i="12"/>
  <c r="J61" i="12"/>
  <c r="L61" i="12"/>
  <c r="N61" i="12"/>
  <c r="P61" i="12"/>
  <c r="R61" i="12"/>
  <c r="T61" i="12"/>
  <c r="V61" i="12"/>
  <c r="X61" i="12"/>
  <c r="Z61" i="12"/>
  <c r="AB61" i="12"/>
  <c r="AD61" i="12"/>
  <c r="AG62" i="12"/>
  <c r="B64" i="12"/>
  <c r="B61" i="12" s="1"/>
  <c r="G65" i="12"/>
  <c r="AG70" i="12"/>
  <c r="G80" i="12"/>
  <c r="F88" i="12"/>
  <c r="D88" i="12"/>
  <c r="E85" i="12"/>
  <c r="AH85" i="12" s="1"/>
  <c r="F94" i="12"/>
  <c r="D94" i="12"/>
  <c r="D91" i="12" s="1"/>
  <c r="E91" i="12"/>
  <c r="AH91" i="12" s="1"/>
  <c r="F100" i="12"/>
  <c r="D100" i="12"/>
  <c r="E99" i="12"/>
  <c r="G102" i="12"/>
  <c r="G108" i="12"/>
  <c r="G116" i="12"/>
  <c r="G124" i="12"/>
  <c r="G130" i="12"/>
  <c r="G136" i="12"/>
  <c r="E152" i="12"/>
  <c r="J12" i="14"/>
  <c r="N12" i="14"/>
  <c r="R12" i="14"/>
  <c r="V12" i="14"/>
  <c r="Z12" i="14"/>
  <c r="AD12" i="14"/>
  <c r="E13" i="14"/>
  <c r="B14" i="14"/>
  <c r="E15" i="14"/>
  <c r="F16" i="14"/>
  <c r="G19" i="14"/>
  <c r="AG20" i="14"/>
  <c r="C18" i="14"/>
  <c r="G25" i="14"/>
  <c r="G27" i="14"/>
  <c r="I31" i="14"/>
  <c r="M31" i="14"/>
  <c r="Q31" i="14"/>
  <c r="U31" i="14"/>
  <c r="Y31" i="14"/>
  <c r="AC31" i="14"/>
  <c r="C32" i="14"/>
  <c r="H31" i="14"/>
  <c r="J362" i="14"/>
  <c r="J31" i="14"/>
  <c r="L31" i="14"/>
  <c r="N31" i="14"/>
  <c r="P31" i="14"/>
  <c r="R362" i="14"/>
  <c r="R31" i="14"/>
  <c r="T31" i="14"/>
  <c r="V362" i="14"/>
  <c r="V31" i="14"/>
  <c r="X31" i="14"/>
  <c r="Z362" i="14"/>
  <c r="Z31" i="14"/>
  <c r="AB31" i="14"/>
  <c r="AD362" i="14"/>
  <c r="AD31" i="14"/>
  <c r="K363" i="14"/>
  <c r="O363" i="14"/>
  <c r="S363" i="14"/>
  <c r="W363" i="14"/>
  <c r="AA363" i="14"/>
  <c r="AE363" i="14"/>
  <c r="E35" i="14"/>
  <c r="F39" i="14"/>
  <c r="D39" i="14"/>
  <c r="D37" i="14" s="1"/>
  <c r="B37" i="14"/>
  <c r="AG37" i="14" s="1"/>
  <c r="F40" i="14"/>
  <c r="G43" i="14"/>
  <c r="AG46" i="14"/>
  <c r="F52" i="14"/>
  <c r="H61" i="14"/>
  <c r="J61" i="14"/>
  <c r="L61" i="14"/>
  <c r="N61" i="14"/>
  <c r="P61" i="14"/>
  <c r="R61" i="14"/>
  <c r="T61" i="14"/>
  <c r="V61" i="14"/>
  <c r="X61" i="14"/>
  <c r="Z61" i="14"/>
  <c r="AB61" i="14"/>
  <c r="AD61" i="14"/>
  <c r="AG62" i="14"/>
  <c r="B64" i="14"/>
  <c r="D64" i="14"/>
  <c r="D61" i="14" s="1"/>
  <c r="G65" i="14"/>
  <c r="AG70" i="14"/>
  <c r="F76" i="14"/>
  <c r="K83" i="14"/>
  <c r="K79" i="14" s="1"/>
  <c r="O83" i="14"/>
  <c r="O365" i="14" s="1"/>
  <c r="S83" i="14"/>
  <c r="S79" i="14" s="1"/>
  <c r="W83" i="14"/>
  <c r="W365" i="14" s="1"/>
  <c r="AA83" i="14"/>
  <c r="AA79" i="14" s="1"/>
  <c r="AE83" i="14"/>
  <c r="AE365" i="14" s="1"/>
  <c r="C87" i="14"/>
  <c r="H85" i="14"/>
  <c r="J85" i="14"/>
  <c r="L85" i="14"/>
  <c r="N85" i="14"/>
  <c r="P85" i="14"/>
  <c r="R85" i="14"/>
  <c r="T85" i="14"/>
  <c r="V85" i="14"/>
  <c r="X85" i="14"/>
  <c r="Z85" i="14"/>
  <c r="AB85" i="14"/>
  <c r="AD85" i="14"/>
  <c r="AG94" i="14"/>
  <c r="F100" i="14"/>
  <c r="F105" i="14"/>
  <c r="D105" i="14"/>
  <c r="F106" i="14"/>
  <c r="F111" i="14"/>
  <c r="D109" i="14"/>
  <c r="F112" i="14"/>
  <c r="F117" i="14"/>
  <c r="D117" i="14"/>
  <c r="D115" i="14" s="1"/>
  <c r="F118" i="14"/>
  <c r="F123" i="14"/>
  <c r="D123" i="14"/>
  <c r="F124" i="14"/>
  <c r="H127" i="14"/>
  <c r="J127" i="14"/>
  <c r="L127" i="14"/>
  <c r="N127" i="14"/>
  <c r="P127" i="14"/>
  <c r="R127" i="14"/>
  <c r="T127" i="14"/>
  <c r="V127" i="14"/>
  <c r="X127" i="14"/>
  <c r="Z127" i="14"/>
  <c r="AB127" i="14"/>
  <c r="AD127" i="14"/>
  <c r="AG128" i="14"/>
  <c r="C129" i="14"/>
  <c r="B130" i="14"/>
  <c r="D130" i="14"/>
  <c r="D127" i="14" s="1"/>
  <c r="G131" i="14"/>
  <c r="AG143" i="14"/>
  <c r="F149" i="14"/>
  <c r="B151" i="14"/>
  <c r="B148" i="14" s="1"/>
  <c r="G152" i="14"/>
  <c r="G154" i="14"/>
  <c r="AG157" i="14"/>
  <c r="E163" i="14"/>
  <c r="B164" i="14"/>
  <c r="E165" i="14"/>
  <c r="G169" i="14"/>
  <c r="C168" i="14"/>
  <c r="G175" i="14"/>
  <c r="C177" i="14"/>
  <c r="F181" i="14"/>
  <c r="D175" i="14"/>
  <c r="F183" i="14"/>
  <c r="E180" i="14"/>
  <c r="B188" i="14"/>
  <c r="H187" i="14"/>
  <c r="J187" i="14"/>
  <c r="L187" i="14"/>
  <c r="N187" i="14"/>
  <c r="P187" i="14"/>
  <c r="R187" i="14"/>
  <c r="T187" i="14"/>
  <c r="V187" i="14"/>
  <c r="X187" i="14"/>
  <c r="Z187" i="14"/>
  <c r="AB187" i="14"/>
  <c r="AD187" i="14"/>
  <c r="B190" i="14"/>
  <c r="F195" i="14"/>
  <c r="D195" i="14"/>
  <c r="B193" i="14"/>
  <c r="AG193" i="14" s="1"/>
  <c r="F196" i="14"/>
  <c r="G201" i="14"/>
  <c r="AG202" i="14"/>
  <c r="B206" i="14"/>
  <c r="H205" i="14"/>
  <c r="J205" i="14"/>
  <c r="L205" i="14"/>
  <c r="N205" i="14"/>
  <c r="P205" i="14"/>
  <c r="R205" i="14"/>
  <c r="T205" i="14"/>
  <c r="V205" i="14"/>
  <c r="X205" i="14"/>
  <c r="Z205" i="14"/>
  <c r="AB205" i="14"/>
  <c r="AD205" i="14"/>
  <c r="F213" i="14"/>
  <c r="D213" i="14"/>
  <c r="B211" i="14"/>
  <c r="AG211" i="14" s="1"/>
  <c r="F214" i="14"/>
  <c r="G219" i="14"/>
  <c r="AG220" i="14"/>
  <c r="F225" i="14"/>
  <c r="D225" i="14"/>
  <c r="D223" i="14" s="1"/>
  <c r="B223" i="14"/>
  <c r="AG223" i="14" s="1"/>
  <c r="F226" i="14"/>
  <c r="G231" i="14"/>
  <c r="AG232" i="14"/>
  <c r="B236" i="14"/>
  <c r="H235" i="14"/>
  <c r="J235" i="14"/>
  <c r="L235" i="14"/>
  <c r="N235" i="14"/>
  <c r="P235" i="14"/>
  <c r="R235" i="14"/>
  <c r="T235" i="14"/>
  <c r="V235" i="14"/>
  <c r="X235" i="14"/>
  <c r="Z235" i="14"/>
  <c r="AB235" i="14"/>
  <c r="AD235" i="14"/>
  <c r="F243" i="14"/>
  <c r="D243" i="14"/>
  <c r="B241" i="14"/>
  <c r="F244" i="14"/>
  <c r="AG250" i="14"/>
  <c r="B247" i="14"/>
  <c r="AG247" i="14" s="1"/>
  <c r="F250" i="14"/>
  <c r="F259" i="14"/>
  <c r="F269" i="14"/>
  <c r="D269" i="14"/>
  <c r="G269" i="14"/>
  <c r="F271" i="14"/>
  <c r="D271" i="14"/>
  <c r="G271" i="14"/>
  <c r="H310" i="14"/>
  <c r="P310" i="14"/>
  <c r="X310" i="14"/>
  <c r="F318" i="14"/>
  <c r="B322" i="14"/>
  <c r="AG322" i="14" s="1"/>
  <c r="F323" i="14"/>
  <c r="D323" i="14"/>
  <c r="G323" i="14"/>
  <c r="F325" i="14"/>
  <c r="D325" i="14"/>
  <c r="E322" i="14"/>
  <c r="G325" i="14"/>
  <c r="F330" i="14"/>
  <c r="E335" i="14"/>
  <c r="B340" i="14"/>
  <c r="AG340" i="14" s="1"/>
  <c r="F341" i="14"/>
  <c r="D341" i="14"/>
  <c r="G341" i="14"/>
  <c r="F343" i="14"/>
  <c r="D343" i="14"/>
  <c r="E340" i="14"/>
  <c r="G343" i="14"/>
  <c r="F348" i="14"/>
  <c r="J352" i="14"/>
  <c r="J372" i="14" s="1"/>
  <c r="R352" i="14"/>
  <c r="R372" i="14" s="1"/>
  <c r="Z352" i="14"/>
  <c r="Z372" i="14" s="1"/>
  <c r="K353" i="14"/>
  <c r="K373" i="14" s="1"/>
  <c r="S353" i="14"/>
  <c r="S373" i="14" s="1"/>
  <c r="AA353" i="14"/>
  <c r="AA373" i="14" s="1"/>
  <c r="L354" i="14"/>
  <c r="L374" i="14" s="1"/>
  <c r="AB354" i="14"/>
  <c r="AB374" i="14" s="1"/>
  <c r="M355" i="14"/>
  <c r="M375" i="14" s="1"/>
  <c r="U355" i="14"/>
  <c r="U375" i="14" s="1"/>
  <c r="AC355" i="14"/>
  <c r="AC375" i="14" s="1"/>
  <c r="O357" i="14"/>
  <c r="W357" i="14"/>
  <c r="AE357" i="14"/>
  <c r="H358" i="14"/>
  <c r="P358" i="14"/>
  <c r="X358" i="14"/>
  <c r="I359" i="14"/>
  <c r="Q359" i="14"/>
  <c r="Y359" i="14"/>
  <c r="B360" i="14"/>
  <c r="J360" i="14"/>
  <c r="R360" i="14"/>
  <c r="Z360" i="14"/>
  <c r="L362" i="14"/>
  <c r="T362" i="14"/>
  <c r="AB362" i="14"/>
  <c r="B112" i="17"/>
  <c r="B12" i="17"/>
  <c r="AG12" i="17" s="1"/>
  <c r="AG13" i="17"/>
  <c r="F13" i="17"/>
  <c r="B114" i="17"/>
  <c r="AG114" i="17" s="1"/>
  <c r="AG15" i="17"/>
  <c r="D114" i="17"/>
  <c r="F15" i="17"/>
  <c r="E18" i="17"/>
  <c r="F22" i="17"/>
  <c r="D22" i="17"/>
  <c r="G22" i="17"/>
  <c r="G33" i="17"/>
  <c r="F40" i="17"/>
  <c r="D40" i="17"/>
  <c r="E39" i="17"/>
  <c r="G40" i="17"/>
  <c r="E360" i="14"/>
  <c r="G16" i="14"/>
  <c r="AG19" i="14"/>
  <c r="G20" i="14"/>
  <c r="AG21" i="14"/>
  <c r="G28" i="14"/>
  <c r="K362" i="14"/>
  <c r="M362" i="14"/>
  <c r="O362" i="14"/>
  <c r="Q362" i="14"/>
  <c r="S362" i="14"/>
  <c r="U362" i="14"/>
  <c r="W362" i="14"/>
  <c r="Y362" i="14"/>
  <c r="AA362" i="14"/>
  <c r="AC362" i="14"/>
  <c r="AE362" i="14"/>
  <c r="J363" i="14"/>
  <c r="L363" i="14"/>
  <c r="P363" i="14"/>
  <c r="R363" i="14"/>
  <c r="T363" i="14"/>
  <c r="V363" i="14"/>
  <c r="X363" i="14"/>
  <c r="Z363" i="14"/>
  <c r="AB363" i="14"/>
  <c r="K364" i="14"/>
  <c r="M364" i="14"/>
  <c r="O364" i="14"/>
  <c r="Q364" i="14"/>
  <c r="S364" i="14"/>
  <c r="W364" i="14"/>
  <c r="Y364" i="14"/>
  <c r="AA364" i="14"/>
  <c r="AC364" i="14"/>
  <c r="AE364" i="14"/>
  <c r="H365" i="14"/>
  <c r="L365" i="14"/>
  <c r="P365" i="14"/>
  <c r="T365" i="14"/>
  <c r="X365" i="14"/>
  <c r="AB365" i="14"/>
  <c r="F262" i="14"/>
  <c r="D262" i="14"/>
  <c r="E261" i="14"/>
  <c r="F264" i="14"/>
  <c r="I274" i="14"/>
  <c r="K274" i="14"/>
  <c r="M274" i="14"/>
  <c r="O274" i="14"/>
  <c r="Q274" i="14"/>
  <c r="S274" i="14"/>
  <c r="U274" i="14"/>
  <c r="W274" i="14"/>
  <c r="Y274" i="14"/>
  <c r="AA274" i="14"/>
  <c r="AC274" i="14"/>
  <c r="AE274" i="14"/>
  <c r="F281" i="14"/>
  <c r="D281" i="14"/>
  <c r="F283" i="14"/>
  <c r="E280" i="14"/>
  <c r="F287" i="14"/>
  <c r="D287" i="14"/>
  <c r="F289" i="14"/>
  <c r="D289" i="14"/>
  <c r="E286" i="14"/>
  <c r="F293" i="14"/>
  <c r="D293" i="14"/>
  <c r="F295" i="14"/>
  <c r="D295" i="14"/>
  <c r="E292" i="14"/>
  <c r="F305" i="14"/>
  <c r="D305" i="14"/>
  <c r="F307" i="14"/>
  <c r="D307" i="14"/>
  <c r="E304" i="14"/>
  <c r="I310" i="14"/>
  <c r="K310" i="14"/>
  <c r="M310" i="14"/>
  <c r="O310" i="14"/>
  <c r="Q310" i="14"/>
  <c r="S310" i="14"/>
  <c r="U310" i="14"/>
  <c r="W310" i="14"/>
  <c r="Y310" i="14"/>
  <c r="AA310" i="14"/>
  <c r="AC310" i="14"/>
  <c r="AE310" i="14"/>
  <c r="C316" i="14"/>
  <c r="C322" i="14"/>
  <c r="C328" i="14"/>
  <c r="C340" i="14"/>
  <c r="C346" i="14"/>
  <c r="L352" i="14"/>
  <c r="L372" i="14" s="1"/>
  <c r="P352" i="14"/>
  <c r="P372" i="14" s="1"/>
  <c r="T352" i="14"/>
  <c r="T372" i="14" s="1"/>
  <c r="X352" i="14"/>
  <c r="X372" i="14" s="1"/>
  <c r="AB352" i="14"/>
  <c r="AB372" i="14" s="1"/>
  <c r="M353" i="14"/>
  <c r="M373" i="14" s="1"/>
  <c r="Q353" i="14"/>
  <c r="Q373" i="14" s="1"/>
  <c r="U353" i="14"/>
  <c r="U373" i="14" s="1"/>
  <c r="Y353" i="14"/>
  <c r="Y373" i="14" s="1"/>
  <c r="AC353" i="14"/>
  <c r="AC373" i="14" s="1"/>
  <c r="J354" i="14"/>
  <c r="J374" i="14" s="1"/>
  <c r="N354" i="14"/>
  <c r="N374" i="14" s="1"/>
  <c r="R354" i="14"/>
  <c r="R374" i="14" s="1"/>
  <c r="V354" i="14"/>
  <c r="V374" i="14" s="1"/>
  <c r="Z354" i="14"/>
  <c r="Z374" i="14" s="1"/>
  <c r="C23" i="15"/>
  <c r="AH23" i="15" s="1"/>
  <c r="C28" i="15"/>
  <c r="AH28" i="15" s="1"/>
  <c r="C29" i="15"/>
  <c r="C24" i="15"/>
  <c r="AH24" i="15" s="1"/>
  <c r="C25" i="15"/>
  <c r="E25" i="15"/>
  <c r="E10" i="15"/>
  <c r="D23" i="15"/>
  <c r="D17" i="15"/>
  <c r="D16" i="15" s="1"/>
  <c r="AG20" i="15"/>
  <c r="B23" i="15"/>
  <c r="AG25" i="15"/>
  <c r="C26" i="15"/>
  <c r="AH26" i="15" s="1"/>
  <c r="E113" i="17"/>
  <c r="F14" i="17"/>
  <c r="D14" i="17"/>
  <c r="G14" i="17"/>
  <c r="E115" i="17"/>
  <c r="F16" i="17"/>
  <c r="D16" i="17"/>
  <c r="G16" i="17"/>
  <c r="B18" i="17"/>
  <c r="AG18" i="17" s="1"/>
  <c r="AG19" i="17"/>
  <c r="F19" i="17"/>
  <c r="F21" i="17"/>
  <c r="F26" i="17"/>
  <c r="D26" i="17"/>
  <c r="E25" i="17"/>
  <c r="G26" i="17"/>
  <c r="F28" i="17"/>
  <c r="D28" i="17"/>
  <c r="G28" i="17"/>
  <c r="F41" i="17"/>
  <c r="F44" i="17"/>
  <c r="C46" i="17"/>
  <c r="G47" i="17"/>
  <c r="F62" i="17"/>
  <c r="D62" i="17"/>
  <c r="E61" i="17"/>
  <c r="G62" i="17"/>
  <c r="D75" i="17"/>
  <c r="E74" i="17"/>
  <c r="F77" i="17"/>
  <c r="D77" i="17"/>
  <c r="AG78" i="17"/>
  <c r="AG90" i="17"/>
  <c r="AG96" i="17"/>
  <c r="AG102" i="17"/>
  <c r="J123" i="17"/>
  <c r="J105" i="17"/>
  <c r="L105" i="17"/>
  <c r="L122" i="17" s="1"/>
  <c r="L123" i="17"/>
  <c r="N123" i="17"/>
  <c r="N105" i="17"/>
  <c r="R123" i="17"/>
  <c r="R105" i="17"/>
  <c r="T105" i="17"/>
  <c r="T122" i="17" s="1"/>
  <c r="T123" i="17"/>
  <c r="V123" i="17"/>
  <c r="V105" i="17"/>
  <c r="Z123" i="17"/>
  <c r="Z105" i="17"/>
  <c r="AB105" i="17"/>
  <c r="AB123" i="17"/>
  <c r="AD123" i="17"/>
  <c r="AD105" i="17"/>
  <c r="AG117" i="17"/>
  <c r="H123" i="17"/>
  <c r="X123" i="17"/>
  <c r="B28" i="15"/>
  <c r="D28" i="15"/>
  <c r="B26" i="15"/>
  <c r="AG26" i="15" s="1"/>
  <c r="AG15" i="15"/>
  <c r="D31" i="15"/>
  <c r="C113" i="17"/>
  <c r="C25" i="17"/>
  <c r="F33" i="17"/>
  <c r="D33" i="17"/>
  <c r="E32" i="17"/>
  <c r="F35" i="17"/>
  <c r="D35" i="17"/>
  <c r="F47" i="17"/>
  <c r="D47" i="17"/>
  <c r="E46" i="17"/>
  <c r="F49" i="17"/>
  <c r="D49" i="17"/>
  <c r="C61" i="17"/>
  <c r="F64" i="17"/>
  <c r="D64" i="17"/>
  <c r="D69" i="17"/>
  <c r="E68" i="17"/>
  <c r="F71" i="17"/>
  <c r="D71" i="17"/>
  <c r="G77" i="17"/>
  <c r="D81" i="17"/>
  <c r="E80" i="17"/>
  <c r="F83" i="17"/>
  <c r="D83" i="17"/>
  <c r="D89" i="17"/>
  <c r="E88" i="17"/>
  <c r="F91" i="17"/>
  <c r="D91" i="17"/>
  <c r="D95" i="17"/>
  <c r="E94" i="17"/>
  <c r="F97" i="17"/>
  <c r="D97" i="17"/>
  <c r="D101" i="17"/>
  <c r="E100" i="17"/>
  <c r="M126" i="17"/>
  <c r="M105" i="17"/>
  <c r="U126" i="17"/>
  <c r="U105" i="17"/>
  <c r="AC126" i="17"/>
  <c r="AC105" i="17"/>
  <c r="P123" i="17"/>
  <c r="I126" i="17"/>
  <c r="Y126" i="17"/>
  <c r="AG14" i="15"/>
  <c r="G13" i="17"/>
  <c r="AG14" i="17"/>
  <c r="G15" i="17"/>
  <c r="AG16" i="17"/>
  <c r="G27" i="17"/>
  <c r="AG28" i="17"/>
  <c r="G30" i="17"/>
  <c r="F103" i="17"/>
  <c r="D103" i="17"/>
  <c r="C112" i="17"/>
  <c r="I111" i="17"/>
  <c r="K111" i="17"/>
  <c r="K122" i="17" s="1"/>
  <c r="M111" i="17"/>
  <c r="O111" i="17"/>
  <c r="O122" i="17" s="1"/>
  <c r="Q111" i="17"/>
  <c r="S111" i="17"/>
  <c r="S122" i="17" s="1"/>
  <c r="U111" i="17"/>
  <c r="W111" i="17"/>
  <c r="W122" i="17" s="1"/>
  <c r="Y111" i="17"/>
  <c r="AA111" i="17"/>
  <c r="AA122" i="17" s="1"/>
  <c r="AC111" i="17"/>
  <c r="AE111" i="17"/>
  <c r="AE122" i="17" s="1"/>
  <c r="E114" i="17"/>
  <c r="B115" i="17"/>
  <c r="AG115" i="17" s="1"/>
  <c r="I123" i="17"/>
  <c r="K123" i="17"/>
  <c r="M123" i="17"/>
  <c r="O123" i="17"/>
  <c r="Q123" i="17"/>
  <c r="S123" i="17"/>
  <c r="U123" i="17"/>
  <c r="W123" i="17"/>
  <c r="Y123" i="17"/>
  <c r="AA123" i="17"/>
  <c r="AC123" i="17"/>
  <c r="AE123" i="17"/>
  <c r="H124" i="17"/>
  <c r="J124" i="17"/>
  <c r="L124" i="17"/>
  <c r="N124" i="17"/>
  <c r="P124" i="17"/>
  <c r="R124" i="17"/>
  <c r="T124" i="17"/>
  <c r="V124" i="17"/>
  <c r="X124" i="17"/>
  <c r="Z124" i="17"/>
  <c r="AB124" i="17"/>
  <c r="AD124" i="17"/>
  <c r="I125" i="17"/>
  <c r="K125" i="17"/>
  <c r="M125" i="17"/>
  <c r="O125" i="17"/>
  <c r="Q125" i="17"/>
  <c r="S125" i="17"/>
  <c r="U125" i="17"/>
  <c r="W125" i="17"/>
  <c r="Y125" i="17"/>
  <c r="AA125" i="17"/>
  <c r="AC125" i="17"/>
  <c r="AE125" i="17"/>
  <c r="H126" i="17"/>
  <c r="J126" i="17"/>
  <c r="L126" i="17"/>
  <c r="N126" i="17"/>
  <c r="P126" i="17"/>
  <c r="R126" i="17"/>
  <c r="T126" i="17"/>
  <c r="V126" i="17"/>
  <c r="X126" i="17"/>
  <c r="Z126" i="17"/>
  <c r="AB126" i="17"/>
  <c r="AD126" i="17"/>
  <c r="O101" i="11" l="1"/>
  <c r="C78" i="11"/>
  <c r="C58" i="11"/>
  <c r="C57" i="11" s="1"/>
  <c r="B58" i="11"/>
  <c r="B57" i="11" s="1"/>
  <c r="C258" i="8"/>
  <c r="S101" i="11"/>
  <c r="C370" i="14"/>
  <c r="C375" i="14"/>
  <c r="C357" i="14"/>
  <c r="F108" i="17"/>
  <c r="N57" i="11"/>
  <c r="D176" i="8"/>
  <c r="F117" i="17"/>
  <c r="E145" i="8"/>
  <c r="F148" i="8"/>
  <c r="G148" i="8"/>
  <c r="F176" i="8"/>
  <c r="G176" i="8"/>
  <c r="D61" i="11"/>
  <c r="G76" i="12"/>
  <c r="D64" i="12"/>
  <c r="D61" i="12" s="1"/>
  <c r="I106" i="11"/>
  <c r="D117" i="17"/>
  <c r="N362" i="14"/>
  <c r="G151" i="14"/>
  <c r="C310" i="14"/>
  <c r="U354" i="14"/>
  <c r="U374" i="14" s="1"/>
  <c r="D118" i="17"/>
  <c r="C105" i="17"/>
  <c r="G119" i="17"/>
  <c r="D119" i="17"/>
  <c r="F118" i="17"/>
  <c r="G118" i="17"/>
  <c r="E116" i="17"/>
  <c r="E105" i="17"/>
  <c r="C274" i="14"/>
  <c r="N363" i="14"/>
  <c r="N368" i="14" s="1"/>
  <c r="G91" i="14"/>
  <c r="G90" i="11"/>
  <c r="AG35" i="14"/>
  <c r="C301" i="14"/>
  <c r="C354" i="14" s="1"/>
  <c r="C374" i="14" s="1"/>
  <c r="C300" i="14"/>
  <c r="C299" i="14"/>
  <c r="C352" i="14" s="1"/>
  <c r="C372" i="14" s="1"/>
  <c r="B28" i="8"/>
  <c r="B25" i="8" s="1"/>
  <c r="C359" i="14"/>
  <c r="G115" i="14"/>
  <c r="H375" i="14"/>
  <c r="E353" i="14"/>
  <c r="E373" i="14" s="1"/>
  <c r="G63" i="12"/>
  <c r="G62" i="12"/>
  <c r="F76" i="12"/>
  <c r="C49" i="11"/>
  <c r="AI10" i="12"/>
  <c r="C43" i="11"/>
  <c r="AH49" i="12"/>
  <c r="C79" i="12"/>
  <c r="AH79" i="12" s="1"/>
  <c r="AH82" i="12"/>
  <c r="AH133" i="12"/>
  <c r="AH12" i="12"/>
  <c r="AH64" i="12"/>
  <c r="AH127" i="12"/>
  <c r="AH67" i="12"/>
  <c r="C61" i="12"/>
  <c r="AH61" i="12" s="1"/>
  <c r="AH121" i="12"/>
  <c r="AH99" i="12"/>
  <c r="F112" i="17"/>
  <c r="AE356" i="14"/>
  <c r="H354" i="14"/>
  <c r="H374" i="14" s="1"/>
  <c r="R122" i="17"/>
  <c r="AG33" i="9"/>
  <c r="U364" i="14"/>
  <c r="U369" i="14" s="1"/>
  <c r="G81" i="9"/>
  <c r="U127" i="8"/>
  <c r="U124" i="8" s="1"/>
  <c r="G94" i="8"/>
  <c r="D313" i="14"/>
  <c r="E289" i="8"/>
  <c r="E286" i="8" s="1"/>
  <c r="G217" i="14"/>
  <c r="K355" i="14"/>
  <c r="K375" i="14" s="1"/>
  <c r="D31" i="8"/>
  <c r="AB122" i="17"/>
  <c r="H363" i="14"/>
  <c r="G229" i="14"/>
  <c r="G61" i="11"/>
  <c r="H364" i="14"/>
  <c r="C12" i="14"/>
  <c r="B80" i="9"/>
  <c r="B91" i="9" s="1"/>
  <c r="V286" i="8"/>
  <c r="B301" i="14"/>
  <c r="AG301" i="14" s="1"/>
  <c r="G109" i="14"/>
  <c r="F283" i="8"/>
  <c r="C279" i="8"/>
  <c r="N291" i="8"/>
  <c r="H291" i="8" s="1"/>
  <c r="G275" i="14"/>
  <c r="AD156" i="12"/>
  <c r="AG67" i="9"/>
  <c r="AG62" i="9"/>
  <c r="G194" i="8"/>
  <c r="E290" i="8"/>
  <c r="G290" i="8" s="1"/>
  <c r="G244" i="8"/>
  <c r="G12" i="17"/>
  <c r="G108" i="17"/>
  <c r="G14" i="14"/>
  <c r="G261" i="8"/>
  <c r="G337" i="14"/>
  <c r="I122" i="17"/>
  <c r="C125" i="17"/>
  <c r="AD122" i="17"/>
  <c r="N122" i="17"/>
  <c r="E334" i="14"/>
  <c r="D151" i="14"/>
  <c r="D148" i="14" s="1"/>
  <c r="D83" i="9"/>
  <c r="D94" i="9" s="1"/>
  <c r="C83" i="9"/>
  <c r="C94" i="9" s="1"/>
  <c r="N278" i="8"/>
  <c r="G223" i="8"/>
  <c r="G28" i="8"/>
  <c r="H87" i="9"/>
  <c r="H84" i="9" s="1"/>
  <c r="U276" i="8"/>
  <c r="I363" i="14"/>
  <c r="I361" i="14" s="1"/>
  <c r="G24" i="11"/>
  <c r="G15" i="11" s="1"/>
  <c r="G12" i="11" s="1"/>
  <c r="G193" i="14"/>
  <c r="F106" i="17"/>
  <c r="D346" i="14"/>
  <c r="Y122" i="17"/>
  <c r="Z122" i="17"/>
  <c r="L25" i="12"/>
  <c r="AG34" i="9"/>
  <c r="Y162" i="12"/>
  <c r="D85" i="9"/>
  <c r="AG68" i="9"/>
  <c r="G206" i="8"/>
  <c r="G70" i="8"/>
  <c r="Q278" i="8"/>
  <c r="H353" i="14"/>
  <c r="H373" i="14" s="1"/>
  <c r="D39" i="17"/>
  <c r="AD372" i="14"/>
  <c r="E301" i="14"/>
  <c r="D301" i="14" s="1"/>
  <c r="AD369" i="14"/>
  <c r="AD374" i="14"/>
  <c r="B299" i="14"/>
  <c r="AG299" i="14" s="1"/>
  <c r="H362" i="14"/>
  <c r="H352" i="14"/>
  <c r="H372" i="14" s="1"/>
  <c r="H298" i="14"/>
  <c r="F175" i="14"/>
  <c r="Z156" i="12"/>
  <c r="G67" i="12"/>
  <c r="L141" i="12"/>
  <c r="L161" i="12" s="1"/>
  <c r="Z84" i="9"/>
  <c r="R84" i="9"/>
  <c r="J84" i="9"/>
  <c r="G267" i="14"/>
  <c r="Z276" i="8"/>
  <c r="Q84" i="9"/>
  <c r="B127" i="8"/>
  <c r="F127" i="8" s="1"/>
  <c r="D337" i="14"/>
  <c r="L286" i="8"/>
  <c r="G82" i="8"/>
  <c r="F244" i="8"/>
  <c r="F238" i="8"/>
  <c r="G312" i="14"/>
  <c r="G278" i="14"/>
  <c r="G240" i="8"/>
  <c r="B300" i="14"/>
  <c r="AG300" i="14" s="1"/>
  <c r="AB353" i="14"/>
  <c r="AB373" i="14" s="1"/>
  <c r="B85" i="14"/>
  <c r="AG85" i="14" s="1"/>
  <c r="F240" i="8"/>
  <c r="I354" i="14"/>
  <c r="I374" i="14" s="1"/>
  <c r="G110" i="17"/>
  <c r="F110" i="17"/>
  <c r="AA84" i="9"/>
  <c r="S84" i="9"/>
  <c r="D88" i="14"/>
  <c r="F267" i="14"/>
  <c r="AG56" i="9"/>
  <c r="AG55" i="9"/>
  <c r="J101" i="11"/>
  <c r="X84" i="9"/>
  <c r="N84" i="9"/>
  <c r="Y278" i="8"/>
  <c r="F261" i="8"/>
  <c r="C126" i="17"/>
  <c r="G12" i="8"/>
  <c r="AG44" i="9"/>
  <c r="AG43" i="9"/>
  <c r="AC84" i="9"/>
  <c r="M84" i="9"/>
  <c r="F91" i="14"/>
  <c r="G86" i="14"/>
  <c r="F313" i="14"/>
  <c r="D328" i="14"/>
  <c r="I353" i="14"/>
  <c r="I373" i="14" s="1"/>
  <c r="R365" i="14"/>
  <c r="R361" i="14" s="1"/>
  <c r="D335" i="14"/>
  <c r="D18" i="14"/>
  <c r="G223" i="14"/>
  <c r="Z365" i="14"/>
  <c r="Z361" i="14" s="1"/>
  <c r="E310" i="14"/>
  <c r="G211" i="14"/>
  <c r="C205" i="14"/>
  <c r="G208" i="14"/>
  <c r="L356" i="14"/>
  <c r="G199" i="14"/>
  <c r="C334" i="14"/>
  <c r="E85" i="14"/>
  <c r="G247" i="14"/>
  <c r="F337" i="14"/>
  <c r="G276" i="14"/>
  <c r="F278" i="14"/>
  <c r="F177" i="14"/>
  <c r="E358" i="14"/>
  <c r="G358" i="14" s="1"/>
  <c r="G176" i="14"/>
  <c r="B174" i="14"/>
  <c r="F174" i="14" s="1"/>
  <c r="W355" i="14"/>
  <c r="W375" i="14" s="1"/>
  <c r="F256" i="14"/>
  <c r="F176" i="14"/>
  <c r="U79" i="14"/>
  <c r="AB358" i="14"/>
  <c r="AB356" i="14" s="1"/>
  <c r="S356" i="14"/>
  <c r="X356" i="14"/>
  <c r="W356" i="14"/>
  <c r="C363" i="14"/>
  <c r="T356" i="14"/>
  <c r="P356" i="14"/>
  <c r="H356" i="14"/>
  <c r="G32" i="14"/>
  <c r="F88" i="14"/>
  <c r="F33" i="14"/>
  <c r="G148" i="14"/>
  <c r="C187" i="14"/>
  <c r="B357" i="14"/>
  <c r="AG357" i="14" s="1"/>
  <c r="E255" i="14"/>
  <c r="G255" i="14" s="1"/>
  <c r="G81" i="14"/>
  <c r="G190" i="14"/>
  <c r="AA355" i="14"/>
  <c r="AG148" i="14"/>
  <c r="E205" i="14"/>
  <c r="T368" i="14"/>
  <c r="G130" i="14"/>
  <c r="E187" i="14"/>
  <c r="K84" i="9"/>
  <c r="Y84" i="9"/>
  <c r="U84" i="9"/>
  <c r="S355" i="14"/>
  <c r="P286" i="8"/>
  <c r="I124" i="8"/>
  <c r="I278" i="8"/>
  <c r="G18" i="8"/>
  <c r="AG275" i="14"/>
  <c r="B274" i="14"/>
  <c r="AG274" i="14" s="1"/>
  <c r="AG311" i="14"/>
  <c r="B310" i="14"/>
  <c r="AG310" i="14" s="1"/>
  <c r="AG17" i="15"/>
  <c r="D22" i="15"/>
  <c r="D27" i="15" s="1"/>
  <c r="AE355" i="14"/>
  <c r="AE351" i="14" s="1"/>
  <c r="O355" i="14"/>
  <c r="L368" i="14"/>
  <c r="AG13" i="14"/>
  <c r="AA356" i="14"/>
  <c r="AD298" i="14"/>
  <c r="AD365" i="14"/>
  <c r="AD361" i="14" s="1"/>
  <c r="V298" i="14"/>
  <c r="V365" i="14"/>
  <c r="V361" i="14" s="1"/>
  <c r="N298" i="14"/>
  <c r="N365" i="14"/>
  <c r="B88" i="9"/>
  <c r="AG88" i="9" s="1"/>
  <c r="B83" i="9"/>
  <c r="B94" i="9" s="1"/>
  <c r="X286" i="8"/>
  <c r="E258" i="8"/>
  <c r="F258" i="8" s="1"/>
  <c r="F82" i="12"/>
  <c r="S124" i="8"/>
  <c r="S278" i="8"/>
  <c r="F275" i="14"/>
  <c r="D32" i="14"/>
  <c r="F32" i="14"/>
  <c r="J291" i="8"/>
  <c r="L291" i="8"/>
  <c r="V124" i="8"/>
  <c r="V278" i="8"/>
  <c r="D107" i="17"/>
  <c r="I84" i="9"/>
  <c r="G277" i="14"/>
  <c r="F277" i="14"/>
  <c r="C30" i="15"/>
  <c r="AH25" i="15"/>
  <c r="C353" i="14"/>
  <c r="C373" i="14" s="1"/>
  <c r="T84" i="9"/>
  <c r="E182" i="8"/>
  <c r="F185" i="8"/>
  <c r="D80" i="14"/>
  <c r="F80" i="14"/>
  <c r="B220" i="8"/>
  <c r="Q122" i="17"/>
  <c r="G29" i="15"/>
  <c r="AH29" i="15"/>
  <c r="O356" i="14"/>
  <c r="G33" i="14"/>
  <c r="B79" i="12"/>
  <c r="AG79" i="12" s="1"/>
  <c r="F276" i="14"/>
  <c r="G92" i="9"/>
  <c r="AG61" i="9"/>
  <c r="F223" i="8"/>
  <c r="C16" i="15"/>
  <c r="AH16" i="15" s="1"/>
  <c r="AH17" i="15"/>
  <c r="F29" i="15"/>
  <c r="AG29" i="15"/>
  <c r="G61" i="14"/>
  <c r="E82" i="9"/>
  <c r="E93" i="9" s="1"/>
  <c r="E87" i="9"/>
  <c r="E84" i="9" s="1"/>
  <c r="Z278" i="8"/>
  <c r="AC276" i="8"/>
  <c r="AC127" i="8"/>
  <c r="AC124" i="8" s="1"/>
  <c r="F238" i="14"/>
  <c r="E235" i="14"/>
  <c r="V84" i="9"/>
  <c r="P84" i="9"/>
  <c r="H286" i="8"/>
  <c r="D112" i="17"/>
  <c r="D106" i="17"/>
  <c r="G64" i="8"/>
  <c r="V122" i="17"/>
  <c r="D110" i="17"/>
  <c r="D286" i="14"/>
  <c r="D121" i="14"/>
  <c r="K356" i="14"/>
  <c r="V156" i="12"/>
  <c r="AB84" i="9"/>
  <c r="L84" i="9"/>
  <c r="AB286" i="8"/>
  <c r="C235" i="14"/>
  <c r="F34" i="14"/>
  <c r="B78" i="11"/>
  <c r="B77" i="11" s="1"/>
  <c r="G241" i="14"/>
  <c r="G106" i="17"/>
  <c r="F107" i="17"/>
  <c r="G107" i="17"/>
  <c r="D108" i="17"/>
  <c r="J122" i="17"/>
  <c r="D18" i="17"/>
  <c r="B116" i="17"/>
  <c r="AG116" i="17" s="1"/>
  <c r="F12" i="17"/>
  <c r="D99" i="12"/>
  <c r="F312" i="14"/>
  <c r="D277" i="14"/>
  <c r="D274" i="14" s="1"/>
  <c r="E274" i="14"/>
  <c r="G121" i="14"/>
  <c r="G88" i="14"/>
  <c r="G70" i="11"/>
  <c r="C85" i="14"/>
  <c r="AG87" i="14"/>
  <c r="F87" i="14"/>
  <c r="G34" i="14"/>
  <c r="G37" i="14"/>
  <c r="G238" i="14"/>
  <c r="B359" i="14"/>
  <c r="AG359" i="14" s="1"/>
  <c r="F258" i="14"/>
  <c r="E363" i="14"/>
  <c r="F81" i="14"/>
  <c r="B79" i="14"/>
  <c r="AG79" i="14" s="1"/>
  <c r="G67" i="14"/>
  <c r="G64" i="14"/>
  <c r="B31" i="14"/>
  <c r="AG31" i="14" s="1"/>
  <c r="D82" i="14"/>
  <c r="E79" i="14"/>
  <c r="G82" i="14"/>
  <c r="F82" i="14"/>
  <c r="AG23" i="15"/>
  <c r="B22" i="15"/>
  <c r="B27" i="15" s="1"/>
  <c r="AG27" i="15" s="1"/>
  <c r="AD127" i="8"/>
  <c r="E22" i="15"/>
  <c r="E27" i="15" s="1"/>
  <c r="F25" i="15"/>
  <c r="G25" i="15"/>
  <c r="G30" i="15" s="1"/>
  <c r="E30" i="15"/>
  <c r="D322" i="14"/>
  <c r="D112" i="8"/>
  <c r="D292" i="14"/>
  <c r="P368" i="14"/>
  <c r="D57" i="8"/>
  <c r="N276" i="8"/>
  <c r="G64" i="12"/>
  <c r="G67" i="8"/>
  <c r="AG31" i="15"/>
  <c r="AG11" i="15"/>
  <c r="G64" i="11"/>
  <c r="R127" i="8"/>
  <c r="F61" i="11"/>
  <c r="F58" i="11" s="1"/>
  <c r="F57" i="11" s="1"/>
  <c r="J127" i="8"/>
  <c r="G84" i="11"/>
  <c r="AE84" i="9"/>
  <c r="W84" i="9"/>
  <c r="O84" i="9"/>
  <c r="G58" i="11"/>
  <c r="G147" i="18"/>
  <c r="D280" i="14"/>
  <c r="D304" i="14"/>
  <c r="D68" i="17"/>
  <c r="D32" i="17"/>
  <c r="D74" i="17"/>
  <c r="D12" i="17"/>
  <c r="Y369" i="14"/>
  <c r="Q369" i="14"/>
  <c r="D267" i="14"/>
  <c r="AG241" i="14"/>
  <c r="F241" i="14"/>
  <c r="AC369" i="14"/>
  <c r="M369" i="14"/>
  <c r="C79" i="14"/>
  <c r="G80" i="14"/>
  <c r="D133" i="12"/>
  <c r="D127" i="12"/>
  <c r="D121" i="12"/>
  <c r="R106" i="11"/>
  <c r="J106" i="11"/>
  <c r="AC286" i="8"/>
  <c r="U286" i="8"/>
  <c r="D18" i="8"/>
  <c r="D118" i="8"/>
  <c r="AG121" i="14"/>
  <c r="F121" i="14"/>
  <c r="AG115" i="14"/>
  <c r="F115" i="14"/>
  <c r="AG109" i="14"/>
  <c r="F109" i="14"/>
  <c r="AG103" i="14"/>
  <c r="F103" i="14"/>
  <c r="AG97" i="14"/>
  <c r="F97" i="14"/>
  <c r="AG73" i="14"/>
  <c r="F73" i="14"/>
  <c r="AG49" i="14"/>
  <c r="F49" i="14"/>
  <c r="F200" i="8"/>
  <c r="B276" i="8"/>
  <c r="F88" i="8"/>
  <c r="F76" i="8"/>
  <c r="F18" i="8"/>
  <c r="F12" i="8"/>
  <c r="F114" i="17"/>
  <c r="G114" i="17"/>
  <c r="C111" i="17"/>
  <c r="G112" i="17"/>
  <c r="B126" i="17"/>
  <c r="AG126" i="17" s="1"/>
  <c r="AG110" i="17"/>
  <c r="E125" i="17"/>
  <c r="C123" i="17"/>
  <c r="U122" i="17"/>
  <c r="E111" i="17"/>
  <c r="B124" i="17"/>
  <c r="AG124" i="17" s="1"/>
  <c r="AG107" i="17"/>
  <c r="E123" i="17"/>
  <c r="AC122" i="17"/>
  <c r="M122" i="17"/>
  <c r="G100" i="17"/>
  <c r="F100" i="17"/>
  <c r="G94" i="17"/>
  <c r="F94" i="17"/>
  <c r="G88" i="17"/>
  <c r="F88" i="17"/>
  <c r="G46" i="17"/>
  <c r="F46" i="17"/>
  <c r="AG61" i="12"/>
  <c r="F61" i="12"/>
  <c r="D100" i="17"/>
  <c r="D94" i="17"/>
  <c r="D88" i="17"/>
  <c r="D80" i="17"/>
  <c r="D46" i="17"/>
  <c r="G32" i="17"/>
  <c r="F32" i="17"/>
  <c r="C124" i="17"/>
  <c r="D61" i="17"/>
  <c r="D25" i="17"/>
  <c r="G115" i="17"/>
  <c r="F115" i="17"/>
  <c r="E124" i="17"/>
  <c r="AG30" i="15"/>
  <c r="AG28" i="15"/>
  <c r="V369" i="14"/>
  <c r="N369" i="14"/>
  <c r="Y368" i="14"/>
  <c r="Q368" i="14"/>
  <c r="AB367" i="14"/>
  <c r="T367" i="14"/>
  <c r="T351" i="14"/>
  <c r="L367" i="14"/>
  <c r="L351" i="14"/>
  <c r="G304" i="14"/>
  <c r="F304" i="14"/>
  <c r="G286" i="14"/>
  <c r="F286" i="14"/>
  <c r="G261" i="14"/>
  <c r="AC361" i="14"/>
  <c r="Y361" i="14"/>
  <c r="U361" i="14"/>
  <c r="Q361" i="14"/>
  <c r="M361" i="14"/>
  <c r="G360" i="14"/>
  <c r="F360" i="14"/>
  <c r="G39" i="17"/>
  <c r="F39" i="17"/>
  <c r="B105" i="17"/>
  <c r="B123" i="17"/>
  <c r="AG123" i="17" s="1"/>
  <c r="AG106" i="17"/>
  <c r="X368" i="14"/>
  <c r="AB361" i="14"/>
  <c r="L361" i="14"/>
  <c r="U370" i="14"/>
  <c r="AB369" i="14"/>
  <c r="L369" i="14"/>
  <c r="S368" i="14"/>
  <c r="R367" i="14"/>
  <c r="G340" i="14"/>
  <c r="F340" i="14"/>
  <c r="B235" i="14"/>
  <c r="AG236" i="14"/>
  <c r="F223" i="14"/>
  <c r="D211" i="14"/>
  <c r="D207" i="14"/>
  <c r="D205" i="14" s="1"/>
  <c r="F211" i="14"/>
  <c r="B205" i="14"/>
  <c r="AG206" i="14"/>
  <c r="D193" i="14"/>
  <c r="D189" i="14"/>
  <c r="D187" i="14" s="1"/>
  <c r="F193" i="14"/>
  <c r="B187" i="14"/>
  <c r="AG188" i="14"/>
  <c r="D177" i="14"/>
  <c r="D174" i="14" s="1"/>
  <c r="D180" i="14"/>
  <c r="G177" i="14"/>
  <c r="F165" i="14"/>
  <c r="G165" i="14"/>
  <c r="F164" i="14"/>
  <c r="B162" i="14"/>
  <c r="AG162" i="14" s="1"/>
  <c r="AG164" i="14"/>
  <c r="F151" i="14"/>
  <c r="AG151" i="14"/>
  <c r="F130" i="14"/>
  <c r="AG130" i="14"/>
  <c r="G87" i="14"/>
  <c r="F64" i="14"/>
  <c r="AG64" i="14"/>
  <c r="F37" i="14"/>
  <c r="J361" i="14"/>
  <c r="C362" i="14"/>
  <c r="C31" i="14"/>
  <c r="D360" i="14"/>
  <c r="D358" i="14"/>
  <c r="E357" i="14"/>
  <c r="F13" i="14"/>
  <c r="E12" i="14"/>
  <c r="G13" i="14"/>
  <c r="G91" i="12"/>
  <c r="F91" i="12"/>
  <c r="D82" i="12"/>
  <c r="D79" i="12" s="1"/>
  <c r="D85" i="12"/>
  <c r="G82" i="12"/>
  <c r="G43" i="12"/>
  <c r="F43" i="12"/>
  <c r="AD162" i="12"/>
  <c r="AB162" i="12"/>
  <c r="Z162" i="12"/>
  <c r="X162" i="12"/>
  <c r="X157" i="12"/>
  <c r="V162" i="12"/>
  <c r="T162" i="12"/>
  <c r="R162" i="12"/>
  <c r="P162" i="12"/>
  <c r="N162" i="12"/>
  <c r="L162" i="12"/>
  <c r="AE161" i="12"/>
  <c r="AC161" i="12"/>
  <c r="AA161" i="12"/>
  <c r="Y161" i="12"/>
  <c r="W161" i="12"/>
  <c r="U161" i="12"/>
  <c r="S161" i="12"/>
  <c r="Q161" i="12"/>
  <c r="O161" i="12"/>
  <c r="M161" i="12"/>
  <c r="G12" i="12"/>
  <c r="F12" i="12"/>
  <c r="G284" i="8"/>
  <c r="F284" i="8"/>
  <c r="G282" i="8"/>
  <c r="F282" i="8"/>
  <c r="E281" i="8"/>
  <c r="P361" i="14"/>
  <c r="Q370" i="14"/>
  <c r="X369" i="14"/>
  <c r="W368" i="14"/>
  <c r="AD367" i="14"/>
  <c r="N367" i="14"/>
  <c r="G346" i="14"/>
  <c r="F346" i="14"/>
  <c r="D340" i="14"/>
  <c r="G328" i="14"/>
  <c r="F328" i="14"/>
  <c r="J298" i="14"/>
  <c r="B302" i="14"/>
  <c r="B365" i="14" s="1"/>
  <c r="I298" i="14"/>
  <c r="E299" i="14"/>
  <c r="E352" i="14" s="1"/>
  <c r="AG263" i="14"/>
  <c r="F263" i="14"/>
  <c r="AG261" i="14"/>
  <c r="B257" i="14"/>
  <c r="B358" i="14" s="1"/>
  <c r="F247" i="14"/>
  <c r="F199" i="14"/>
  <c r="B127" i="14"/>
  <c r="D24" i="14"/>
  <c r="G18" i="14"/>
  <c r="F18" i="14"/>
  <c r="Z355" i="14"/>
  <c r="X370" i="14"/>
  <c r="R355" i="14"/>
  <c r="P370" i="14"/>
  <c r="J355" i="14"/>
  <c r="H370" i="14"/>
  <c r="AE369" i="14"/>
  <c r="AA369" i="14"/>
  <c r="W369" i="14"/>
  <c r="S369" i="14"/>
  <c r="O369" i="14"/>
  <c r="K369" i="14"/>
  <c r="AD368" i="14"/>
  <c r="Z368" i="14"/>
  <c r="V368" i="14"/>
  <c r="R368" i="14"/>
  <c r="J368" i="14"/>
  <c r="AE367" i="14"/>
  <c r="AC356" i="14"/>
  <c r="Y351" i="14"/>
  <c r="Y367" i="14"/>
  <c r="W367" i="14"/>
  <c r="U356" i="14"/>
  <c r="Q351" i="14"/>
  <c r="Q367" i="14"/>
  <c r="O367" i="14"/>
  <c r="M356" i="14"/>
  <c r="I352" i="14"/>
  <c r="I372" i="14" s="1"/>
  <c r="AB161" i="12"/>
  <c r="AB156" i="12"/>
  <c r="T161" i="12"/>
  <c r="T156" i="12"/>
  <c r="G133" i="12"/>
  <c r="F133" i="12"/>
  <c r="G127" i="12"/>
  <c r="F127" i="12"/>
  <c r="G121" i="12"/>
  <c r="F121" i="12"/>
  <c r="AE79" i="14"/>
  <c r="W79" i="14"/>
  <c r="O79" i="14"/>
  <c r="C174" i="14"/>
  <c r="G174" i="14" s="1"/>
  <c r="E83" i="14"/>
  <c r="E365" i="14" s="1"/>
  <c r="AA365" i="14"/>
  <c r="AA361" i="14" s="1"/>
  <c r="S365" i="14"/>
  <c r="K365" i="14"/>
  <c r="AD106" i="11"/>
  <c r="AB106" i="11"/>
  <c r="Z101" i="11"/>
  <c r="X101" i="11"/>
  <c r="V106" i="11"/>
  <c r="T106" i="11"/>
  <c r="R101" i="11"/>
  <c r="P101" i="11"/>
  <c r="N106" i="11"/>
  <c r="L106" i="11"/>
  <c r="F81" i="9"/>
  <c r="F92" i="9" s="1"/>
  <c r="AG74" i="9"/>
  <c r="AG38" i="9"/>
  <c r="AG85" i="9"/>
  <c r="AD84" i="9"/>
  <c r="Z91" i="9"/>
  <c r="Z79" i="9"/>
  <c r="Z89" i="9" s="1"/>
  <c r="X91" i="9"/>
  <c r="X79" i="9"/>
  <c r="X89" i="9" s="1"/>
  <c r="R91" i="9"/>
  <c r="R79" i="9"/>
  <c r="R89" i="9" s="1"/>
  <c r="P91" i="9"/>
  <c r="P79" i="9"/>
  <c r="P89" i="9" s="1"/>
  <c r="J91" i="9"/>
  <c r="J79" i="9"/>
  <c r="J89" i="9" s="1"/>
  <c r="H91" i="9"/>
  <c r="H79" i="9"/>
  <c r="AE286" i="8"/>
  <c r="W286" i="8"/>
  <c r="O286" i="8"/>
  <c r="G283" i="8"/>
  <c r="B281" i="8"/>
  <c r="G209" i="8"/>
  <c r="D185" i="8"/>
  <c r="D182" i="8" s="1"/>
  <c r="D188" i="8"/>
  <c r="C127" i="8"/>
  <c r="G103" i="8"/>
  <c r="F103" i="8"/>
  <c r="E100" i="8"/>
  <c r="D106" i="8"/>
  <c r="D103" i="8"/>
  <c r="D100" i="8" s="1"/>
  <c r="B100" i="8"/>
  <c r="B64" i="8"/>
  <c r="F67" i="8"/>
  <c r="F57" i="8"/>
  <c r="G57" i="8"/>
  <c r="G44" i="8"/>
  <c r="D280" i="8"/>
  <c r="D279" i="8"/>
  <c r="D290" i="8"/>
  <c r="G280" i="8"/>
  <c r="F280" i="8"/>
  <c r="G288" i="8"/>
  <c r="F288" i="8"/>
  <c r="B279" i="8"/>
  <c r="M278" i="8"/>
  <c r="M275" i="8" s="1"/>
  <c r="E276" i="8"/>
  <c r="F26" i="8"/>
  <c r="E25" i="8"/>
  <c r="G26" i="8"/>
  <c r="AD93" i="9"/>
  <c r="AG81" i="9"/>
  <c r="AE79" i="9"/>
  <c r="AA79" i="9"/>
  <c r="AA89" i="9" s="1"/>
  <c r="W79" i="9"/>
  <c r="W89" i="9" s="1"/>
  <c r="S79" i="9"/>
  <c r="S89" i="9" s="1"/>
  <c r="O79" i="9"/>
  <c r="O89" i="9" s="1"/>
  <c r="K79" i="9"/>
  <c r="K89" i="9" s="1"/>
  <c r="Y286" i="8"/>
  <c r="I286" i="8"/>
  <c r="X278" i="8"/>
  <c r="H278" i="8"/>
  <c r="G27" i="8"/>
  <c r="E277" i="8"/>
  <c r="F27" i="8"/>
  <c r="G50" i="8"/>
  <c r="F50" i="8"/>
  <c r="G31" i="8"/>
  <c r="F31" i="8"/>
  <c r="B86" i="9"/>
  <c r="AG86" i="9" s="1"/>
  <c r="M286" i="8"/>
  <c r="L278" i="8"/>
  <c r="G264" i="8"/>
  <c r="F264" i="8"/>
  <c r="D223" i="8"/>
  <c r="D220" i="8" s="1"/>
  <c r="D226" i="8"/>
  <c r="G220" i="8"/>
  <c r="G212" i="8"/>
  <c r="F212" i="8"/>
  <c r="B182" i="8"/>
  <c r="B44" i="8"/>
  <c r="B289" i="8"/>
  <c r="D287" i="8"/>
  <c r="D26" i="8"/>
  <c r="AG20" i="9"/>
  <c r="G61" i="17"/>
  <c r="F61" i="17"/>
  <c r="G25" i="17"/>
  <c r="F25" i="17"/>
  <c r="D115" i="17"/>
  <c r="E126" i="17"/>
  <c r="D113" i="17"/>
  <c r="G113" i="17"/>
  <c r="F113" i="17"/>
  <c r="C22" i="15"/>
  <c r="Z369" i="14"/>
  <c r="R369" i="14"/>
  <c r="J369" i="14"/>
  <c r="AC368" i="14"/>
  <c r="U368" i="14"/>
  <c r="M368" i="14"/>
  <c r="X367" i="14"/>
  <c r="X351" i="14"/>
  <c r="P367" i="14"/>
  <c r="P351" i="14"/>
  <c r="G292" i="14"/>
  <c r="F292" i="14"/>
  <c r="G280" i="14"/>
  <c r="F280" i="14"/>
  <c r="D256" i="14"/>
  <c r="D255" i="14" s="1"/>
  <c r="D261" i="14"/>
  <c r="AE361" i="14"/>
  <c r="W361" i="14"/>
  <c r="O361" i="14"/>
  <c r="F18" i="17"/>
  <c r="G18" i="17"/>
  <c r="B125" i="17"/>
  <c r="AG125" i="17" s="1"/>
  <c r="AG108" i="17"/>
  <c r="AG112" i="17"/>
  <c r="B111" i="17"/>
  <c r="AG111" i="17" s="1"/>
  <c r="G28" i="15"/>
  <c r="F28" i="15"/>
  <c r="T361" i="14"/>
  <c r="AG360" i="14"/>
  <c r="AC370" i="14"/>
  <c r="M370" i="14"/>
  <c r="T369" i="14"/>
  <c r="AA368" i="14"/>
  <c r="K368" i="14"/>
  <c r="Z367" i="14"/>
  <c r="J367" i="14"/>
  <c r="G322" i="14"/>
  <c r="F322" i="14"/>
  <c r="D241" i="14"/>
  <c r="D237" i="14"/>
  <c r="D235" i="14" s="1"/>
  <c r="F208" i="14"/>
  <c r="AG208" i="14"/>
  <c r="F190" i="14"/>
  <c r="AG190" i="14"/>
  <c r="G180" i="14"/>
  <c r="F180" i="14"/>
  <c r="F163" i="14"/>
  <c r="E162" i="14"/>
  <c r="G163" i="14"/>
  <c r="C127" i="14"/>
  <c r="G127" i="14" s="1"/>
  <c r="G129" i="14"/>
  <c r="D103" i="14"/>
  <c r="D87" i="14"/>
  <c r="F35" i="14"/>
  <c r="D35" i="14"/>
  <c r="G35" i="14"/>
  <c r="E31" i="14"/>
  <c r="F15" i="14"/>
  <c r="E359" i="14"/>
  <c r="G15" i="14"/>
  <c r="F14" i="14"/>
  <c r="B12" i="14"/>
  <c r="AG12" i="14" s="1"/>
  <c r="AG14" i="14"/>
  <c r="F152" i="12"/>
  <c r="G99" i="12"/>
  <c r="F99" i="12"/>
  <c r="G85" i="12"/>
  <c r="F85" i="12"/>
  <c r="F64" i="12"/>
  <c r="AG64" i="12"/>
  <c r="G37" i="12"/>
  <c r="F37" i="12"/>
  <c r="D31" i="12"/>
  <c r="D12" i="12"/>
  <c r="C281" i="8"/>
  <c r="X361" i="14"/>
  <c r="Y370" i="14"/>
  <c r="I370" i="14"/>
  <c r="P369" i="14"/>
  <c r="AE368" i="14"/>
  <c r="O368" i="14"/>
  <c r="V367" i="14"/>
  <c r="AG336" i="14"/>
  <c r="B334" i="14"/>
  <c r="AG334" i="14" s="1"/>
  <c r="G316" i="14"/>
  <c r="F316" i="14"/>
  <c r="F311" i="14"/>
  <c r="D311" i="14"/>
  <c r="G311" i="14"/>
  <c r="F229" i="14"/>
  <c r="F217" i="14"/>
  <c r="G168" i="14"/>
  <c r="F168" i="14"/>
  <c r="D162" i="14"/>
  <c r="B61" i="14"/>
  <c r="G24" i="14"/>
  <c r="F24" i="14"/>
  <c r="D15" i="14"/>
  <c r="D13" i="14"/>
  <c r="AD355" i="14"/>
  <c r="AD375" i="14" s="1"/>
  <c r="AB370" i="14"/>
  <c r="V355" i="14"/>
  <c r="T370" i="14"/>
  <c r="N355" i="14"/>
  <c r="N375" i="14" s="1"/>
  <c r="L370" i="14"/>
  <c r="AD356" i="14"/>
  <c r="Z356" i="14"/>
  <c r="V356" i="14"/>
  <c r="R356" i="14"/>
  <c r="N356" i="14"/>
  <c r="J356" i="14"/>
  <c r="AC367" i="14"/>
  <c r="AC351" i="14"/>
  <c r="AA367" i="14"/>
  <c r="Y356" i="14"/>
  <c r="U367" i="14"/>
  <c r="U351" i="14"/>
  <c r="S367" i="14"/>
  <c r="Q356" i="14"/>
  <c r="M367" i="14"/>
  <c r="M351" i="14"/>
  <c r="K367" i="14"/>
  <c r="I356" i="14"/>
  <c r="F142" i="12"/>
  <c r="E162" i="12"/>
  <c r="X161" i="12"/>
  <c r="X156" i="12"/>
  <c r="P161" i="12"/>
  <c r="P156" i="12"/>
  <c r="G79" i="12"/>
  <c r="G49" i="12"/>
  <c r="F49" i="12"/>
  <c r="B162" i="12"/>
  <c r="D168" i="14"/>
  <c r="F148" i="14"/>
  <c r="AD11" i="11"/>
  <c r="F85" i="9"/>
  <c r="G85" i="9"/>
  <c r="D80" i="9"/>
  <c r="G80" i="9"/>
  <c r="G91" i="9" s="1"/>
  <c r="AD101" i="11"/>
  <c r="AD57" i="11"/>
  <c r="AB101" i="11"/>
  <c r="Z106" i="11"/>
  <c r="X106" i="11"/>
  <c r="V101" i="11"/>
  <c r="T101" i="11"/>
  <c r="P106" i="11"/>
  <c r="N101" i="11"/>
  <c r="L101" i="11"/>
  <c r="H57" i="11"/>
  <c r="AG53" i="9"/>
  <c r="G86" i="9"/>
  <c r="AD91" i="9"/>
  <c r="AD79" i="9"/>
  <c r="AB91" i="9"/>
  <c r="AB79" i="9"/>
  <c r="AB89" i="9" s="1"/>
  <c r="V91" i="9"/>
  <c r="V79" i="9"/>
  <c r="V89" i="9" s="1"/>
  <c r="T91" i="9"/>
  <c r="T79" i="9"/>
  <c r="T89" i="9" s="1"/>
  <c r="N91" i="9"/>
  <c r="N79" i="9"/>
  <c r="N89" i="9" s="1"/>
  <c r="L91" i="9"/>
  <c r="L79" i="9"/>
  <c r="L89" i="9" s="1"/>
  <c r="AA286" i="8"/>
  <c r="S286" i="8"/>
  <c r="K286" i="8"/>
  <c r="F285" i="8"/>
  <c r="G285" i="8"/>
  <c r="G112" i="8"/>
  <c r="F112" i="8"/>
  <c r="G106" i="8"/>
  <c r="F106" i="8"/>
  <c r="G29" i="8"/>
  <c r="F29" i="8"/>
  <c r="O278" i="8"/>
  <c r="O275" i="8" s="1"/>
  <c r="B277" i="8"/>
  <c r="D285" i="8"/>
  <c r="D283" i="8"/>
  <c r="D281" i="8" s="1"/>
  <c r="D12" i="8"/>
  <c r="AG12" i="9"/>
  <c r="C289" i="8"/>
  <c r="C286" i="8" s="1"/>
  <c r="Q286" i="8"/>
  <c r="P278" i="8"/>
  <c r="G232" i="8"/>
  <c r="F232" i="8"/>
  <c r="C185" i="8"/>
  <c r="C278" i="8" s="1"/>
  <c r="D277" i="8"/>
  <c r="G38" i="8"/>
  <c r="F38" i="8"/>
  <c r="D28" i="8"/>
  <c r="AE278" i="8"/>
  <c r="C25" i="8"/>
  <c r="AC79" i="9"/>
  <c r="AC89" i="9" s="1"/>
  <c r="Y79" i="9"/>
  <c r="Y89" i="9" s="1"/>
  <c r="U79" i="9"/>
  <c r="U89" i="9" s="1"/>
  <c r="Q79" i="9"/>
  <c r="Q89" i="9" s="1"/>
  <c r="M79" i="9"/>
  <c r="M89" i="9" s="1"/>
  <c r="I79" i="9"/>
  <c r="I89" i="9" s="1"/>
  <c r="F287" i="8"/>
  <c r="G287" i="8"/>
  <c r="AB278" i="8"/>
  <c r="G270" i="8"/>
  <c r="F270" i="8"/>
  <c r="D261" i="8"/>
  <c r="D258" i="8" s="1"/>
  <c r="D264" i="8"/>
  <c r="G250" i="8"/>
  <c r="F250" i="8"/>
  <c r="G226" i="8"/>
  <c r="F226" i="8"/>
  <c r="F206" i="8"/>
  <c r="G118" i="8"/>
  <c r="F118" i="8"/>
  <c r="T278" i="8"/>
  <c r="T25" i="8"/>
  <c r="T286" i="8"/>
  <c r="W278" i="8"/>
  <c r="W275" i="8" s="1"/>
  <c r="E278" i="8"/>
  <c r="AA275" i="8"/>
  <c r="K275" i="8"/>
  <c r="AG26" i="9"/>
  <c r="D288" i="8"/>
  <c r="G310" i="14" l="1"/>
  <c r="D116" i="17"/>
  <c r="F145" i="8"/>
  <c r="G145" i="8"/>
  <c r="C356" i="14"/>
  <c r="G274" i="14"/>
  <c r="C364" i="14"/>
  <c r="C369" i="14" s="1"/>
  <c r="D105" i="17"/>
  <c r="E354" i="14"/>
  <c r="E374" i="14" s="1"/>
  <c r="N361" i="14"/>
  <c r="K370" i="14"/>
  <c r="C298" i="14"/>
  <c r="B278" i="8"/>
  <c r="B275" i="8" s="1"/>
  <c r="C367" i="14"/>
  <c r="C351" i="14"/>
  <c r="B355" i="14"/>
  <c r="B375" i="14" s="1"/>
  <c r="B352" i="14"/>
  <c r="AG352" i="14" s="1"/>
  <c r="B353" i="14"/>
  <c r="B373" i="14" s="1"/>
  <c r="G61" i="12"/>
  <c r="G205" i="14"/>
  <c r="V275" i="8"/>
  <c r="K351" i="14"/>
  <c r="U278" i="8"/>
  <c r="U275" i="8" s="1"/>
  <c r="B364" i="14"/>
  <c r="AG364" i="14" s="1"/>
  <c r="H369" i="14"/>
  <c r="D310" i="14"/>
  <c r="W370" i="14"/>
  <c r="B354" i="14"/>
  <c r="B374" i="14" s="1"/>
  <c r="S275" i="8"/>
  <c r="G258" i="8"/>
  <c r="E279" i="8"/>
  <c r="F279" i="8" s="1"/>
  <c r="F79" i="12"/>
  <c r="H351" i="14"/>
  <c r="F289" i="8"/>
  <c r="F220" i="8"/>
  <c r="B362" i="14"/>
  <c r="I369" i="14"/>
  <c r="H361" i="14"/>
  <c r="F290" i="8"/>
  <c r="AG80" i="9"/>
  <c r="F80" i="9"/>
  <c r="F91" i="9" s="1"/>
  <c r="N275" i="8"/>
  <c r="H89" i="9"/>
  <c r="AB351" i="14"/>
  <c r="AB366" i="14" s="1"/>
  <c r="F301" i="14"/>
  <c r="D289" i="8"/>
  <c r="D286" i="8" s="1"/>
  <c r="E79" i="9"/>
  <c r="E89" i="9" s="1"/>
  <c r="D334" i="14"/>
  <c r="B363" i="14"/>
  <c r="AG363" i="14" s="1"/>
  <c r="F310" i="14"/>
  <c r="G334" i="14"/>
  <c r="F86" i="9"/>
  <c r="H367" i="14"/>
  <c r="Q275" i="8"/>
  <c r="B124" i="8"/>
  <c r="F124" i="8" s="1"/>
  <c r="AG83" i="9"/>
  <c r="W351" i="14"/>
  <c r="W366" i="14" s="1"/>
  <c r="H368" i="14"/>
  <c r="I368" i="14"/>
  <c r="E364" i="14"/>
  <c r="J351" i="14"/>
  <c r="J366" i="14" s="1"/>
  <c r="J375" i="14"/>
  <c r="Z351" i="14"/>
  <c r="Z366" i="14" s="1"/>
  <c r="Z375" i="14"/>
  <c r="O351" i="14"/>
  <c r="O366" i="14" s="1"/>
  <c r="O375" i="14"/>
  <c r="AE370" i="14"/>
  <c r="AE375" i="14"/>
  <c r="G301" i="14"/>
  <c r="R351" i="14"/>
  <c r="R366" i="14" s="1"/>
  <c r="R375" i="14"/>
  <c r="S351" i="14"/>
  <c r="S375" i="14"/>
  <c r="V351" i="14"/>
  <c r="V366" i="14" s="1"/>
  <c r="V375" i="14"/>
  <c r="AA351" i="14"/>
  <c r="AA366" i="14" s="1"/>
  <c r="AA375" i="14"/>
  <c r="AD351" i="14"/>
  <c r="AD366" i="14" s="1"/>
  <c r="Z275" i="8"/>
  <c r="D85" i="14"/>
  <c r="Y275" i="8"/>
  <c r="G22" i="15"/>
  <c r="G27" i="15" s="1"/>
  <c r="AG50" i="9"/>
  <c r="AG49" i="9"/>
  <c r="B291" i="8"/>
  <c r="W291" i="8" s="1"/>
  <c r="AG174" i="14"/>
  <c r="G85" i="14"/>
  <c r="F274" i="14"/>
  <c r="AB368" i="14"/>
  <c r="E355" i="14"/>
  <c r="E370" i="14" s="1"/>
  <c r="AG358" i="14"/>
  <c r="P366" i="14"/>
  <c r="C368" i="14"/>
  <c r="M366" i="14"/>
  <c r="D31" i="14"/>
  <c r="S370" i="14"/>
  <c r="D79" i="14"/>
  <c r="F85" i="14"/>
  <c r="G235" i="14"/>
  <c r="G187" i="14"/>
  <c r="D364" i="14"/>
  <c r="G363" i="14"/>
  <c r="O370" i="14"/>
  <c r="AC366" i="14"/>
  <c r="AA370" i="14"/>
  <c r="D111" i="17"/>
  <c r="I275" i="8"/>
  <c r="AH30" i="15"/>
  <c r="C27" i="15"/>
  <c r="AH27" i="15" s="1"/>
  <c r="AH22" i="15"/>
  <c r="AC278" i="8"/>
  <c r="AC275" i="8" s="1"/>
  <c r="D291" i="8"/>
  <c r="K361" i="14"/>
  <c r="AG22" i="15"/>
  <c r="F79" i="14"/>
  <c r="E368" i="14"/>
  <c r="G353" i="14"/>
  <c r="G373" i="14" s="1"/>
  <c r="U366" i="14"/>
  <c r="G79" i="14"/>
  <c r="AD124" i="8"/>
  <c r="AD278" i="8"/>
  <c r="F30" i="15"/>
  <c r="F22" i="15"/>
  <c r="F27" i="15" s="1"/>
  <c r="D125" i="17"/>
  <c r="S361" i="14"/>
  <c r="C77" i="11"/>
  <c r="J124" i="8"/>
  <c r="J278" i="8"/>
  <c r="R124" i="8"/>
  <c r="R278" i="8"/>
  <c r="D87" i="9"/>
  <c r="D84" i="9" s="1"/>
  <c r="D82" i="9"/>
  <c r="D93" i="9" s="1"/>
  <c r="D278" i="8"/>
  <c r="D124" i="17"/>
  <c r="G289" i="8"/>
  <c r="T275" i="8"/>
  <c r="AB275" i="8"/>
  <c r="G286" i="8"/>
  <c r="D91" i="9"/>
  <c r="AD89" i="9"/>
  <c r="B82" i="9"/>
  <c r="B87" i="9"/>
  <c r="AG35" i="9"/>
  <c r="G57" i="11"/>
  <c r="V370" i="14"/>
  <c r="D363" i="14"/>
  <c r="F31" i="14"/>
  <c r="G31" i="14"/>
  <c r="D123" i="17"/>
  <c r="D126" i="17"/>
  <c r="L275" i="8"/>
  <c r="AE275" i="8"/>
  <c r="X275" i="8"/>
  <c r="G25" i="8"/>
  <c r="F25" i="8"/>
  <c r="G276" i="8"/>
  <c r="F276" i="8"/>
  <c r="E275" i="8"/>
  <c r="F44" i="8"/>
  <c r="F64" i="8"/>
  <c r="F100" i="8"/>
  <c r="G100" i="8"/>
  <c r="C124" i="8"/>
  <c r="G124" i="8" s="1"/>
  <c r="G127" i="8"/>
  <c r="I351" i="14"/>
  <c r="I366" i="14" s="1"/>
  <c r="I367" i="14"/>
  <c r="Q366" i="14"/>
  <c r="AE366" i="14"/>
  <c r="J370" i="14"/>
  <c r="Z370" i="14"/>
  <c r="F257" i="14"/>
  <c r="B255" i="14"/>
  <c r="AG257" i="14"/>
  <c r="D299" i="14"/>
  <c r="D352" i="14" s="1"/>
  <c r="D372" i="14" s="1"/>
  <c r="E298" i="14"/>
  <c r="E362" i="14"/>
  <c r="AG302" i="14"/>
  <c r="B298" i="14"/>
  <c r="AG298" i="14" s="1"/>
  <c r="AG365" i="14"/>
  <c r="F281" i="8"/>
  <c r="G281" i="8"/>
  <c r="G12" i="14"/>
  <c r="F12" i="14"/>
  <c r="F357" i="14"/>
  <c r="E356" i="14"/>
  <c r="G357" i="14"/>
  <c r="AG187" i="14"/>
  <c r="F187" i="14"/>
  <c r="B122" i="17"/>
  <c r="AG122" i="17" s="1"/>
  <c r="AG105" i="17"/>
  <c r="L366" i="14"/>
  <c r="F116" i="17"/>
  <c r="G116" i="17"/>
  <c r="E122" i="17"/>
  <c r="F105" i="17"/>
  <c r="G105" i="17"/>
  <c r="C182" i="8"/>
  <c r="G185" i="8"/>
  <c r="P275" i="8"/>
  <c r="N370" i="14"/>
  <c r="AD370" i="14"/>
  <c r="D357" i="14"/>
  <c r="D12" i="14"/>
  <c r="D359" i="14"/>
  <c r="D354" i="14"/>
  <c r="D374" i="14" s="1"/>
  <c r="AG61" i="14"/>
  <c r="F61" i="14"/>
  <c r="F359" i="14"/>
  <c r="G359" i="14"/>
  <c r="G365" i="14"/>
  <c r="G162" i="14"/>
  <c r="F162" i="14"/>
  <c r="F334" i="14"/>
  <c r="X366" i="14"/>
  <c r="D276" i="8"/>
  <c r="D25" i="8"/>
  <c r="B286" i="8"/>
  <c r="F28" i="8"/>
  <c r="F277" i="8"/>
  <c r="G277" i="8"/>
  <c r="H275" i="8"/>
  <c r="C82" i="9"/>
  <c r="C87" i="9"/>
  <c r="F83" i="14"/>
  <c r="D83" i="14"/>
  <c r="D365" i="14" s="1"/>
  <c r="G83" i="14"/>
  <c r="Y366" i="14"/>
  <c r="R370" i="14"/>
  <c r="AG127" i="14"/>
  <c r="F127" i="14"/>
  <c r="N351" i="14"/>
  <c r="N366" i="14" s="1"/>
  <c r="E372" i="14"/>
  <c r="D353" i="14"/>
  <c r="D373" i="14" s="1"/>
  <c r="AG205" i="14"/>
  <c r="F205" i="14"/>
  <c r="AG235" i="14"/>
  <c r="F235" i="14"/>
  <c r="B356" i="14"/>
  <c r="AG356" i="14" s="1"/>
  <c r="F358" i="14"/>
  <c r="F261" i="14"/>
  <c r="T366" i="14"/>
  <c r="G111" i="17"/>
  <c r="F111" i="17"/>
  <c r="C122" i="17"/>
  <c r="G364" i="14" l="1"/>
  <c r="C361" i="14"/>
  <c r="B367" i="14"/>
  <c r="AG367" i="14" s="1"/>
  <c r="B372" i="14"/>
  <c r="F364" i="14"/>
  <c r="B369" i="14"/>
  <c r="AG369" i="14" s="1"/>
  <c r="F354" i="14"/>
  <c r="F374" i="14" s="1"/>
  <c r="K366" i="14"/>
  <c r="AG362" i="14"/>
  <c r="G279" i="8"/>
  <c r="F363" i="14"/>
  <c r="S366" i="14"/>
  <c r="AG354" i="14"/>
  <c r="H366" i="14"/>
  <c r="AA291" i="8"/>
  <c r="U291" i="8" s="1"/>
  <c r="E369" i="14"/>
  <c r="Y291" i="8"/>
  <c r="G354" i="14"/>
  <c r="G374" i="14" s="1"/>
  <c r="B351" i="14"/>
  <c r="AG351" i="14" s="1"/>
  <c r="G355" i="14"/>
  <c r="G375" i="14" s="1"/>
  <c r="E375" i="14"/>
  <c r="F353" i="14"/>
  <c r="F373" i="14" s="1"/>
  <c r="AG353" i="14"/>
  <c r="B368" i="14"/>
  <c r="AG368" i="14" s="1"/>
  <c r="C366" i="14"/>
  <c r="F365" i="14"/>
  <c r="B361" i="14"/>
  <c r="AG361" i="14" s="1"/>
  <c r="D79" i="9"/>
  <c r="D89" i="9" s="1"/>
  <c r="AD275" i="8"/>
  <c r="R275" i="8"/>
  <c r="J275" i="8"/>
  <c r="D355" i="14"/>
  <c r="D375" i="14" s="1"/>
  <c r="D368" i="14"/>
  <c r="C275" i="8"/>
  <c r="G82" i="9"/>
  <c r="G93" i="9" s="1"/>
  <c r="C79" i="9"/>
  <c r="C93" i="9"/>
  <c r="D351" i="14"/>
  <c r="F275" i="8"/>
  <c r="G356" i="14"/>
  <c r="F356" i="14"/>
  <c r="AG355" i="14"/>
  <c r="B370" i="14"/>
  <c r="AG370" i="14" s="1"/>
  <c r="G298" i="14"/>
  <c r="F298" i="14"/>
  <c r="AG31" i="9"/>
  <c r="AG32" i="9"/>
  <c r="D122" i="17"/>
  <c r="F286" i="8"/>
  <c r="G352" i="14"/>
  <c r="G372" i="14" s="1"/>
  <c r="E367" i="14"/>
  <c r="F352" i="14"/>
  <c r="F372" i="14" s="1"/>
  <c r="E351" i="14"/>
  <c r="G87" i="9"/>
  <c r="C84" i="9"/>
  <c r="G84" i="9" s="1"/>
  <c r="D275" i="8"/>
  <c r="D369" i="14"/>
  <c r="D356" i="14"/>
  <c r="G362" i="14"/>
  <c r="F362" i="14"/>
  <c r="E361" i="14"/>
  <c r="D298" i="14"/>
  <c r="D362" i="14"/>
  <c r="D361" i="14" s="1"/>
  <c r="AG255" i="14"/>
  <c r="F255" i="14"/>
  <c r="F355" i="14"/>
  <c r="F375" i="14" s="1"/>
  <c r="B84" i="9"/>
  <c r="F87" i="9"/>
  <c r="AG87" i="9"/>
  <c r="F82" i="9"/>
  <c r="F93" i="9" s="1"/>
  <c r="B93" i="9"/>
  <c r="AG82" i="9"/>
  <c r="B79" i="9"/>
  <c r="F278" i="8"/>
  <c r="G278" i="8"/>
  <c r="O291" i="8" l="1"/>
  <c r="S291" i="8"/>
  <c r="M291" i="8" s="1"/>
  <c r="Q291" i="8"/>
  <c r="K291" i="8" s="1"/>
  <c r="D370" i="14"/>
  <c r="G275" i="8"/>
  <c r="B89" i="9"/>
  <c r="B90" i="9"/>
  <c r="AG79" i="9"/>
  <c r="F79" i="9"/>
  <c r="F89" i="9" s="1"/>
  <c r="AG84" i="9"/>
  <c r="F84" i="9"/>
  <c r="B366" i="14"/>
  <c r="AG366" i="14" s="1"/>
  <c r="F361" i="14"/>
  <c r="G361" i="14"/>
  <c r="E366" i="14"/>
  <c r="F351" i="14"/>
  <c r="G351" i="14"/>
  <c r="D366" i="14"/>
  <c r="D367" i="14"/>
  <c r="C89" i="9"/>
  <c r="G79" i="9"/>
  <c r="G89" i="9" s="1"/>
  <c r="E291" i="8" l="1"/>
  <c r="F291" i="8" s="1"/>
  <c r="I291" i="8"/>
  <c r="C291" i="8" s="1"/>
  <c r="I28" i="7"/>
  <c r="J28" i="7"/>
  <c r="K28" i="7"/>
  <c r="L28" i="7"/>
  <c r="M28" i="7"/>
  <c r="N28" i="7"/>
  <c r="O28" i="7"/>
  <c r="P28" i="7"/>
  <c r="Q28" i="7"/>
  <c r="R28" i="7"/>
  <c r="S28" i="7"/>
  <c r="T28" i="7"/>
  <c r="U28" i="7"/>
  <c r="V28" i="7"/>
  <c r="W28" i="7"/>
  <c r="X28" i="7"/>
  <c r="Y28" i="7"/>
  <c r="Z28" i="7"/>
  <c r="AA28" i="7"/>
  <c r="AB28" i="7"/>
  <c r="AC28" i="7"/>
  <c r="AD28" i="7"/>
  <c r="AE28" i="7"/>
  <c r="H28" i="7"/>
  <c r="I113" i="7"/>
  <c r="J113" i="7"/>
  <c r="K113" i="7"/>
  <c r="L113" i="7"/>
  <c r="M113" i="7"/>
  <c r="N113" i="7"/>
  <c r="O113" i="7"/>
  <c r="P113" i="7"/>
  <c r="Q113" i="7"/>
  <c r="R113" i="7"/>
  <c r="S113" i="7"/>
  <c r="T113" i="7"/>
  <c r="U113" i="7"/>
  <c r="V113" i="7"/>
  <c r="W113" i="7"/>
  <c r="X113" i="7"/>
  <c r="Y113" i="7"/>
  <c r="Z113" i="7"/>
  <c r="AA113" i="7"/>
  <c r="AB113" i="7"/>
  <c r="AC113" i="7"/>
  <c r="AD113" i="7"/>
  <c r="AE113" i="7"/>
  <c r="H113" i="7"/>
  <c r="I107" i="7"/>
  <c r="K107" i="7"/>
  <c r="L107" i="7"/>
  <c r="M107" i="7"/>
  <c r="N107" i="7"/>
  <c r="O107" i="7"/>
  <c r="R107" i="7"/>
  <c r="S107" i="7"/>
  <c r="T107" i="7"/>
  <c r="U107" i="7"/>
  <c r="V107" i="7"/>
  <c r="W107" i="7"/>
  <c r="X107" i="7"/>
  <c r="Y107" i="7"/>
  <c r="Z107" i="7"/>
  <c r="AA107" i="7"/>
  <c r="AB107" i="7"/>
  <c r="AC107" i="7"/>
  <c r="AD107" i="7"/>
  <c r="AE107" i="7"/>
  <c r="H107" i="7"/>
  <c r="B108" i="7"/>
  <c r="B107" i="7" s="1"/>
  <c r="I93" i="7"/>
  <c r="J93" i="7"/>
  <c r="K93" i="7"/>
  <c r="L93" i="7"/>
  <c r="M93" i="7"/>
  <c r="N93" i="7"/>
  <c r="O93" i="7"/>
  <c r="P93" i="7"/>
  <c r="Q93" i="7"/>
  <c r="R93" i="7"/>
  <c r="S93" i="7"/>
  <c r="T93" i="7"/>
  <c r="U93" i="7"/>
  <c r="V93" i="7"/>
  <c r="W93" i="7"/>
  <c r="X93" i="7"/>
  <c r="Y93" i="7"/>
  <c r="Z93" i="7"/>
  <c r="AA93" i="7"/>
  <c r="AB93" i="7"/>
  <c r="AC93" i="7"/>
  <c r="AD93" i="7"/>
  <c r="AE93" i="7"/>
  <c r="H93" i="7"/>
  <c r="I91" i="7"/>
  <c r="I90" i="7" s="1"/>
  <c r="J91" i="7"/>
  <c r="J90" i="7" s="1"/>
  <c r="K90" i="7"/>
  <c r="L91" i="7"/>
  <c r="L90" i="7" s="1"/>
  <c r="M91" i="7"/>
  <c r="M90" i="7" s="1"/>
  <c r="N91" i="7"/>
  <c r="N90" i="7" s="1"/>
  <c r="O91" i="7"/>
  <c r="O90" i="7" s="1"/>
  <c r="P91" i="7"/>
  <c r="P90" i="7" s="1"/>
  <c r="Q91" i="7"/>
  <c r="Q90" i="7" s="1"/>
  <c r="R91" i="7"/>
  <c r="R90" i="7" s="1"/>
  <c r="S91" i="7"/>
  <c r="S90" i="7" s="1"/>
  <c r="T91" i="7"/>
  <c r="T90" i="7" s="1"/>
  <c r="U91" i="7"/>
  <c r="U90" i="7" s="1"/>
  <c r="V90" i="7"/>
  <c r="W90" i="7"/>
  <c r="X91" i="7"/>
  <c r="X90" i="7" s="1"/>
  <c r="Y91" i="7"/>
  <c r="Y90" i="7" s="1"/>
  <c r="Z91" i="7"/>
  <c r="Z90" i="7" s="1"/>
  <c r="AA91" i="7"/>
  <c r="AA90" i="7" s="1"/>
  <c r="AB91" i="7"/>
  <c r="AB90" i="7" s="1"/>
  <c r="AC91" i="7"/>
  <c r="AC90" i="7" s="1"/>
  <c r="AD91" i="7"/>
  <c r="AD90" i="7" s="1"/>
  <c r="AE91" i="7"/>
  <c r="AE90" i="7" s="1"/>
  <c r="H90" i="7"/>
  <c r="D91" i="7"/>
  <c r="I87" i="7"/>
  <c r="J87" i="7"/>
  <c r="K87" i="7"/>
  <c r="L87" i="7"/>
  <c r="M87" i="7"/>
  <c r="N87" i="7"/>
  <c r="O87" i="7"/>
  <c r="P87" i="7"/>
  <c r="Q87" i="7"/>
  <c r="R87" i="7"/>
  <c r="S87" i="7"/>
  <c r="T87" i="7"/>
  <c r="U87" i="7"/>
  <c r="V87" i="7"/>
  <c r="W87" i="7"/>
  <c r="X87" i="7"/>
  <c r="Y87" i="7"/>
  <c r="Z87" i="7"/>
  <c r="AA87" i="7"/>
  <c r="AB87" i="7"/>
  <c r="AC87" i="7"/>
  <c r="AD87" i="7"/>
  <c r="AE87" i="7"/>
  <c r="H87" i="7"/>
  <c r="I84" i="7"/>
  <c r="J84" i="7"/>
  <c r="K84" i="7"/>
  <c r="L84" i="7"/>
  <c r="M84" i="7"/>
  <c r="N84" i="7"/>
  <c r="O84" i="7"/>
  <c r="P84" i="7"/>
  <c r="Q84" i="7"/>
  <c r="R84" i="7"/>
  <c r="S84" i="7"/>
  <c r="T84" i="7"/>
  <c r="U84" i="7"/>
  <c r="V84" i="7"/>
  <c r="W84" i="7"/>
  <c r="X84" i="7"/>
  <c r="Y84" i="7"/>
  <c r="Z84" i="7"/>
  <c r="AA84" i="7"/>
  <c r="AB84" i="7"/>
  <c r="AC84" i="7"/>
  <c r="AD84" i="7"/>
  <c r="AE84" i="7"/>
  <c r="H84" i="7"/>
  <c r="I82" i="7"/>
  <c r="I81" i="7" s="1"/>
  <c r="I80" i="7" s="1"/>
  <c r="J82" i="7"/>
  <c r="J81" i="7" s="1"/>
  <c r="J80" i="7" s="1"/>
  <c r="H81" i="7"/>
  <c r="H80" i="7" s="1"/>
  <c r="I64" i="7"/>
  <c r="I63" i="7" s="1"/>
  <c r="J64" i="7"/>
  <c r="J63" i="7" s="1"/>
  <c r="K64" i="7"/>
  <c r="K63" i="7" s="1"/>
  <c r="L63" i="7"/>
  <c r="M63" i="7"/>
  <c r="R63" i="7"/>
  <c r="S63" i="7"/>
  <c r="T63" i="7"/>
  <c r="U63" i="7"/>
  <c r="V63" i="7"/>
  <c r="W63" i="7"/>
  <c r="X63" i="7"/>
  <c r="Y63" i="7"/>
  <c r="Z63" i="7"/>
  <c r="AA63" i="7"/>
  <c r="AB63" i="7"/>
  <c r="AC63" i="7"/>
  <c r="AD63" i="7"/>
  <c r="AE63" i="7"/>
  <c r="H63" i="7"/>
  <c r="I52" i="7"/>
  <c r="J52" i="7"/>
  <c r="J57" i="7" s="1"/>
  <c r="K52" i="7"/>
  <c r="L52" i="7"/>
  <c r="L57" i="7" s="1"/>
  <c r="M52" i="7"/>
  <c r="N52" i="7"/>
  <c r="N57" i="7" s="1"/>
  <c r="O52" i="7"/>
  <c r="P52" i="7"/>
  <c r="P57" i="7" s="1"/>
  <c r="Q52" i="7"/>
  <c r="R52" i="7"/>
  <c r="R57" i="7" s="1"/>
  <c r="S52" i="7"/>
  <c r="T52" i="7"/>
  <c r="T57" i="7" s="1"/>
  <c r="U52" i="7"/>
  <c r="V52" i="7"/>
  <c r="V57" i="7" s="1"/>
  <c r="W52" i="7"/>
  <c r="X52" i="7"/>
  <c r="X57" i="7" s="1"/>
  <c r="Y52" i="7"/>
  <c r="Z52" i="7"/>
  <c r="Z57" i="7" s="1"/>
  <c r="AA52" i="7"/>
  <c r="AB52" i="7"/>
  <c r="AB57" i="7" s="1"/>
  <c r="AC52" i="7"/>
  <c r="AD52" i="7"/>
  <c r="AD57" i="7" s="1"/>
  <c r="AE52" i="7"/>
  <c r="I54" i="7"/>
  <c r="J54" i="7"/>
  <c r="J59" i="7" s="1"/>
  <c r="K54" i="7"/>
  <c r="K59" i="7" s="1"/>
  <c r="L54" i="7"/>
  <c r="L59" i="7" s="1"/>
  <c r="M54" i="7"/>
  <c r="M59" i="7" s="1"/>
  <c r="N54" i="7"/>
  <c r="N59" i="7" s="1"/>
  <c r="O54" i="7"/>
  <c r="O59" i="7" s="1"/>
  <c r="P54" i="7"/>
  <c r="P59" i="7" s="1"/>
  <c r="Q54" i="7"/>
  <c r="R54" i="7"/>
  <c r="R59" i="7" s="1"/>
  <c r="S54" i="7"/>
  <c r="S59" i="7" s="1"/>
  <c r="T54" i="7"/>
  <c r="T59" i="7" s="1"/>
  <c r="U54" i="7"/>
  <c r="U59" i="7" s="1"/>
  <c r="V54" i="7"/>
  <c r="V59" i="7" s="1"/>
  <c r="W54" i="7"/>
  <c r="W59" i="7" s="1"/>
  <c r="X54" i="7"/>
  <c r="X59" i="7" s="1"/>
  <c r="Y54" i="7"/>
  <c r="Y59" i="7" s="1"/>
  <c r="Z54" i="7"/>
  <c r="Z59" i="7" s="1"/>
  <c r="AA54" i="7"/>
  <c r="AA59" i="7" s="1"/>
  <c r="AB54" i="7"/>
  <c r="AB59" i="7" s="1"/>
  <c r="AC54" i="7"/>
  <c r="AC59" i="7" s="1"/>
  <c r="AD54" i="7"/>
  <c r="AD59" i="7" s="1"/>
  <c r="AE54" i="7"/>
  <c r="AE59" i="7" s="1"/>
  <c r="H54" i="7"/>
  <c r="H59" i="7" s="1"/>
  <c r="H52" i="7"/>
  <c r="C52" i="7"/>
  <c r="C57" i="7" s="1"/>
  <c r="D52" i="7"/>
  <c r="D57" i="7" s="1"/>
  <c r="E52" i="7"/>
  <c r="D54" i="7"/>
  <c r="D59" i="7" s="1"/>
  <c r="I40" i="7"/>
  <c r="J40" i="7"/>
  <c r="K40" i="7"/>
  <c r="M40" i="7"/>
  <c r="N40" i="7"/>
  <c r="O40" i="7"/>
  <c r="P40" i="7"/>
  <c r="Q40" i="7"/>
  <c r="R40" i="7"/>
  <c r="S40" i="7"/>
  <c r="T40" i="7"/>
  <c r="U40" i="7"/>
  <c r="V40" i="7"/>
  <c r="W40" i="7"/>
  <c r="X40" i="7"/>
  <c r="Y40" i="7"/>
  <c r="Z40" i="7"/>
  <c r="AA40" i="7"/>
  <c r="AB40" i="7"/>
  <c r="AC40" i="7"/>
  <c r="AD40" i="7"/>
  <c r="AE40" i="7"/>
  <c r="H40" i="7"/>
  <c r="B43" i="7"/>
  <c r="B54" i="7" s="1"/>
  <c r="B59" i="7" s="1"/>
  <c r="C32" i="7"/>
  <c r="B32" i="7"/>
  <c r="I26" i="7"/>
  <c r="I25" i="7" s="1"/>
  <c r="J25" i="7"/>
  <c r="L26" i="7"/>
  <c r="M26" i="7"/>
  <c r="M25" i="7" s="1"/>
  <c r="N26" i="7"/>
  <c r="N25" i="7" s="1"/>
  <c r="O26" i="7"/>
  <c r="O25" i="7" s="1"/>
  <c r="P26" i="7"/>
  <c r="P25" i="7" s="1"/>
  <c r="Q26" i="7"/>
  <c r="Q25" i="7" s="1"/>
  <c r="R26" i="7"/>
  <c r="R25" i="7" s="1"/>
  <c r="S26" i="7"/>
  <c r="S25" i="7" s="1"/>
  <c r="T26" i="7"/>
  <c r="T25" i="7" s="1"/>
  <c r="U26" i="7"/>
  <c r="U25" i="7" s="1"/>
  <c r="V26" i="7"/>
  <c r="V25" i="7" s="1"/>
  <c r="W26" i="7"/>
  <c r="W25" i="7" s="1"/>
  <c r="X26" i="7"/>
  <c r="X25" i="7" s="1"/>
  <c r="Y26" i="7"/>
  <c r="Y25" i="7" s="1"/>
  <c r="Z26" i="7"/>
  <c r="Z25" i="7" s="1"/>
  <c r="AA26" i="7"/>
  <c r="AA25" i="7" s="1"/>
  <c r="AB26" i="7"/>
  <c r="AC26" i="7"/>
  <c r="AC25" i="7" s="1"/>
  <c r="AD26" i="7"/>
  <c r="AD25" i="7" s="1"/>
  <c r="AE26" i="7"/>
  <c r="AE25" i="7" s="1"/>
  <c r="H26" i="7"/>
  <c r="H25" i="7" s="1"/>
  <c r="D26" i="7"/>
  <c r="D25" i="7" s="1"/>
  <c r="C20" i="7"/>
  <c r="C19" i="7" s="1"/>
  <c r="B20" i="7"/>
  <c r="B19" i="7" s="1"/>
  <c r="C17" i="7"/>
  <c r="C16" i="7" s="1"/>
  <c r="D16" i="7"/>
  <c r="C14" i="7"/>
  <c r="B14" i="7"/>
  <c r="E11" i="7"/>
  <c r="E10" i="7" s="1"/>
  <c r="E9" i="7" s="1"/>
  <c r="C11" i="7"/>
  <c r="C10" i="7" s="1"/>
  <c r="B11" i="7"/>
  <c r="B10" i="7" s="1"/>
  <c r="B9" i="7" s="1"/>
  <c r="B41" i="7"/>
  <c r="B42" i="7"/>
  <c r="E54" i="7"/>
  <c r="E59" i="7" s="1"/>
  <c r="C54" i="7"/>
  <c r="C59" i="7" s="1"/>
  <c r="C46" i="7"/>
  <c r="E88" i="7"/>
  <c r="E87" i="7" s="1"/>
  <c r="C88" i="7"/>
  <c r="C87" i="7" s="1"/>
  <c r="B88" i="7"/>
  <c r="F88" i="7" s="1"/>
  <c r="D87" i="7"/>
  <c r="B85" i="7"/>
  <c r="E78" i="7"/>
  <c r="C78" i="7"/>
  <c r="B79" i="7"/>
  <c r="F79" i="7" s="1"/>
  <c r="D78" i="7"/>
  <c r="E76" i="7"/>
  <c r="C76" i="7"/>
  <c r="C75" i="7" s="1"/>
  <c r="B76" i="7"/>
  <c r="F76" i="7" s="1"/>
  <c r="D75" i="7"/>
  <c r="B52" i="7" l="1"/>
  <c r="B57" i="7" s="1"/>
  <c r="F41" i="7"/>
  <c r="Q59" i="7"/>
  <c r="Q118" i="7"/>
  <c r="Q122" i="7" s="1"/>
  <c r="I59" i="7"/>
  <c r="I118" i="7"/>
  <c r="H116" i="7"/>
  <c r="E57" i="7"/>
  <c r="E116" i="7"/>
  <c r="E120" i="7" s="1"/>
  <c r="G291" i="8"/>
  <c r="B82" i="7"/>
  <c r="B81" i="7" s="1"/>
  <c r="B78" i="7"/>
  <c r="F78" i="7" s="1"/>
  <c r="AB25" i="7"/>
  <c r="AB53" i="7"/>
  <c r="AB117" i="7" s="1"/>
  <c r="AB121" i="7" s="1"/>
  <c r="L25" i="7"/>
  <c r="L53" i="7"/>
  <c r="AE57" i="7"/>
  <c r="AE116" i="7"/>
  <c r="AE120" i="7" s="1"/>
  <c r="AC57" i="7"/>
  <c r="AC116" i="7"/>
  <c r="AC120" i="7" s="1"/>
  <c r="AA57" i="7"/>
  <c r="AA116" i="7"/>
  <c r="AA120" i="7" s="1"/>
  <c r="Y57" i="7"/>
  <c r="Y116" i="7"/>
  <c r="Y120" i="7" s="1"/>
  <c r="W57" i="7"/>
  <c r="W116" i="7"/>
  <c r="W120" i="7" s="1"/>
  <c r="U57" i="7"/>
  <c r="U116" i="7"/>
  <c r="U120" i="7" s="1"/>
  <c r="S57" i="7"/>
  <c r="S116" i="7"/>
  <c r="S120" i="7" s="1"/>
  <c r="Q57" i="7"/>
  <c r="Q116" i="7"/>
  <c r="Q120" i="7" s="1"/>
  <c r="O57" i="7"/>
  <c r="O116" i="7"/>
  <c r="O120" i="7" s="1"/>
  <c r="M57" i="7"/>
  <c r="M116" i="7"/>
  <c r="M120" i="7" s="1"/>
  <c r="K57" i="7"/>
  <c r="K116" i="7"/>
  <c r="K120" i="7" s="1"/>
  <c r="I57" i="7"/>
  <c r="I116" i="7"/>
  <c r="I120" i="7" s="1"/>
  <c r="B116" i="7"/>
  <c r="B120" i="7" s="1"/>
  <c r="C116" i="7"/>
  <c r="C120" i="7" s="1"/>
  <c r="T53" i="7"/>
  <c r="T117" i="7" s="1"/>
  <c r="T121" i="7" s="1"/>
  <c r="D116" i="7"/>
  <c r="D120" i="7" s="1"/>
  <c r="AD116" i="7"/>
  <c r="AD120" i="7" s="1"/>
  <c r="AB116" i="7"/>
  <c r="Z116" i="7"/>
  <c r="Z120" i="7" s="1"/>
  <c r="X116" i="7"/>
  <c r="X120" i="7" s="1"/>
  <c r="V116" i="7"/>
  <c r="V120" i="7" s="1"/>
  <c r="T116" i="7"/>
  <c r="T120" i="7" s="1"/>
  <c r="R116" i="7"/>
  <c r="R120" i="7" s="1"/>
  <c r="P116" i="7"/>
  <c r="P120" i="7" s="1"/>
  <c r="N116" i="7"/>
  <c r="N120" i="7" s="1"/>
  <c r="L116" i="7"/>
  <c r="L120" i="7" s="1"/>
  <c r="J116" i="7"/>
  <c r="J120" i="7" s="1"/>
  <c r="B118" i="7"/>
  <c r="B122" i="7" s="1"/>
  <c r="H57" i="7"/>
  <c r="G59" i="7"/>
  <c r="H53" i="7"/>
  <c r="H117" i="7" s="1"/>
  <c r="X53" i="7"/>
  <c r="X51" i="7" s="1"/>
  <c r="P53" i="7"/>
  <c r="P117" i="7" s="1"/>
  <c r="F59" i="7"/>
  <c r="AD53" i="7"/>
  <c r="AD117" i="7" s="1"/>
  <c r="Z53" i="7"/>
  <c r="Z117" i="7" s="1"/>
  <c r="V53" i="7"/>
  <c r="V117" i="7" s="1"/>
  <c r="R53" i="7"/>
  <c r="R117" i="7" s="1"/>
  <c r="N53" i="7"/>
  <c r="N117" i="7" s="1"/>
  <c r="J53" i="7"/>
  <c r="J117" i="7" s="1"/>
  <c r="B111" i="7"/>
  <c r="AE53" i="7"/>
  <c r="AE117" i="7" s="1"/>
  <c r="AC53" i="7"/>
  <c r="AC117" i="7" s="1"/>
  <c r="AA53" i="7"/>
  <c r="AA117" i="7" s="1"/>
  <c r="Y53" i="7"/>
  <c r="Y117" i="7" s="1"/>
  <c r="W53" i="7"/>
  <c r="W117" i="7" s="1"/>
  <c r="U53" i="7"/>
  <c r="U117" i="7" s="1"/>
  <c r="S53" i="7"/>
  <c r="S117" i="7" s="1"/>
  <c r="Q53" i="7"/>
  <c r="Q117" i="7" s="1"/>
  <c r="Q121" i="7" s="1"/>
  <c r="O53" i="7"/>
  <c r="O117" i="7" s="1"/>
  <c r="O121" i="7" s="1"/>
  <c r="O119" i="7" s="1"/>
  <c r="M53" i="7"/>
  <c r="M117" i="7" s="1"/>
  <c r="K53" i="7"/>
  <c r="K117" i="7" s="1"/>
  <c r="I53" i="7"/>
  <c r="I117" i="7" s="1"/>
  <c r="B40" i="7"/>
  <c r="F43" i="7"/>
  <c r="G76" i="7"/>
  <c r="B87" i="7"/>
  <c r="F87" i="7" s="1"/>
  <c r="G43" i="7"/>
  <c r="B75" i="7"/>
  <c r="G79" i="7"/>
  <c r="E75" i="7"/>
  <c r="G88" i="7"/>
  <c r="G87" i="7"/>
  <c r="G78" i="7"/>
  <c r="E23" i="7"/>
  <c r="C23" i="7"/>
  <c r="C22" i="7" s="1"/>
  <c r="B23" i="7"/>
  <c r="B22" i="7" s="1"/>
  <c r="E111" i="7"/>
  <c r="E94" i="7"/>
  <c r="E91" i="7" s="1"/>
  <c r="C94" i="7"/>
  <c r="B94" i="7"/>
  <c r="B91" i="7" s="1"/>
  <c r="D93" i="7"/>
  <c r="F85" i="7"/>
  <c r="E85" i="7"/>
  <c r="E82" i="7" s="1"/>
  <c r="C85" i="7"/>
  <c r="C82" i="7" s="1"/>
  <c r="C81" i="7" s="1"/>
  <c r="D84" i="7"/>
  <c r="B84" i="7"/>
  <c r="D82" i="7"/>
  <c r="D81" i="7" s="1"/>
  <c r="E73" i="7"/>
  <c r="C73" i="7"/>
  <c r="C72" i="7" s="1"/>
  <c r="B73" i="7"/>
  <c r="F73" i="7" s="1"/>
  <c r="D72" i="7"/>
  <c r="E70" i="7"/>
  <c r="E69" i="7" s="1"/>
  <c r="D70" i="7"/>
  <c r="D64" i="7" s="1"/>
  <c r="D63" i="7" s="1"/>
  <c r="C70" i="7"/>
  <c r="C69" i="7" s="1"/>
  <c r="B70" i="7"/>
  <c r="B69" i="7" s="1"/>
  <c r="E67" i="7"/>
  <c r="C67" i="7"/>
  <c r="B67" i="7"/>
  <c r="D66" i="7"/>
  <c r="AE118" i="7"/>
  <c r="AE122" i="7" s="1"/>
  <c r="AD118" i="7"/>
  <c r="AD122" i="7" s="1"/>
  <c r="AC118" i="7"/>
  <c r="AC122" i="7" s="1"/>
  <c r="AB118" i="7"/>
  <c r="AB122" i="7" s="1"/>
  <c r="AA118" i="7"/>
  <c r="AA122" i="7" s="1"/>
  <c r="Z118" i="7"/>
  <c r="Z122" i="7" s="1"/>
  <c r="Y118" i="7"/>
  <c r="Y122" i="7" s="1"/>
  <c r="X118" i="7"/>
  <c r="X122" i="7" s="1"/>
  <c r="W118" i="7"/>
  <c r="W122" i="7" s="1"/>
  <c r="V118" i="7"/>
  <c r="V122" i="7" s="1"/>
  <c r="U118" i="7"/>
  <c r="U122" i="7" s="1"/>
  <c r="T118" i="7"/>
  <c r="T122" i="7" s="1"/>
  <c r="S118" i="7"/>
  <c r="S122" i="7" s="1"/>
  <c r="R118" i="7"/>
  <c r="R122" i="7" s="1"/>
  <c r="P118" i="7"/>
  <c r="P122" i="7" s="1"/>
  <c r="O118" i="7"/>
  <c r="O122" i="7" s="1"/>
  <c r="N118" i="7"/>
  <c r="N122" i="7" s="1"/>
  <c r="M118" i="7"/>
  <c r="M122" i="7" s="1"/>
  <c r="L118" i="7"/>
  <c r="L122" i="7" s="1"/>
  <c r="K118" i="7"/>
  <c r="K122" i="7" s="1"/>
  <c r="J118" i="7"/>
  <c r="J122" i="7" s="1"/>
  <c r="I122" i="7"/>
  <c r="H118" i="7"/>
  <c r="H122" i="7" s="1"/>
  <c r="D118" i="7"/>
  <c r="D122" i="7" s="1"/>
  <c r="E49" i="7"/>
  <c r="C49" i="7"/>
  <c r="C48" i="7" s="1"/>
  <c r="B49" i="7"/>
  <c r="B48" i="7" s="1"/>
  <c r="AE48" i="7"/>
  <c r="E46" i="7"/>
  <c r="C45" i="7"/>
  <c r="B46" i="7"/>
  <c r="AE45" i="7"/>
  <c r="D40" i="7"/>
  <c r="E38" i="7"/>
  <c r="C38" i="7"/>
  <c r="C37" i="7" s="1"/>
  <c r="B38" i="7"/>
  <c r="B37" i="7" s="1"/>
  <c r="D37" i="7"/>
  <c r="E35" i="7"/>
  <c r="C35" i="7"/>
  <c r="C34" i="7" s="1"/>
  <c r="B35" i="7"/>
  <c r="D34" i="7"/>
  <c r="E32" i="7"/>
  <c r="E31" i="7" s="1"/>
  <c r="C31" i="7"/>
  <c r="E29" i="7"/>
  <c r="C29" i="7"/>
  <c r="C28" i="7" s="1"/>
  <c r="B29" i="7"/>
  <c r="E20" i="7"/>
  <c r="E17" i="7"/>
  <c r="B17" i="7"/>
  <c r="B16" i="7" s="1"/>
  <c r="E14" i="7"/>
  <c r="B13" i="7"/>
  <c r="C13" i="7"/>
  <c r="C118" i="7"/>
  <c r="C122" i="7" s="1"/>
  <c r="D9" i="7"/>
  <c r="I56" i="6"/>
  <c r="I134" i="6" s="1"/>
  <c r="I139" i="6" s="1"/>
  <c r="J56" i="6"/>
  <c r="J134" i="6" s="1"/>
  <c r="J139" i="6" s="1"/>
  <c r="K56" i="6"/>
  <c r="K134" i="6" s="1"/>
  <c r="K139" i="6" s="1"/>
  <c r="L56" i="6"/>
  <c r="L134" i="6" s="1"/>
  <c r="L139" i="6" s="1"/>
  <c r="M56" i="6"/>
  <c r="M134" i="6" s="1"/>
  <c r="M139" i="6" s="1"/>
  <c r="N56" i="6"/>
  <c r="N134" i="6" s="1"/>
  <c r="N139" i="6" s="1"/>
  <c r="O56" i="6"/>
  <c r="O134" i="6" s="1"/>
  <c r="O139" i="6" s="1"/>
  <c r="P56" i="6"/>
  <c r="P134" i="6" s="1"/>
  <c r="P139" i="6" s="1"/>
  <c r="Q56" i="6"/>
  <c r="Q134" i="6" s="1"/>
  <c r="Q139" i="6" s="1"/>
  <c r="R56" i="6"/>
  <c r="R134" i="6" s="1"/>
  <c r="R139" i="6" s="1"/>
  <c r="S56" i="6"/>
  <c r="S134" i="6" s="1"/>
  <c r="S139" i="6" s="1"/>
  <c r="T56" i="6"/>
  <c r="T134" i="6" s="1"/>
  <c r="T139" i="6" s="1"/>
  <c r="U56" i="6"/>
  <c r="U134" i="6" s="1"/>
  <c r="U139" i="6" s="1"/>
  <c r="V56" i="6"/>
  <c r="V134" i="6" s="1"/>
  <c r="V139" i="6" s="1"/>
  <c r="W56" i="6"/>
  <c r="W134" i="6" s="1"/>
  <c r="W139" i="6" s="1"/>
  <c r="X56" i="6"/>
  <c r="X134" i="6" s="1"/>
  <c r="X139" i="6" s="1"/>
  <c r="Y56" i="6"/>
  <c r="Y134" i="6" s="1"/>
  <c r="Y139" i="6" s="1"/>
  <c r="Z56" i="6"/>
  <c r="Z134" i="6" s="1"/>
  <c r="Z139" i="6" s="1"/>
  <c r="AA56" i="6"/>
  <c r="AA134" i="6" s="1"/>
  <c r="AA139" i="6" s="1"/>
  <c r="AB56" i="6"/>
  <c r="AB134" i="6" s="1"/>
  <c r="AB139" i="6" s="1"/>
  <c r="AC56" i="6"/>
  <c r="AC134" i="6" s="1"/>
  <c r="AC139" i="6" s="1"/>
  <c r="AD56" i="6"/>
  <c r="AD134" i="6" s="1"/>
  <c r="AD139" i="6" s="1"/>
  <c r="AE56" i="6"/>
  <c r="AE134" i="6" s="1"/>
  <c r="AE139" i="6" s="1"/>
  <c r="H56" i="6"/>
  <c r="H134" i="6" s="1"/>
  <c r="H139" i="6" s="1"/>
  <c r="B13" i="6"/>
  <c r="B56" i="6" s="1"/>
  <c r="C134" i="6"/>
  <c r="C139" i="6" s="1"/>
  <c r="B12" i="6"/>
  <c r="I53" i="6"/>
  <c r="J53" i="6"/>
  <c r="K53" i="6"/>
  <c r="L53" i="6"/>
  <c r="M53" i="6"/>
  <c r="N53" i="6"/>
  <c r="O53" i="6"/>
  <c r="P53" i="6"/>
  <c r="Q53" i="6"/>
  <c r="R53" i="6"/>
  <c r="S53" i="6"/>
  <c r="T53" i="6"/>
  <c r="U53" i="6"/>
  <c r="V53" i="6"/>
  <c r="W53" i="6"/>
  <c r="X53" i="6"/>
  <c r="Y53" i="6"/>
  <c r="Z53" i="6"/>
  <c r="AA53" i="6"/>
  <c r="AB53" i="6"/>
  <c r="AC53" i="6"/>
  <c r="AD53" i="6"/>
  <c r="AE53" i="6"/>
  <c r="I54" i="6"/>
  <c r="J54" i="6"/>
  <c r="K54" i="6"/>
  <c r="L54" i="6"/>
  <c r="M54" i="6"/>
  <c r="N54" i="6"/>
  <c r="O54" i="6"/>
  <c r="P54" i="6"/>
  <c r="Q54" i="6"/>
  <c r="R54" i="6"/>
  <c r="S54" i="6"/>
  <c r="T54" i="6"/>
  <c r="U54" i="6"/>
  <c r="V54" i="6"/>
  <c r="W54" i="6"/>
  <c r="X54" i="6"/>
  <c r="Y54" i="6"/>
  <c r="Z54" i="6"/>
  <c r="AA54" i="6"/>
  <c r="AB54" i="6"/>
  <c r="AC54" i="6"/>
  <c r="AD54" i="6"/>
  <c r="AE54" i="6"/>
  <c r="H54" i="6"/>
  <c r="H53" i="6"/>
  <c r="C49" i="6"/>
  <c r="B50" i="6"/>
  <c r="B49" i="6" s="1"/>
  <c r="AE49" i="6"/>
  <c r="AD49" i="6"/>
  <c r="AC49" i="6"/>
  <c r="AB49" i="6"/>
  <c r="AA49" i="6"/>
  <c r="Z49" i="6"/>
  <c r="Y49" i="6"/>
  <c r="X49" i="6"/>
  <c r="W49" i="6"/>
  <c r="V49" i="6"/>
  <c r="U49" i="6"/>
  <c r="T49" i="6"/>
  <c r="S49" i="6"/>
  <c r="R49" i="6"/>
  <c r="Q49" i="6"/>
  <c r="P49" i="6"/>
  <c r="O49" i="6"/>
  <c r="N49" i="6"/>
  <c r="M49" i="6"/>
  <c r="L49" i="6"/>
  <c r="K49" i="6"/>
  <c r="J49" i="6"/>
  <c r="I49" i="6"/>
  <c r="H49" i="6"/>
  <c r="G69" i="7" l="1"/>
  <c r="H115" i="7"/>
  <c r="Q119" i="7"/>
  <c r="L117" i="7"/>
  <c r="H120" i="7"/>
  <c r="B134" i="6"/>
  <c r="B139" i="6" s="1"/>
  <c r="F75" i="7"/>
  <c r="AB58" i="7"/>
  <c r="AB56" i="7" s="1"/>
  <c r="AB51" i="7"/>
  <c r="L58" i="7"/>
  <c r="L56" i="7" s="1"/>
  <c r="T51" i="7"/>
  <c r="L51" i="7"/>
  <c r="E84" i="7"/>
  <c r="F84" i="7" s="1"/>
  <c r="T58" i="7"/>
  <c r="T56" i="7" s="1"/>
  <c r="F32" i="7"/>
  <c r="P51" i="7"/>
  <c r="I115" i="7"/>
  <c r="I121" i="7"/>
  <c r="I119" i="7" s="1"/>
  <c r="K115" i="7"/>
  <c r="K121" i="7"/>
  <c r="K119" i="7" s="1"/>
  <c r="M115" i="7"/>
  <c r="M121" i="7"/>
  <c r="M119" i="7" s="1"/>
  <c r="O115" i="7"/>
  <c r="Q115" i="7"/>
  <c r="S115" i="7"/>
  <c r="S121" i="7"/>
  <c r="S119" i="7" s="1"/>
  <c r="U115" i="7"/>
  <c r="U121" i="7"/>
  <c r="U119" i="7" s="1"/>
  <c r="W121" i="7"/>
  <c r="W119" i="7" s="1"/>
  <c r="Y115" i="7"/>
  <c r="Y121" i="7"/>
  <c r="Y119" i="7" s="1"/>
  <c r="AA115" i="7"/>
  <c r="AA121" i="7"/>
  <c r="AA119" i="7" s="1"/>
  <c r="AC115" i="7"/>
  <c r="AC121" i="7"/>
  <c r="AC119" i="7" s="1"/>
  <c r="AE115" i="7"/>
  <c r="AE121" i="7"/>
  <c r="AE119" i="7" s="1"/>
  <c r="J115" i="7"/>
  <c r="J121" i="7"/>
  <c r="J119" i="7" s="1"/>
  <c r="N115" i="7"/>
  <c r="N121" i="7"/>
  <c r="N119" i="7" s="1"/>
  <c r="R115" i="7"/>
  <c r="R121" i="7"/>
  <c r="R119" i="7" s="1"/>
  <c r="V121" i="7"/>
  <c r="V119" i="7" s="1"/>
  <c r="Z115" i="7"/>
  <c r="Z121" i="7"/>
  <c r="Z119" i="7" s="1"/>
  <c r="AD121" i="7"/>
  <c r="AD119" i="7" s="1"/>
  <c r="P115" i="7"/>
  <c r="P121" i="7"/>
  <c r="P119" i="7" s="1"/>
  <c r="AB115" i="7"/>
  <c r="AB120" i="7"/>
  <c r="AB119" i="7" s="1"/>
  <c r="T119" i="7"/>
  <c r="B110" i="7"/>
  <c r="H58" i="7"/>
  <c r="H56" i="7" s="1"/>
  <c r="L115" i="7"/>
  <c r="P58" i="7"/>
  <c r="P56" i="7" s="1"/>
  <c r="X58" i="7"/>
  <c r="X56" i="7" s="1"/>
  <c r="X117" i="7"/>
  <c r="H51" i="7"/>
  <c r="T115" i="7"/>
  <c r="C64" i="7"/>
  <c r="C63" i="7" s="1"/>
  <c r="I51" i="7"/>
  <c r="I58" i="7"/>
  <c r="I56" i="7" s="1"/>
  <c r="M51" i="7"/>
  <c r="M58" i="7"/>
  <c r="M56" i="7" s="1"/>
  <c r="Q51" i="7"/>
  <c r="Q58" i="7"/>
  <c r="Q56" i="7" s="1"/>
  <c r="U51" i="7"/>
  <c r="U58" i="7"/>
  <c r="U56" i="7" s="1"/>
  <c r="Y51" i="7"/>
  <c r="Y58" i="7"/>
  <c r="Y56" i="7" s="1"/>
  <c r="AC51" i="7"/>
  <c r="AC58" i="7"/>
  <c r="AC56" i="7" s="1"/>
  <c r="N51" i="7"/>
  <c r="N58" i="7"/>
  <c r="N56" i="7" s="1"/>
  <c r="V51" i="7"/>
  <c r="V58" i="7"/>
  <c r="V56" i="7" s="1"/>
  <c r="AD51" i="7"/>
  <c r="AD58" i="7"/>
  <c r="AD56" i="7" s="1"/>
  <c r="B66" i="7"/>
  <c r="B64" i="7"/>
  <c r="E64" i="7"/>
  <c r="E63" i="7" s="1"/>
  <c r="C93" i="7"/>
  <c r="C91" i="7"/>
  <c r="C90" i="7" s="1"/>
  <c r="E107" i="7"/>
  <c r="K51" i="7"/>
  <c r="K58" i="7"/>
  <c r="K56" i="7" s="1"/>
  <c r="O51" i="7"/>
  <c r="O58" i="7"/>
  <c r="O56" i="7" s="1"/>
  <c r="S51" i="7"/>
  <c r="S58" i="7"/>
  <c r="S56" i="7" s="1"/>
  <c r="W51" i="7"/>
  <c r="W58" i="7"/>
  <c r="W56" i="7" s="1"/>
  <c r="AA51" i="7"/>
  <c r="AA58" i="7"/>
  <c r="AA56" i="7" s="1"/>
  <c r="AE51" i="7"/>
  <c r="AE58" i="7"/>
  <c r="AE56" i="7" s="1"/>
  <c r="J51" i="7"/>
  <c r="J58" i="7"/>
  <c r="J56" i="7" s="1"/>
  <c r="R51" i="7"/>
  <c r="R58" i="7"/>
  <c r="R56" i="7" s="1"/>
  <c r="Z51" i="7"/>
  <c r="Z58" i="7"/>
  <c r="Z56" i="7" s="1"/>
  <c r="G75" i="7"/>
  <c r="D53" i="7"/>
  <c r="B28" i="7"/>
  <c r="B26" i="7"/>
  <c r="B25" i="7" s="1"/>
  <c r="E28" i="7"/>
  <c r="E26" i="7"/>
  <c r="E25" i="7" s="1"/>
  <c r="C26" i="7"/>
  <c r="C40" i="7"/>
  <c r="C84" i="7"/>
  <c r="C9" i="7"/>
  <c r="G82" i="7"/>
  <c r="E81" i="7"/>
  <c r="G81" i="7" s="1"/>
  <c r="F38" i="7"/>
  <c r="F46" i="7"/>
  <c r="F49" i="7"/>
  <c r="B31" i="7"/>
  <c r="B45" i="7"/>
  <c r="G29" i="7"/>
  <c r="E37" i="7"/>
  <c r="F37" i="7" s="1"/>
  <c r="E40" i="7"/>
  <c r="E45" i="7"/>
  <c r="E48" i="7"/>
  <c r="F11" i="7"/>
  <c r="B34" i="7"/>
  <c r="F35" i="7"/>
  <c r="F67" i="7"/>
  <c r="E66" i="7"/>
  <c r="E72" i="7"/>
  <c r="G73" i="7"/>
  <c r="F81" i="7"/>
  <c r="F14" i="7"/>
  <c r="F17" i="7"/>
  <c r="F29" i="7"/>
  <c r="B72" i="7"/>
  <c r="F82" i="7"/>
  <c r="C111" i="7"/>
  <c r="C110" i="7" s="1"/>
  <c r="C107" i="7"/>
  <c r="G23" i="7"/>
  <c r="F23" i="7"/>
  <c r="E22" i="7"/>
  <c r="F22" i="7" s="1"/>
  <c r="G32" i="7"/>
  <c r="G38" i="7"/>
  <c r="G46" i="7"/>
  <c r="G49" i="7"/>
  <c r="G70" i="7"/>
  <c r="G85" i="7"/>
  <c r="F107" i="7"/>
  <c r="E16" i="7"/>
  <c r="F54" i="7"/>
  <c r="E118" i="7"/>
  <c r="E122" i="7" s="1"/>
  <c r="G54" i="7"/>
  <c r="G14" i="7"/>
  <c r="G17" i="7"/>
  <c r="G20" i="7"/>
  <c r="G35" i="7"/>
  <c r="F52" i="7"/>
  <c r="F69" i="7"/>
  <c r="D69" i="7"/>
  <c r="F70" i="7"/>
  <c r="D90" i="7"/>
  <c r="F94" i="7"/>
  <c r="B90" i="7"/>
  <c r="E93" i="7"/>
  <c r="G94" i="7"/>
  <c r="G11" i="7"/>
  <c r="E13" i="7"/>
  <c r="E19" i="7"/>
  <c r="F20" i="7"/>
  <c r="E34" i="7"/>
  <c r="C66" i="7"/>
  <c r="B93" i="7"/>
  <c r="D111" i="7"/>
  <c r="D107" i="7"/>
  <c r="F108" i="7"/>
  <c r="G67" i="7"/>
  <c r="E114" i="7"/>
  <c r="E110" i="7"/>
  <c r="G108" i="7"/>
  <c r="I131" i="6"/>
  <c r="J131" i="6"/>
  <c r="J136" i="6" s="1"/>
  <c r="K131" i="6"/>
  <c r="L131" i="6"/>
  <c r="L136" i="6" s="1"/>
  <c r="M131" i="6"/>
  <c r="N131" i="6"/>
  <c r="N136" i="6" s="1"/>
  <c r="O131" i="6"/>
  <c r="P131" i="6"/>
  <c r="P136" i="6" s="1"/>
  <c r="Q131" i="6"/>
  <c r="R131" i="6"/>
  <c r="R136" i="6" s="1"/>
  <c r="S131" i="6"/>
  <c r="T131" i="6"/>
  <c r="T136" i="6" s="1"/>
  <c r="U131" i="6"/>
  <c r="V131" i="6"/>
  <c r="V136" i="6" s="1"/>
  <c r="W131" i="6"/>
  <c r="X131" i="6"/>
  <c r="X136" i="6" s="1"/>
  <c r="Y131" i="6"/>
  <c r="Z131" i="6"/>
  <c r="Z136" i="6" s="1"/>
  <c r="AA131" i="6"/>
  <c r="AB131" i="6"/>
  <c r="AB136" i="6" s="1"/>
  <c r="AC131" i="6"/>
  <c r="AD131" i="6"/>
  <c r="AD136" i="6" s="1"/>
  <c r="AE131" i="6"/>
  <c r="I132" i="6"/>
  <c r="K137" i="6"/>
  <c r="M137" i="6"/>
  <c r="O137" i="6"/>
  <c r="P137" i="6"/>
  <c r="Q137" i="6"/>
  <c r="S137" i="6"/>
  <c r="T137" i="6"/>
  <c r="U137" i="6"/>
  <c r="W137" i="6"/>
  <c r="X137" i="6"/>
  <c r="Y137" i="6"/>
  <c r="AA137" i="6"/>
  <c r="AB137" i="6"/>
  <c r="AC137" i="6"/>
  <c r="AE137" i="6"/>
  <c r="H131" i="6"/>
  <c r="H136" i="6" s="1"/>
  <c r="D131" i="6"/>
  <c r="D136" i="6" s="1"/>
  <c r="I124" i="6"/>
  <c r="J124" i="6"/>
  <c r="J128" i="6" s="1"/>
  <c r="K124" i="6"/>
  <c r="L124" i="6"/>
  <c r="L128" i="6" s="1"/>
  <c r="M124" i="6"/>
  <c r="N124" i="6"/>
  <c r="N128" i="6" s="1"/>
  <c r="O124" i="6"/>
  <c r="P124" i="6"/>
  <c r="P128" i="6" s="1"/>
  <c r="Q124" i="6"/>
  <c r="R124" i="6"/>
  <c r="R128" i="6" s="1"/>
  <c r="S124" i="6"/>
  <c r="T124" i="6"/>
  <c r="T128" i="6" s="1"/>
  <c r="U124" i="6"/>
  <c r="V124" i="6"/>
  <c r="V128" i="6" s="1"/>
  <c r="W124" i="6"/>
  <c r="X124" i="6"/>
  <c r="X128" i="6" s="1"/>
  <c r="Y124" i="6"/>
  <c r="Z124" i="6"/>
  <c r="Z128" i="6" s="1"/>
  <c r="AA124" i="6"/>
  <c r="AB124" i="6"/>
  <c r="AB128" i="6" s="1"/>
  <c r="AC124" i="6"/>
  <c r="AD124" i="6"/>
  <c r="AD128" i="6" s="1"/>
  <c r="AE124" i="6"/>
  <c r="I125" i="6"/>
  <c r="I129" i="6" s="1"/>
  <c r="J125" i="6"/>
  <c r="K125" i="6"/>
  <c r="K129" i="6" s="1"/>
  <c r="L125" i="6"/>
  <c r="M125" i="6"/>
  <c r="M129" i="6" s="1"/>
  <c r="N125" i="6"/>
  <c r="O125" i="6"/>
  <c r="O129" i="6" s="1"/>
  <c r="P125" i="6"/>
  <c r="Q125" i="6"/>
  <c r="Q129" i="6" s="1"/>
  <c r="R125" i="6"/>
  <c r="S125" i="6"/>
  <c r="S129" i="6" s="1"/>
  <c r="T125" i="6"/>
  <c r="U125" i="6"/>
  <c r="U129" i="6" s="1"/>
  <c r="V125" i="6"/>
  <c r="W125" i="6"/>
  <c r="W129" i="6" s="1"/>
  <c r="X125" i="6"/>
  <c r="Y125" i="6"/>
  <c r="Y129" i="6" s="1"/>
  <c r="Z125" i="6"/>
  <c r="AA125" i="6"/>
  <c r="AA129" i="6" s="1"/>
  <c r="AB125" i="6"/>
  <c r="AC125" i="6"/>
  <c r="AC129" i="6" s="1"/>
  <c r="AD125" i="6"/>
  <c r="AD129" i="6" s="1"/>
  <c r="AE125" i="6"/>
  <c r="AE129" i="6" s="1"/>
  <c r="H125" i="6"/>
  <c r="H129" i="6" s="1"/>
  <c r="H124" i="6"/>
  <c r="H132" i="6" s="1"/>
  <c r="H137" i="6" s="1"/>
  <c r="H120" i="6"/>
  <c r="B121" i="6"/>
  <c r="B120" i="6" s="1"/>
  <c r="D124" i="6"/>
  <c r="D128" i="6" s="1"/>
  <c r="C72" i="6"/>
  <c r="D72" i="6"/>
  <c r="D68" i="6"/>
  <c r="D66" i="6" s="1"/>
  <c r="E66" i="6" s="1"/>
  <c r="H68" i="6"/>
  <c r="H66" i="6" s="1"/>
  <c r="C43" i="6"/>
  <c r="H60" i="6"/>
  <c r="C37" i="6"/>
  <c r="L121" i="7" l="1"/>
  <c r="L119" i="7" s="1"/>
  <c r="F124" i="7"/>
  <c r="H65" i="6"/>
  <c r="H99" i="6"/>
  <c r="H98" i="6" s="1"/>
  <c r="H102" i="6"/>
  <c r="H101" i="6" s="1"/>
  <c r="I137" i="6"/>
  <c r="E132" i="6"/>
  <c r="C78" i="6"/>
  <c r="C71" i="6"/>
  <c r="F66" i="7"/>
  <c r="E100" i="7"/>
  <c r="G84" i="7"/>
  <c r="G64" i="7"/>
  <c r="AB123" i="6"/>
  <c r="X123" i="6"/>
  <c r="T123" i="6"/>
  <c r="P123" i="6"/>
  <c r="L123" i="6"/>
  <c r="G107" i="7"/>
  <c r="G22" i="7"/>
  <c r="Z123" i="6"/>
  <c r="Z129" i="6"/>
  <c r="Z127" i="6" s="1"/>
  <c r="V123" i="6"/>
  <c r="V129" i="6"/>
  <c r="V127" i="6" s="1"/>
  <c r="R123" i="6"/>
  <c r="R129" i="6"/>
  <c r="R127" i="6" s="1"/>
  <c r="N123" i="6"/>
  <c r="N129" i="6"/>
  <c r="N127" i="6" s="1"/>
  <c r="J123" i="6"/>
  <c r="J129" i="6"/>
  <c r="J127" i="6" s="1"/>
  <c r="AE123" i="6"/>
  <c r="F28" i="7"/>
  <c r="G28" i="7"/>
  <c r="X121" i="7"/>
  <c r="X119" i="7" s="1"/>
  <c r="H121" i="7"/>
  <c r="H119" i="7" s="1"/>
  <c r="D51" i="7"/>
  <c r="D58" i="7"/>
  <c r="D56" i="7" s="1"/>
  <c r="B100" i="7"/>
  <c r="B63" i="7"/>
  <c r="F63" i="7" s="1"/>
  <c r="B53" i="7"/>
  <c r="F53" i="7" s="1"/>
  <c r="C53" i="7"/>
  <c r="E53" i="7"/>
  <c r="E117" i="7" s="1"/>
  <c r="F45" i="7"/>
  <c r="G45" i="7"/>
  <c r="C114" i="7"/>
  <c r="C113" i="7" s="1"/>
  <c r="G37" i="7"/>
  <c r="G40" i="7"/>
  <c r="F42" i="7"/>
  <c r="G66" i="7"/>
  <c r="F64" i="7"/>
  <c r="G26" i="7"/>
  <c r="F16" i="7"/>
  <c r="G111" i="7"/>
  <c r="F40" i="7"/>
  <c r="G16" i="7"/>
  <c r="G42" i="7"/>
  <c r="F26" i="7"/>
  <c r="G72" i="7"/>
  <c r="F72" i="7"/>
  <c r="G110" i="7"/>
  <c r="E113" i="7"/>
  <c r="D114" i="7"/>
  <c r="D113" i="7" s="1"/>
  <c r="D110" i="7"/>
  <c r="E103" i="7"/>
  <c r="E99" i="7"/>
  <c r="G34" i="7"/>
  <c r="F34" i="7"/>
  <c r="G19" i="7"/>
  <c r="F19" i="7"/>
  <c r="G91" i="7"/>
  <c r="E90" i="7"/>
  <c r="G118" i="7"/>
  <c r="F118" i="7"/>
  <c r="F110" i="7"/>
  <c r="B114" i="7"/>
  <c r="B113" i="7" s="1"/>
  <c r="F111" i="7"/>
  <c r="C100" i="7"/>
  <c r="G63" i="7"/>
  <c r="G52" i="7"/>
  <c r="G13" i="7"/>
  <c r="F13" i="7"/>
  <c r="G10" i="7"/>
  <c r="F10" i="7"/>
  <c r="G93" i="7"/>
  <c r="F93" i="7"/>
  <c r="F91" i="7"/>
  <c r="D100" i="7"/>
  <c r="D117" i="7" s="1"/>
  <c r="D121" i="7" s="1"/>
  <c r="D119" i="7" s="1"/>
  <c r="C68" i="6"/>
  <c r="C66" i="6" s="1"/>
  <c r="D71" i="6"/>
  <c r="AC123" i="6"/>
  <c r="AC128" i="6"/>
  <c r="AC127" i="6" s="1"/>
  <c r="AA123" i="6"/>
  <c r="AA128" i="6"/>
  <c r="AA127" i="6" s="1"/>
  <c r="Y123" i="6"/>
  <c r="Y128" i="6"/>
  <c r="Y127" i="6" s="1"/>
  <c r="W123" i="6"/>
  <c r="W128" i="6"/>
  <c r="W127" i="6" s="1"/>
  <c r="U123" i="6"/>
  <c r="U128" i="6"/>
  <c r="U127" i="6" s="1"/>
  <c r="S123" i="6"/>
  <c r="S128" i="6"/>
  <c r="S127" i="6" s="1"/>
  <c r="Q123" i="6"/>
  <c r="Q128" i="6"/>
  <c r="Q127" i="6" s="1"/>
  <c r="O123" i="6"/>
  <c r="O128" i="6"/>
  <c r="O127" i="6" s="1"/>
  <c r="M123" i="6"/>
  <c r="M128" i="6"/>
  <c r="M127" i="6" s="1"/>
  <c r="K123" i="6"/>
  <c r="K128" i="6"/>
  <c r="K127" i="6" s="1"/>
  <c r="I123" i="6"/>
  <c r="I128" i="6"/>
  <c r="I127" i="6" s="1"/>
  <c r="AB129" i="6"/>
  <c r="AB127" i="6" s="1"/>
  <c r="X129" i="6"/>
  <c r="X127" i="6" s="1"/>
  <c r="T129" i="6"/>
  <c r="T127" i="6" s="1"/>
  <c r="P129" i="6"/>
  <c r="P127" i="6" s="1"/>
  <c r="L129" i="6"/>
  <c r="L127" i="6" s="1"/>
  <c r="AE128" i="6"/>
  <c r="AE127" i="6" s="1"/>
  <c r="Z137" i="6"/>
  <c r="V137" i="6"/>
  <c r="R137" i="6"/>
  <c r="N137" i="6"/>
  <c r="L137" i="6"/>
  <c r="J137" i="6"/>
  <c r="AE136" i="6"/>
  <c r="AC136" i="6"/>
  <c r="AA136" i="6"/>
  <c r="Y136" i="6"/>
  <c r="W136" i="6"/>
  <c r="U136" i="6"/>
  <c r="S136" i="6"/>
  <c r="Q136" i="6"/>
  <c r="O136" i="6"/>
  <c r="M136" i="6"/>
  <c r="K136" i="6"/>
  <c r="I136" i="6"/>
  <c r="H123" i="6"/>
  <c r="H128" i="6"/>
  <c r="H127" i="6" s="1"/>
  <c r="C136" i="6"/>
  <c r="AD127" i="6"/>
  <c r="B124" i="6"/>
  <c r="B128" i="6" s="1"/>
  <c r="AD123" i="6"/>
  <c r="AD137" i="6"/>
  <c r="J59" i="6"/>
  <c r="L59" i="6"/>
  <c r="N59" i="6"/>
  <c r="P59" i="6"/>
  <c r="R59" i="6"/>
  <c r="T59" i="6"/>
  <c r="V59" i="6"/>
  <c r="X59" i="6"/>
  <c r="Z59" i="6"/>
  <c r="AB59" i="6"/>
  <c r="AD59" i="6"/>
  <c r="I60" i="6"/>
  <c r="K60" i="6"/>
  <c r="M60" i="6"/>
  <c r="O60" i="6"/>
  <c r="Q60" i="6"/>
  <c r="S60" i="6"/>
  <c r="U60" i="6"/>
  <c r="W60" i="6"/>
  <c r="Y60" i="6"/>
  <c r="AA60" i="6"/>
  <c r="AC60" i="6"/>
  <c r="AE60" i="6"/>
  <c r="V60" i="6"/>
  <c r="X60" i="6"/>
  <c r="AB60" i="6"/>
  <c r="AD60" i="6"/>
  <c r="C53" i="6"/>
  <c r="C59" i="6" s="1"/>
  <c r="D59" i="6"/>
  <c r="C60" i="6"/>
  <c r="I18" i="6"/>
  <c r="J18" i="6"/>
  <c r="K18" i="6"/>
  <c r="L18" i="6"/>
  <c r="M18" i="6"/>
  <c r="N18" i="6"/>
  <c r="O18" i="6"/>
  <c r="P18" i="6"/>
  <c r="Q18" i="6"/>
  <c r="R18" i="6"/>
  <c r="S18" i="6"/>
  <c r="U18" i="6"/>
  <c r="V18" i="6"/>
  <c r="W18" i="6"/>
  <c r="X18" i="6"/>
  <c r="Y18" i="6"/>
  <c r="AA18" i="6"/>
  <c r="AB18" i="6"/>
  <c r="AC18" i="6"/>
  <c r="AD18" i="6"/>
  <c r="AE18" i="6"/>
  <c r="H18" i="6"/>
  <c r="C18" i="6"/>
  <c r="I41" i="6"/>
  <c r="I40" i="6" s="1"/>
  <c r="J41" i="6"/>
  <c r="J40" i="6" s="1"/>
  <c r="K41" i="6"/>
  <c r="K40" i="6" s="1"/>
  <c r="L41" i="6"/>
  <c r="L40" i="6" s="1"/>
  <c r="M41" i="6"/>
  <c r="M40" i="6" s="1"/>
  <c r="N41" i="6"/>
  <c r="N40" i="6" s="1"/>
  <c r="O41" i="6"/>
  <c r="O40" i="6" s="1"/>
  <c r="P41" i="6"/>
  <c r="P40" i="6" s="1"/>
  <c r="Q41" i="6"/>
  <c r="Q40" i="6" s="1"/>
  <c r="R41" i="6"/>
  <c r="R40" i="6" s="1"/>
  <c r="S41" i="6"/>
  <c r="S40" i="6" s="1"/>
  <c r="T41" i="6"/>
  <c r="T40" i="6" s="1"/>
  <c r="U41" i="6"/>
  <c r="U40" i="6" s="1"/>
  <c r="V41" i="6"/>
  <c r="V40" i="6" s="1"/>
  <c r="W41" i="6"/>
  <c r="W40" i="6" s="1"/>
  <c r="X41" i="6"/>
  <c r="X40" i="6" s="1"/>
  <c r="Y41" i="6"/>
  <c r="Y40" i="6" s="1"/>
  <c r="Z41" i="6"/>
  <c r="Z40" i="6" s="1"/>
  <c r="AA41" i="6"/>
  <c r="AA40" i="6" s="1"/>
  <c r="AB41" i="6"/>
  <c r="AB40" i="6" s="1"/>
  <c r="AC41" i="6"/>
  <c r="AC40" i="6" s="1"/>
  <c r="AD41" i="6"/>
  <c r="AD40" i="6" s="1"/>
  <c r="AE41" i="6"/>
  <c r="AE40" i="6" s="1"/>
  <c r="H41" i="6"/>
  <c r="H40" i="6" s="1"/>
  <c r="E34" i="6"/>
  <c r="D34" i="6"/>
  <c r="I26" i="6"/>
  <c r="J26" i="6"/>
  <c r="K26" i="6"/>
  <c r="L26" i="6"/>
  <c r="M26" i="6"/>
  <c r="N26" i="6"/>
  <c r="O26" i="6"/>
  <c r="O55" i="6" s="1"/>
  <c r="P26" i="6"/>
  <c r="Q26" i="6"/>
  <c r="R26" i="6"/>
  <c r="S26" i="6"/>
  <c r="T26" i="6"/>
  <c r="U26" i="6"/>
  <c r="V26" i="6"/>
  <c r="W26" i="6"/>
  <c r="W55" i="6" s="1"/>
  <c r="X26" i="6"/>
  <c r="Y26" i="6"/>
  <c r="Z26" i="6"/>
  <c r="AA26" i="6"/>
  <c r="AB26" i="6"/>
  <c r="AC26" i="6"/>
  <c r="AD26" i="6"/>
  <c r="AE26" i="6"/>
  <c r="H26" i="6"/>
  <c r="C26" i="6" s="1"/>
  <c r="D26" i="6"/>
  <c r="B11" i="6"/>
  <c r="I120" i="6"/>
  <c r="J120" i="6"/>
  <c r="K120" i="6"/>
  <c r="L120" i="6"/>
  <c r="M120" i="6"/>
  <c r="N120" i="6"/>
  <c r="O120" i="6"/>
  <c r="P120" i="6"/>
  <c r="Q120" i="6"/>
  <c r="R120" i="6"/>
  <c r="S120" i="6"/>
  <c r="T120" i="6"/>
  <c r="U120" i="6"/>
  <c r="V120" i="6"/>
  <c r="W120" i="6"/>
  <c r="X120" i="6"/>
  <c r="Y120" i="6"/>
  <c r="Z120" i="6"/>
  <c r="AA120" i="6"/>
  <c r="AB120" i="6"/>
  <c r="AC120" i="6"/>
  <c r="AD120" i="6"/>
  <c r="AE120" i="6"/>
  <c r="I116" i="6"/>
  <c r="J116" i="6"/>
  <c r="K116" i="6"/>
  <c r="L116" i="6"/>
  <c r="M116" i="6"/>
  <c r="N116" i="6"/>
  <c r="O116" i="6"/>
  <c r="P116" i="6"/>
  <c r="R116" i="6"/>
  <c r="S116" i="6"/>
  <c r="T116" i="6"/>
  <c r="U116" i="6"/>
  <c r="V116" i="6"/>
  <c r="W116" i="6"/>
  <c r="X116" i="6"/>
  <c r="Y116" i="6"/>
  <c r="Z116" i="6"/>
  <c r="AA116" i="6"/>
  <c r="AB116" i="6"/>
  <c r="AC116" i="6"/>
  <c r="AD116" i="6"/>
  <c r="AE116" i="6"/>
  <c r="H116" i="6"/>
  <c r="I95" i="6"/>
  <c r="J95" i="6"/>
  <c r="K95" i="6"/>
  <c r="L95" i="6"/>
  <c r="M95" i="6"/>
  <c r="N95" i="6"/>
  <c r="O95" i="6"/>
  <c r="P95" i="6"/>
  <c r="Q95" i="6"/>
  <c r="R95" i="6"/>
  <c r="S95" i="6"/>
  <c r="T95" i="6"/>
  <c r="U95" i="6"/>
  <c r="V95" i="6"/>
  <c r="W95" i="6"/>
  <c r="X95" i="6"/>
  <c r="Y95" i="6"/>
  <c r="Z95" i="6"/>
  <c r="AA95" i="6"/>
  <c r="AB95" i="6"/>
  <c r="AC95" i="6"/>
  <c r="AD95" i="6"/>
  <c r="AE95" i="6"/>
  <c r="H95" i="6"/>
  <c r="I92" i="6"/>
  <c r="J92" i="6"/>
  <c r="K92" i="6"/>
  <c r="L92" i="6"/>
  <c r="M92" i="6"/>
  <c r="N92" i="6"/>
  <c r="O92" i="6"/>
  <c r="P92" i="6"/>
  <c r="Q92" i="6"/>
  <c r="R92" i="6"/>
  <c r="S92" i="6"/>
  <c r="T92" i="6"/>
  <c r="U92" i="6"/>
  <c r="V92" i="6"/>
  <c r="W92" i="6"/>
  <c r="X92" i="6"/>
  <c r="Y92" i="6"/>
  <c r="Z92" i="6"/>
  <c r="AA92" i="6"/>
  <c r="AB92" i="6"/>
  <c r="AC92" i="6"/>
  <c r="AD92" i="6"/>
  <c r="AE92" i="6"/>
  <c r="H92" i="6"/>
  <c r="I89" i="6"/>
  <c r="J89" i="6"/>
  <c r="K89" i="6"/>
  <c r="L89" i="6"/>
  <c r="M89" i="6"/>
  <c r="N89" i="6"/>
  <c r="O89" i="6"/>
  <c r="P89" i="6"/>
  <c r="Q89" i="6"/>
  <c r="R89" i="6"/>
  <c r="S89" i="6"/>
  <c r="T89" i="6"/>
  <c r="U89" i="6"/>
  <c r="V89" i="6"/>
  <c r="W89" i="6"/>
  <c r="X89" i="6"/>
  <c r="Y89" i="6"/>
  <c r="Z89" i="6"/>
  <c r="AA89" i="6"/>
  <c r="AB89" i="6"/>
  <c r="AC89" i="6"/>
  <c r="AD89" i="6"/>
  <c r="AE89" i="6"/>
  <c r="H89" i="6"/>
  <c r="I83" i="6"/>
  <c r="J83" i="6"/>
  <c r="K83" i="6"/>
  <c r="L83" i="6"/>
  <c r="M83" i="6"/>
  <c r="N83" i="6"/>
  <c r="O83" i="6"/>
  <c r="P83" i="6"/>
  <c r="Q83" i="6"/>
  <c r="R83" i="6"/>
  <c r="S83" i="6"/>
  <c r="T83" i="6"/>
  <c r="U83" i="6"/>
  <c r="V83" i="6"/>
  <c r="W83" i="6"/>
  <c r="X83" i="6"/>
  <c r="Y83" i="6"/>
  <c r="Z83" i="6"/>
  <c r="AA83" i="6"/>
  <c r="AB83" i="6"/>
  <c r="AC83" i="6"/>
  <c r="AD83" i="6"/>
  <c r="AE83" i="6"/>
  <c r="H83" i="6"/>
  <c r="F81" i="6"/>
  <c r="I74" i="6"/>
  <c r="J74" i="6"/>
  <c r="K74" i="6"/>
  <c r="L74" i="6"/>
  <c r="M74" i="6"/>
  <c r="N74" i="6"/>
  <c r="O74" i="6"/>
  <c r="P74" i="6"/>
  <c r="Q74" i="6"/>
  <c r="R74" i="6"/>
  <c r="S74" i="6"/>
  <c r="T74" i="6"/>
  <c r="U74" i="6"/>
  <c r="W74" i="6"/>
  <c r="X74" i="6"/>
  <c r="Y74" i="6"/>
  <c r="Z74" i="6"/>
  <c r="AA74" i="6"/>
  <c r="AB74" i="6"/>
  <c r="AC74" i="6"/>
  <c r="AD74" i="6"/>
  <c r="AE74" i="6"/>
  <c r="H74" i="6"/>
  <c r="I68" i="6"/>
  <c r="I66" i="6" s="1"/>
  <c r="J68" i="6"/>
  <c r="J66" i="6" s="1"/>
  <c r="J65" i="6" s="1"/>
  <c r="K68" i="6"/>
  <c r="K66" i="6" s="1"/>
  <c r="L68" i="6"/>
  <c r="L66" i="6" s="1"/>
  <c r="L65" i="6" s="1"/>
  <c r="M66" i="6"/>
  <c r="M65" i="6" s="1"/>
  <c r="N66" i="6"/>
  <c r="O66" i="6"/>
  <c r="P66" i="6"/>
  <c r="Q66" i="6"/>
  <c r="R66" i="6"/>
  <c r="S66" i="6"/>
  <c r="T66" i="6"/>
  <c r="U66" i="6"/>
  <c r="V66" i="6"/>
  <c r="W66" i="6"/>
  <c r="X66" i="6"/>
  <c r="Y66" i="6"/>
  <c r="Z66" i="6"/>
  <c r="AA66" i="6"/>
  <c r="AB66" i="6"/>
  <c r="AC66" i="6"/>
  <c r="AD66" i="6"/>
  <c r="AE66" i="6"/>
  <c r="I46" i="6"/>
  <c r="J46" i="6"/>
  <c r="K46" i="6"/>
  <c r="L46" i="6"/>
  <c r="M46" i="6"/>
  <c r="N46" i="6"/>
  <c r="O46" i="6"/>
  <c r="P46" i="6"/>
  <c r="Q46" i="6"/>
  <c r="R46" i="6"/>
  <c r="S46" i="6"/>
  <c r="T46" i="6"/>
  <c r="U46" i="6"/>
  <c r="V46" i="6"/>
  <c r="W46" i="6"/>
  <c r="X46" i="6"/>
  <c r="Y46" i="6"/>
  <c r="Z46" i="6"/>
  <c r="AA46" i="6"/>
  <c r="AB46" i="6"/>
  <c r="AC46" i="6"/>
  <c r="AD46" i="6"/>
  <c r="AE46" i="6"/>
  <c r="H46" i="6"/>
  <c r="B47" i="6"/>
  <c r="B46" i="6" s="1"/>
  <c r="C46" i="6"/>
  <c r="I43" i="6"/>
  <c r="J43" i="6"/>
  <c r="K43" i="6"/>
  <c r="L43" i="6"/>
  <c r="M43" i="6"/>
  <c r="N43" i="6"/>
  <c r="O43" i="6"/>
  <c r="P43" i="6"/>
  <c r="Q43" i="6"/>
  <c r="R43" i="6"/>
  <c r="S43" i="6"/>
  <c r="T43" i="6"/>
  <c r="U43" i="6"/>
  <c r="V43" i="6"/>
  <c r="W43" i="6"/>
  <c r="X43" i="6"/>
  <c r="Y43" i="6"/>
  <c r="Z43" i="6"/>
  <c r="AA43" i="6"/>
  <c r="AB43" i="6"/>
  <c r="AC43" i="6"/>
  <c r="AD43" i="6"/>
  <c r="AE43" i="6"/>
  <c r="H43" i="6"/>
  <c r="D37" i="6"/>
  <c r="B44" i="6"/>
  <c r="I37" i="6"/>
  <c r="J37" i="6"/>
  <c r="K37" i="6"/>
  <c r="L37" i="6"/>
  <c r="M37" i="6"/>
  <c r="N37" i="6"/>
  <c r="O37" i="6"/>
  <c r="P37" i="6"/>
  <c r="Q37" i="6"/>
  <c r="R37" i="6"/>
  <c r="S37" i="6"/>
  <c r="T37" i="6"/>
  <c r="U37" i="6"/>
  <c r="V37" i="6"/>
  <c r="W37" i="6"/>
  <c r="X37" i="6"/>
  <c r="Y37" i="6"/>
  <c r="Z37" i="6"/>
  <c r="AA37" i="6"/>
  <c r="AB37" i="6"/>
  <c r="AC37" i="6"/>
  <c r="AD37" i="6"/>
  <c r="AE37" i="6"/>
  <c r="H37" i="6"/>
  <c r="F38" i="6"/>
  <c r="E37" i="6"/>
  <c r="I31" i="6"/>
  <c r="J31" i="6"/>
  <c r="K31" i="6"/>
  <c r="L31" i="6"/>
  <c r="M31" i="6"/>
  <c r="N31" i="6"/>
  <c r="O31" i="6"/>
  <c r="P31" i="6"/>
  <c r="Q31" i="6"/>
  <c r="R31" i="6"/>
  <c r="S31" i="6"/>
  <c r="T31" i="6"/>
  <c r="U31" i="6"/>
  <c r="V31" i="6"/>
  <c r="W31" i="6"/>
  <c r="X31" i="6"/>
  <c r="Y31" i="6"/>
  <c r="Z31" i="6"/>
  <c r="AA31" i="6"/>
  <c r="AB31" i="6"/>
  <c r="AC31" i="6"/>
  <c r="AD31" i="6"/>
  <c r="AE31" i="6"/>
  <c r="H31" i="6"/>
  <c r="C31" i="6"/>
  <c r="B32" i="6"/>
  <c r="B31" i="6" s="1"/>
  <c r="C28" i="6"/>
  <c r="B29" i="6"/>
  <c r="B28" i="6" s="1"/>
  <c r="H28" i="6"/>
  <c r="I28" i="6"/>
  <c r="J28" i="6"/>
  <c r="K28" i="6"/>
  <c r="L28" i="6"/>
  <c r="M28" i="6"/>
  <c r="N28" i="6"/>
  <c r="O28" i="6"/>
  <c r="P28" i="6"/>
  <c r="Q28" i="6"/>
  <c r="R28" i="6"/>
  <c r="S28" i="6"/>
  <c r="T28" i="6"/>
  <c r="U28" i="6"/>
  <c r="V28" i="6"/>
  <c r="W28" i="6"/>
  <c r="X28" i="6"/>
  <c r="Y28" i="6"/>
  <c r="Z28" i="6"/>
  <c r="AA28" i="6"/>
  <c r="AB28" i="6"/>
  <c r="AC28" i="6"/>
  <c r="AD28" i="6"/>
  <c r="I22" i="6"/>
  <c r="J22" i="6"/>
  <c r="K22" i="6"/>
  <c r="L22" i="6"/>
  <c r="M22" i="6"/>
  <c r="N22" i="6"/>
  <c r="O22" i="6"/>
  <c r="P22" i="6"/>
  <c r="Q22" i="6"/>
  <c r="R22" i="6"/>
  <c r="S22" i="6"/>
  <c r="T22" i="6"/>
  <c r="U22" i="6"/>
  <c r="V22" i="6"/>
  <c r="W22" i="6"/>
  <c r="X22" i="6"/>
  <c r="Y22" i="6"/>
  <c r="Z22" i="6"/>
  <c r="AA22" i="6"/>
  <c r="AB22" i="6"/>
  <c r="AC22" i="6"/>
  <c r="AD22" i="6"/>
  <c r="AE22" i="6"/>
  <c r="H22" i="6"/>
  <c r="C22" i="6"/>
  <c r="B23" i="6"/>
  <c r="B19" i="6"/>
  <c r="I10" i="6"/>
  <c r="J10" i="6"/>
  <c r="K10" i="6"/>
  <c r="L10" i="6"/>
  <c r="M10" i="6"/>
  <c r="O10" i="6"/>
  <c r="P10" i="6"/>
  <c r="Q10" i="6"/>
  <c r="R10" i="6"/>
  <c r="S10" i="6"/>
  <c r="U10" i="6"/>
  <c r="V10" i="6"/>
  <c r="W10" i="6"/>
  <c r="X10" i="6"/>
  <c r="Y10" i="6"/>
  <c r="Z10" i="6"/>
  <c r="AA10" i="6"/>
  <c r="AB10" i="6"/>
  <c r="AC10" i="6"/>
  <c r="AD10" i="6"/>
  <c r="AE10" i="6"/>
  <c r="H10" i="6"/>
  <c r="I15" i="6"/>
  <c r="J15" i="6"/>
  <c r="K15" i="6"/>
  <c r="L15" i="6"/>
  <c r="M15" i="6"/>
  <c r="N15" i="6"/>
  <c r="O15" i="6"/>
  <c r="P15" i="6"/>
  <c r="Q15" i="6"/>
  <c r="R15" i="6"/>
  <c r="S15" i="6"/>
  <c r="T15" i="6"/>
  <c r="U15" i="6"/>
  <c r="V15" i="6"/>
  <c r="W15" i="6"/>
  <c r="X15" i="6"/>
  <c r="Y15" i="6"/>
  <c r="Z15" i="6"/>
  <c r="AA15" i="6"/>
  <c r="AB15" i="6"/>
  <c r="AC15" i="6"/>
  <c r="AD15" i="6"/>
  <c r="AE15" i="6"/>
  <c r="H15" i="6"/>
  <c r="C15" i="6"/>
  <c r="B16" i="6"/>
  <c r="E124" i="6"/>
  <c r="D120" i="6"/>
  <c r="C95" i="6"/>
  <c r="B96" i="6"/>
  <c r="F96" i="6" s="1"/>
  <c r="D95" i="6"/>
  <c r="E92" i="6"/>
  <c r="C92" i="6"/>
  <c r="B93" i="6"/>
  <c r="F93" i="6" s="1"/>
  <c r="D92" i="6"/>
  <c r="E89" i="6"/>
  <c r="B90" i="6"/>
  <c r="F90" i="6" s="1"/>
  <c r="D89" i="6"/>
  <c r="C89" i="6"/>
  <c r="E86" i="6"/>
  <c r="B87" i="6"/>
  <c r="B86" i="6" s="1"/>
  <c r="D86" i="6"/>
  <c r="C86" i="6"/>
  <c r="E83" i="6"/>
  <c r="B84" i="6"/>
  <c r="F84" i="6" s="1"/>
  <c r="D83" i="6"/>
  <c r="C83" i="6"/>
  <c r="R36" i="5"/>
  <c r="I69" i="5"/>
  <c r="J69" i="5"/>
  <c r="K69" i="5"/>
  <c r="L69" i="5"/>
  <c r="M69" i="5"/>
  <c r="N69" i="5"/>
  <c r="O69" i="5"/>
  <c r="P69" i="5"/>
  <c r="Q69" i="5"/>
  <c r="R69" i="5"/>
  <c r="S69" i="5"/>
  <c r="T69" i="5"/>
  <c r="U69" i="5"/>
  <c r="V69" i="5"/>
  <c r="W69" i="5"/>
  <c r="X69" i="5"/>
  <c r="Y69" i="5"/>
  <c r="Z69" i="5"/>
  <c r="AA69" i="5"/>
  <c r="AB69" i="5"/>
  <c r="AC69" i="5"/>
  <c r="AD69" i="5"/>
  <c r="AE69" i="5"/>
  <c r="H69" i="5"/>
  <c r="J64" i="5"/>
  <c r="K64" i="5"/>
  <c r="L64" i="5"/>
  <c r="M64" i="5"/>
  <c r="N64" i="5"/>
  <c r="O64" i="5"/>
  <c r="P64" i="5"/>
  <c r="Q64" i="5"/>
  <c r="R64" i="5"/>
  <c r="S64" i="5"/>
  <c r="T64" i="5"/>
  <c r="U64" i="5"/>
  <c r="V64" i="5"/>
  <c r="W64" i="5"/>
  <c r="X64" i="5"/>
  <c r="Y64" i="5"/>
  <c r="Z64" i="5"/>
  <c r="AA64" i="5"/>
  <c r="AB64" i="5"/>
  <c r="AC64" i="5"/>
  <c r="AD64" i="5"/>
  <c r="AE64" i="5"/>
  <c r="H64" i="5"/>
  <c r="H67" i="5" s="1"/>
  <c r="H66" i="5" s="1"/>
  <c r="I60" i="5"/>
  <c r="J60" i="5"/>
  <c r="K60" i="5"/>
  <c r="L60" i="5"/>
  <c r="M60" i="5"/>
  <c r="N60" i="5"/>
  <c r="O60" i="5"/>
  <c r="P60" i="5"/>
  <c r="Q60" i="5"/>
  <c r="R60" i="5"/>
  <c r="S60" i="5"/>
  <c r="T60" i="5"/>
  <c r="U60" i="5"/>
  <c r="V60" i="5"/>
  <c r="W60" i="5"/>
  <c r="X60" i="5"/>
  <c r="Y60" i="5"/>
  <c r="Z60" i="5"/>
  <c r="AA60" i="5"/>
  <c r="AB60" i="5"/>
  <c r="AC60" i="5"/>
  <c r="AD60" i="5"/>
  <c r="AE60" i="5"/>
  <c r="H60" i="5"/>
  <c r="B61" i="5"/>
  <c r="H57" i="5"/>
  <c r="H56" i="5" s="1"/>
  <c r="I50" i="5"/>
  <c r="J50" i="5"/>
  <c r="K50" i="5"/>
  <c r="L50" i="5"/>
  <c r="M50" i="5"/>
  <c r="N50" i="5"/>
  <c r="O50" i="5"/>
  <c r="P50" i="5"/>
  <c r="Q50" i="5"/>
  <c r="R50" i="5"/>
  <c r="S50" i="5"/>
  <c r="T50" i="5"/>
  <c r="U50" i="5"/>
  <c r="V50" i="5"/>
  <c r="W50" i="5"/>
  <c r="X50" i="5"/>
  <c r="Y50" i="5"/>
  <c r="Z50" i="5"/>
  <c r="AA50" i="5"/>
  <c r="AB50" i="5"/>
  <c r="AC50" i="5"/>
  <c r="AD50" i="5"/>
  <c r="AE50" i="5"/>
  <c r="H50" i="5"/>
  <c r="B51" i="5"/>
  <c r="I39" i="5"/>
  <c r="J39" i="5"/>
  <c r="K39" i="5"/>
  <c r="L39" i="5"/>
  <c r="M39" i="5"/>
  <c r="N39" i="5"/>
  <c r="O39" i="5"/>
  <c r="P39" i="5"/>
  <c r="Q39" i="5"/>
  <c r="R39" i="5"/>
  <c r="S39" i="5"/>
  <c r="T39" i="5"/>
  <c r="U39" i="5"/>
  <c r="V39" i="5"/>
  <c r="W39" i="5"/>
  <c r="X39" i="5"/>
  <c r="Y39" i="5"/>
  <c r="Z39" i="5"/>
  <c r="AA39" i="5"/>
  <c r="AB39" i="5"/>
  <c r="AC39" i="5"/>
  <c r="AD39" i="5"/>
  <c r="AE39" i="5"/>
  <c r="H39" i="5"/>
  <c r="I36" i="5"/>
  <c r="J36" i="5"/>
  <c r="K36" i="5"/>
  <c r="L36" i="5"/>
  <c r="M36" i="5"/>
  <c r="N36" i="5"/>
  <c r="O36" i="5"/>
  <c r="P36" i="5"/>
  <c r="Q36" i="5"/>
  <c r="S36" i="5"/>
  <c r="T36" i="5"/>
  <c r="U36" i="5"/>
  <c r="V36" i="5"/>
  <c r="W36" i="5"/>
  <c r="X36" i="5"/>
  <c r="Y36" i="5"/>
  <c r="Z36" i="5"/>
  <c r="AA36" i="5"/>
  <c r="AB36" i="5"/>
  <c r="AC36" i="5"/>
  <c r="AD36" i="5"/>
  <c r="AE36" i="5"/>
  <c r="H36" i="5"/>
  <c r="I30" i="5"/>
  <c r="J30" i="5"/>
  <c r="K30" i="5"/>
  <c r="L30" i="5"/>
  <c r="M30" i="5"/>
  <c r="N30" i="5"/>
  <c r="O30" i="5"/>
  <c r="P30" i="5"/>
  <c r="Q30" i="5"/>
  <c r="R30" i="5"/>
  <c r="S30" i="5"/>
  <c r="T30" i="5"/>
  <c r="U30" i="5"/>
  <c r="V30" i="5"/>
  <c r="W30" i="5"/>
  <c r="X30" i="5"/>
  <c r="Y30" i="5"/>
  <c r="Z30" i="5"/>
  <c r="AA30" i="5"/>
  <c r="AB30" i="5"/>
  <c r="AC30" i="5"/>
  <c r="AD30" i="5"/>
  <c r="AE30" i="5"/>
  <c r="H30" i="5"/>
  <c r="B31" i="5"/>
  <c r="B30" i="5" s="1"/>
  <c r="J28" i="5"/>
  <c r="K28" i="5"/>
  <c r="L28" i="5"/>
  <c r="M28" i="5"/>
  <c r="N28" i="5"/>
  <c r="O28" i="5"/>
  <c r="P28" i="5"/>
  <c r="Q28" i="5"/>
  <c r="R28" i="5"/>
  <c r="S28" i="5"/>
  <c r="T28" i="5"/>
  <c r="U28" i="5"/>
  <c r="V28" i="5"/>
  <c r="W28" i="5"/>
  <c r="X28" i="5"/>
  <c r="Y28" i="5"/>
  <c r="Z28" i="5"/>
  <c r="AA28" i="5"/>
  <c r="AB28" i="5"/>
  <c r="AC28" i="5"/>
  <c r="AD28" i="5"/>
  <c r="AE28" i="5"/>
  <c r="H28" i="5"/>
  <c r="D28" i="5" s="1"/>
  <c r="I14" i="5"/>
  <c r="J14" i="5"/>
  <c r="K14" i="5"/>
  <c r="L14" i="5"/>
  <c r="M14" i="5"/>
  <c r="N14" i="5"/>
  <c r="O14" i="5"/>
  <c r="P14" i="5"/>
  <c r="Q14" i="5"/>
  <c r="R14" i="5"/>
  <c r="S14" i="5"/>
  <c r="T14" i="5"/>
  <c r="U14" i="5"/>
  <c r="V14" i="5"/>
  <c r="W14" i="5"/>
  <c r="X14" i="5"/>
  <c r="Y14" i="5"/>
  <c r="Z14" i="5"/>
  <c r="AA14" i="5"/>
  <c r="AB14" i="5"/>
  <c r="AC14" i="5"/>
  <c r="AD14" i="5"/>
  <c r="AE14" i="5"/>
  <c r="H14" i="5"/>
  <c r="H17" i="5" s="1"/>
  <c r="H16" i="5" s="1"/>
  <c r="E34" i="5"/>
  <c r="E33" i="5" s="1"/>
  <c r="C34" i="5"/>
  <c r="B34" i="5"/>
  <c r="B33" i="5" s="1"/>
  <c r="D33" i="5"/>
  <c r="B125" i="6"/>
  <c r="B129" i="6" s="1"/>
  <c r="C74" i="6"/>
  <c r="B75" i="6"/>
  <c r="B74" i="6" s="1"/>
  <c r="D74" i="6"/>
  <c r="E68" i="6"/>
  <c r="B68" i="6"/>
  <c r="AC55" i="6" l="1"/>
  <c r="Y55" i="6"/>
  <c r="Y61" i="6" s="1"/>
  <c r="U55" i="6"/>
  <c r="U52" i="6" s="1"/>
  <c r="Q55" i="6"/>
  <c r="Q52" i="6" s="1"/>
  <c r="M55" i="6"/>
  <c r="M133" i="6" s="1"/>
  <c r="I55" i="6"/>
  <c r="I133" i="6" s="1"/>
  <c r="AD55" i="6"/>
  <c r="V55" i="6"/>
  <c r="V61" i="6" s="1"/>
  <c r="V58" i="6" s="1"/>
  <c r="N55" i="6"/>
  <c r="X65" i="6"/>
  <c r="X102" i="6"/>
  <c r="X101" i="6" s="1"/>
  <c r="X99" i="6" s="1"/>
  <c r="X98" i="6" s="1"/>
  <c r="P65" i="6"/>
  <c r="P102" i="6"/>
  <c r="P101" i="6" s="1"/>
  <c r="P99" i="6" s="1"/>
  <c r="P98" i="6" s="1"/>
  <c r="AE65" i="6"/>
  <c r="AE102" i="6"/>
  <c r="AE101" i="6" s="1"/>
  <c r="AE99" i="6" s="1"/>
  <c r="AE98" i="6" s="1"/>
  <c r="W65" i="6"/>
  <c r="W102" i="6"/>
  <c r="W101" i="6" s="1"/>
  <c r="W99" i="6" s="1"/>
  <c r="W98" i="6" s="1"/>
  <c r="O65" i="6"/>
  <c r="O102" i="6"/>
  <c r="O101" i="6" s="1"/>
  <c r="O99" i="6" s="1"/>
  <c r="O98" i="6" s="1"/>
  <c r="AD65" i="6"/>
  <c r="AD102" i="6"/>
  <c r="AD101" i="6" s="1"/>
  <c r="AD99" i="6" s="1"/>
  <c r="AD98" i="6" s="1"/>
  <c r="V65" i="6"/>
  <c r="V102" i="6"/>
  <c r="V101" i="6" s="1"/>
  <c r="V99" i="6" s="1"/>
  <c r="V98" i="6" s="1"/>
  <c r="N65" i="6"/>
  <c r="N102" i="6"/>
  <c r="N101" i="6" s="1"/>
  <c r="N99" i="6" s="1"/>
  <c r="N98" i="6" s="1"/>
  <c r="AC65" i="6"/>
  <c r="AC102" i="6"/>
  <c r="AC101" i="6" s="1"/>
  <c r="AC99" i="6" s="1"/>
  <c r="AC98" i="6" s="1"/>
  <c r="U65" i="6"/>
  <c r="U102" i="6"/>
  <c r="U101" i="6" s="1"/>
  <c r="U99" i="6" s="1"/>
  <c r="U98" i="6" s="1"/>
  <c r="AD52" i="6"/>
  <c r="V52" i="6"/>
  <c r="N52" i="6"/>
  <c r="AB65" i="6"/>
  <c r="AB102" i="6"/>
  <c r="AB101" i="6" s="1"/>
  <c r="AB99" i="6" s="1"/>
  <c r="AB98" i="6" s="1"/>
  <c r="T65" i="6"/>
  <c r="T102" i="6"/>
  <c r="T101" i="6" s="1"/>
  <c r="T99" i="6" s="1"/>
  <c r="T98" i="6" s="1"/>
  <c r="U133" i="6"/>
  <c r="AA65" i="6"/>
  <c r="AA102" i="6"/>
  <c r="AA101" i="6" s="1"/>
  <c r="AA99" i="6" s="1"/>
  <c r="AA98" i="6" s="1"/>
  <c r="S65" i="6"/>
  <c r="S102" i="6"/>
  <c r="S101" i="6" s="1"/>
  <c r="S99" i="6" s="1"/>
  <c r="S98" i="6" s="1"/>
  <c r="K65" i="6"/>
  <c r="K102" i="6"/>
  <c r="K101" i="6" s="1"/>
  <c r="K99" i="6" s="1"/>
  <c r="Z65" i="6"/>
  <c r="Z102" i="6"/>
  <c r="Z101" i="6" s="1"/>
  <c r="Z99" i="6" s="1"/>
  <c r="Z98" i="6" s="1"/>
  <c r="R65" i="6"/>
  <c r="R102" i="6"/>
  <c r="R101" i="6" s="1"/>
  <c r="R99" i="6" s="1"/>
  <c r="R98" i="6" s="1"/>
  <c r="AA55" i="6"/>
  <c r="S55" i="6"/>
  <c r="S133" i="6" s="1"/>
  <c r="K55" i="6"/>
  <c r="Y65" i="6"/>
  <c r="Y102" i="6"/>
  <c r="Y101" i="6" s="1"/>
  <c r="Y99" i="6" s="1"/>
  <c r="Y98" i="6" s="1"/>
  <c r="Q65" i="6"/>
  <c r="Q102" i="6"/>
  <c r="Q101" i="6" s="1"/>
  <c r="Q99" i="6" s="1"/>
  <c r="Q98" i="6" s="1"/>
  <c r="I65" i="6"/>
  <c r="I102" i="6"/>
  <c r="I101" i="6" s="1"/>
  <c r="Z55" i="6"/>
  <c r="Z61" i="6" s="1"/>
  <c r="R55" i="6"/>
  <c r="J55" i="6"/>
  <c r="J61" i="6" s="1"/>
  <c r="C77" i="6"/>
  <c r="B66" i="6"/>
  <c r="B65" i="6" s="1"/>
  <c r="D117" i="6"/>
  <c r="F117" i="6" s="1"/>
  <c r="C33" i="5"/>
  <c r="G33" i="5" s="1"/>
  <c r="H55" i="6"/>
  <c r="AB55" i="6"/>
  <c r="AB61" i="6" s="1"/>
  <c r="AB58" i="6" s="1"/>
  <c r="X55" i="6"/>
  <c r="T55" i="6"/>
  <c r="T61" i="6" s="1"/>
  <c r="P55" i="6"/>
  <c r="L55" i="6"/>
  <c r="D22" i="6"/>
  <c r="C80" i="6"/>
  <c r="C124" i="6"/>
  <c r="B127" i="6"/>
  <c r="H22" i="5"/>
  <c r="H43" i="5" s="1"/>
  <c r="B80" i="6"/>
  <c r="F80" i="6" s="1"/>
  <c r="AE55" i="6"/>
  <c r="H63" i="5"/>
  <c r="H71" i="5"/>
  <c r="H70" i="5" s="1"/>
  <c r="H68" i="5"/>
  <c r="H27" i="5"/>
  <c r="H13" i="5"/>
  <c r="B92" i="6"/>
  <c r="F92" i="6" s="1"/>
  <c r="B89" i="6"/>
  <c r="F89" i="6" s="1"/>
  <c r="F33" i="5"/>
  <c r="B28" i="5"/>
  <c r="F34" i="5"/>
  <c r="G34" i="5"/>
  <c r="AE13" i="5"/>
  <c r="AE17" i="5"/>
  <c r="AE16" i="5" s="1"/>
  <c r="AD13" i="5"/>
  <c r="AD17" i="5"/>
  <c r="AD16" i="5" s="1"/>
  <c r="AC13" i="5"/>
  <c r="AC17" i="5"/>
  <c r="AC16" i="5" s="1"/>
  <c r="AB13" i="5"/>
  <c r="AB17" i="5"/>
  <c r="AB16" i="5" s="1"/>
  <c r="AA13" i="5"/>
  <c r="AA17" i="5"/>
  <c r="AA16" i="5" s="1"/>
  <c r="Z13" i="5"/>
  <c r="Z17" i="5"/>
  <c r="Z16" i="5" s="1"/>
  <c r="Y13" i="5"/>
  <c r="Y17" i="5"/>
  <c r="Y16" i="5" s="1"/>
  <c r="X13" i="5"/>
  <c r="X17" i="5"/>
  <c r="X16" i="5" s="1"/>
  <c r="W13" i="5"/>
  <c r="W17" i="5"/>
  <c r="W16" i="5" s="1"/>
  <c r="V13" i="5"/>
  <c r="V17" i="5"/>
  <c r="V16" i="5" s="1"/>
  <c r="U13" i="5"/>
  <c r="U17" i="5"/>
  <c r="U16" i="5" s="1"/>
  <c r="T13" i="5"/>
  <c r="T17" i="5"/>
  <c r="T16" i="5" s="1"/>
  <c r="S13" i="5"/>
  <c r="S17" i="5"/>
  <c r="S16" i="5" s="1"/>
  <c r="R13" i="5"/>
  <c r="R17" i="5"/>
  <c r="R16" i="5" s="1"/>
  <c r="Q13" i="5"/>
  <c r="Q17" i="5"/>
  <c r="Q16" i="5" s="1"/>
  <c r="P13" i="5"/>
  <c r="P17" i="5"/>
  <c r="P16" i="5" s="1"/>
  <c r="O13" i="5"/>
  <c r="O17" i="5"/>
  <c r="O16" i="5" s="1"/>
  <c r="N13" i="5"/>
  <c r="N17" i="5"/>
  <c r="N16" i="5" s="1"/>
  <c r="M13" i="5"/>
  <c r="M17" i="5"/>
  <c r="M16" i="5" s="1"/>
  <c r="L13" i="5"/>
  <c r="L17" i="5"/>
  <c r="L16" i="5" s="1"/>
  <c r="K13" i="5"/>
  <c r="K17" i="5"/>
  <c r="K16" i="5" s="1"/>
  <c r="J13" i="5"/>
  <c r="J17" i="5"/>
  <c r="J16" i="5" s="1"/>
  <c r="I13" i="5"/>
  <c r="I17" i="5"/>
  <c r="I16" i="5" s="1"/>
  <c r="AE27" i="5"/>
  <c r="AE22" i="5"/>
  <c r="AD27" i="5"/>
  <c r="AD22" i="5"/>
  <c r="AC27" i="5"/>
  <c r="AC22" i="5"/>
  <c r="AB27" i="5"/>
  <c r="AB22" i="5"/>
  <c r="AA27" i="5"/>
  <c r="AA22" i="5"/>
  <c r="Z27" i="5"/>
  <c r="Z22" i="5"/>
  <c r="Y27" i="5"/>
  <c r="Y22" i="5"/>
  <c r="X27" i="5"/>
  <c r="X22" i="5"/>
  <c r="W27" i="5"/>
  <c r="W22" i="5"/>
  <c r="V27" i="5"/>
  <c r="V22" i="5"/>
  <c r="U27" i="5"/>
  <c r="U22" i="5"/>
  <c r="T27" i="5"/>
  <c r="T22" i="5"/>
  <c r="T21" i="5" s="1"/>
  <c r="S27" i="5"/>
  <c r="S22" i="5"/>
  <c r="R27" i="5"/>
  <c r="R22" i="5"/>
  <c r="R21" i="5" s="1"/>
  <c r="Q27" i="5"/>
  <c r="Q22" i="5"/>
  <c r="P27" i="5"/>
  <c r="P22" i="5"/>
  <c r="O27" i="5"/>
  <c r="O22" i="5"/>
  <c r="N27" i="5"/>
  <c r="N22" i="5"/>
  <c r="M27" i="5"/>
  <c r="M22" i="5"/>
  <c r="L27" i="5"/>
  <c r="L22" i="5"/>
  <c r="K27" i="5"/>
  <c r="K22" i="5"/>
  <c r="J27" i="5"/>
  <c r="J22" i="5"/>
  <c r="I27" i="5"/>
  <c r="B50" i="5"/>
  <c r="B54" i="5"/>
  <c r="B53" i="5" s="1"/>
  <c r="AE53" i="5"/>
  <c r="AE57" i="5"/>
  <c r="AE56" i="5" s="1"/>
  <c r="AD57" i="5"/>
  <c r="AD56" i="5" s="1"/>
  <c r="AD53" i="5"/>
  <c r="AC53" i="5"/>
  <c r="AC57" i="5"/>
  <c r="AC56" i="5" s="1"/>
  <c r="AB57" i="5"/>
  <c r="AB56" i="5" s="1"/>
  <c r="AB53" i="5"/>
  <c r="AA53" i="5"/>
  <c r="AA57" i="5"/>
  <c r="AA56" i="5" s="1"/>
  <c r="Z57" i="5"/>
  <c r="Z56" i="5" s="1"/>
  <c r="Z53" i="5"/>
  <c r="Y53" i="5"/>
  <c r="Y57" i="5"/>
  <c r="Y56" i="5" s="1"/>
  <c r="X57" i="5"/>
  <c r="X56" i="5" s="1"/>
  <c r="X53" i="5"/>
  <c r="W53" i="5"/>
  <c r="W57" i="5"/>
  <c r="W56" i="5" s="1"/>
  <c r="V57" i="5"/>
  <c r="V56" i="5" s="1"/>
  <c r="V53" i="5"/>
  <c r="U53" i="5"/>
  <c r="U57" i="5"/>
  <c r="U56" i="5" s="1"/>
  <c r="T57" i="5"/>
  <c r="T56" i="5" s="1"/>
  <c r="T53" i="5"/>
  <c r="S53" i="5"/>
  <c r="S57" i="5"/>
  <c r="S56" i="5" s="1"/>
  <c r="R57" i="5"/>
  <c r="R56" i="5" s="1"/>
  <c r="R53" i="5"/>
  <c r="Q53" i="5"/>
  <c r="Q57" i="5"/>
  <c r="Q56" i="5" s="1"/>
  <c r="P57" i="5"/>
  <c r="P56" i="5" s="1"/>
  <c r="P53" i="5"/>
  <c r="O53" i="5"/>
  <c r="O57" i="5"/>
  <c r="O56" i="5" s="1"/>
  <c r="N57" i="5"/>
  <c r="N56" i="5" s="1"/>
  <c r="N53" i="5"/>
  <c r="M53" i="5"/>
  <c r="M57" i="5"/>
  <c r="M56" i="5" s="1"/>
  <c r="L57" i="5"/>
  <c r="L56" i="5" s="1"/>
  <c r="L53" i="5"/>
  <c r="K53" i="5"/>
  <c r="K57" i="5"/>
  <c r="K56" i="5" s="1"/>
  <c r="J57" i="5"/>
  <c r="J56" i="5" s="1"/>
  <c r="J53" i="5"/>
  <c r="I53" i="5"/>
  <c r="I57" i="5"/>
  <c r="I56" i="5" s="1"/>
  <c r="B64" i="5"/>
  <c r="B63" i="5" s="1"/>
  <c r="B60" i="5"/>
  <c r="AE63" i="5"/>
  <c r="AE67" i="5"/>
  <c r="AE66" i="5" s="1"/>
  <c r="AD67" i="5"/>
  <c r="AD66" i="5" s="1"/>
  <c r="AD63" i="5"/>
  <c r="AC63" i="5"/>
  <c r="AC67" i="5"/>
  <c r="AC66" i="5" s="1"/>
  <c r="AB67" i="5"/>
  <c r="AB66" i="5" s="1"/>
  <c r="AB63" i="5"/>
  <c r="AA63" i="5"/>
  <c r="AA67" i="5"/>
  <c r="AA66" i="5" s="1"/>
  <c r="Z67" i="5"/>
  <c r="Z66" i="5" s="1"/>
  <c r="Z63" i="5"/>
  <c r="Y63" i="5"/>
  <c r="Y67" i="5"/>
  <c r="Y66" i="5" s="1"/>
  <c r="X67" i="5"/>
  <c r="X66" i="5" s="1"/>
  <c r="X63" i="5"/>
  <c r="W63" i="5"/>
  <c r="W67" i="5"/>
  <c r="W66" i="5" s="1"/>
  <c r="V67" i="5"/>
  <c r="V66" i="5" s="1"/>
  <c r="V63" i="5"/>
  <c r="U63" i="5"/>
  <c r="U67" i="5"/>
  <c r="U66" i="5" s="1"/>
  <c r="T67" i="5"/>
  <c r="T66" i="5" s="1"/>
  <c r="T63" i="5"/>
  <c r="S63" i="5"/>
  <c r="S67" i="5"/>
  <c r="S66" i="5" s="1"/>
  <c r="R67" i="5"/>
  <c r="R66" i="5" s="1"/>
  <c r="R63" i="5"/>
  <c r="Q63" i="5"/>
  <c r="Q67" i="5"/>
  <c r="Q66" i="5" s="1"/>
  <c r="P67" i="5"/>
  <c r="P66" i="5" s="1"/>
  <c r="P63" i="5"/>
  <c r="O63" i="5"/>
  <c r="O67" i="5"/>
  <c r="O66" i="5" s="1"/>
  <c r="N67" i="5"/>
  <c r="N66" i="5" s="1"/>
  <c r="N63" i="5"/>
  <c r="M63" i="5"/>
  <c r="M67" i="5"/>
  <c r="M66" i="5" s="1"/>
  <c r="L67" i="5"/>
  <c r="L66" i="5" s="1"/>
  <c r="L63" i="5"/>
  <c r="K63" i="5"/>
  <c r="K67" i="5"/>
  <c r="K66" i="5" s="1"/>
  <c r="J67" i="5"/>
  <c r="J66" i="5" s="1"/>
  <c r="J63" i="5"/>
  <c r="I63" i="5"/>
  <c r="I67" i="5"/>
  <c r="I66" i="5" s="1"/>
  <c r="AE68" i="5"/>
  <c r="AE71" i="5"/>
  <c r="AE70" i="5" s="1"/>
  <c r="AD71" i="5"/>
  <c r="AD70" i="5" s="1"/>
  <c r="AD68" i="5"/>
  <c r="AC68" i="5"/>
  <c r="AC71" i="5"/>
  <c r="AC70" i="5" s="1"/>
  <c r="AB71" i="5"/>
  <c r="AB70" i="5" s="1"/>
  <c r="AB68" i="5"/>
  <c r="AA68" i="5"/>
  <c r="AA71" i="5"/>
  <c r="AA70" i="5" s="1"/>
  <c r="Z71" i="5"/>
  <c r="Z70" i="5" s="1"/>
  <c r="Z68" i="5"/>
  <c r="Y68" i="5"/>
  <c r="Y71" i="5"/>
  <c r="Y70" i="5" s="1"/>
  <c r="X71" i="5"/>
  <c r="X70" i="5" s="1"/>
  <c r="X68" i="5"/>
  <c r="W68" i="5"/>
  <c r="W71" i="5"/>
  <c r="W70" i="5" s="1"/>
  <c r="V71" i="5"/>
  <c r="V70" i="5" s="1"/>
  <c r="V68" i="5"/>
  <c r="U68" i="5"/>
  <c r="U71" i="5"/>
  <c r="U70" i="5" s="1"/>
  <c r="T71" i="5"/>
  <c r="T70" i="5" s="1"/>
  <c r="T68" i="5"/>
  <c r="S68" i="5"/>
  <c r="S71" i="5"/>
  <c r="S70" i="5" s="1"/>
  <c r="R71" i="5"/>
  <c r="R70" i="5" s="1"/>
  <c r="R68" i="5"/>
  <c r="Q68" i="5"/>
  <c r="Q71" i="5"/>
  <c r="Q70" i="5" s="1"/>
  <c r="P71" i="5"/>
  <c r="P70" i="5" s="1"/>
  <c r="P68" i="5"/>
  <c r="O68" i="5"/>
  <c r="O71" i="5"/>
  <c r="O70" i="5" s="1"/>
  <c r="N71" i="5"/>
  <c r="N70" i="5" s="1"/>
  <c r="N68" i="5"/>
  <c r="M68" i="5"/>
  <c r="M71" i="5"/>
  <c r="M70" i="5" s="1"/>
  <c r="L71" i="5"/>
  <c r="L70" i="5" s="1"/>
  <c r="L68" i="5"/>
  <c r="K68" i="5"/>
  <c r="K71" i="5"/>
  <c r="K70" i="5" s="1"/>
  <c r="J71" i="5"/>
  <c r="J70" i="5" s="1"/>
  <c r="J68" i="5"/>
  <c r="I68" i="5"/>
  <c r="I71" i="5"/>
  <c r="I70" i="5" s="1"/>
  <c r="AC52" i="6"/>
  <c r="AC61" i="6"/>
  <c r="AA52" i="6"/>
  <c r="AA61" i="6"/>
  <c r="Y52" i="6"/>
  <c r="W52" i="6"/>
  <c r="W61" i="6"/>
  <c r="U61" i="6"/>
  <c r="S52" i="6"/>
  <c r="O52" i="6"/>
  <c r="O61" i="6"/>
  <c r="M52" i="6"/>
  <c r="M61" i="6"/>
  <c r="K52" i="6"/>
  <c r="K61" i="6"/>
  <c r="I61" i="6"/>
  <c r="B103" i="7"/>
  <c r="B102" i="7" s="1"/>
  <c r="B117" i="7"/>
  <c r="B121" i="7" s="1"/>
  <c r="B119" i="7" s="1"/>
  <c r="G53" i="7"/>
  <c r="D115" i="7"/>
  <c r="C117" i="7"/>
  <c r="G114" i="7"/>
  <c r="C51" i="7"/>
  <c r="C58" i="7"/>
  <c r="C56" i="7" s="1"/>
  <c r="E51" i="7"/>
  <c r="E58" i="7"/>
  <c r="E56" i="7" s="1"/>
  <c r="B58" i="7"/>
  <c r="B56" i="7" s="1"/>
  <c r="B51" i="7"/>
  <c r="F51" i="7" s="1"/>
  <c r="F25" i="7"/>
  <c r="G25" i="7"/>
  <c r="B99" i="7"/>
  <c r="D103" i="7"/>
  <c r="D102" i="7" s="1"/>
  <c r="F100" i="7"/>
  <c r="D99" i="7"/>
  <c r="E102" i="7"/>
  <c r="G113" i="7"/>
  <c r="F113" i="7"/>
  <c r="G57" i="7"/>
  <c r="F57" i="7"/>
  <c r="C103" i="7"/>
  <c r="C102" i="7" s="1"/>
  <c r="C99" i="7"/>
  <c r="G99" i="7" s="1"/>
  <c r="G122" i="7"/>
  <c r="F122" i="7"/>
  <c r="G90" i="7"/>
  <c r="F90" i="7"/>
  <c r="G100" i="7"/>
  <c r="F114" i="7"/>
  <c r="B54" i="6"/>
  <c r="E65" i="6"/>
  <c r="E74" i="6"/>
  <c r="B37" i="6"/>
  <c r="F37" i="6" s="1"/>
  <c r="H25" i="6"/>
  <c r="C55" i="6"/>
  <c r="AD25" i="6"/>
  <c r="AB25" i="6"/>
  <c r="Z25" i="6"/>
  <c r="X25" i="6"/>
  <c r="V25" i="6"/>
  <c r="T25" i="6"/>
  <c r="R25" i="6"/>
  <c r="P25" i="6"/>
  <c r="N25" i="6"/>
  <c r="L25" i="6"/>
  <c r="J25" i="6"/>
  <c r="F75" i="6"/>
  <c r="B72" i="6"/>
  <c r="B116" i="6"/>
  <c r="E116" i="6"/>
  <c r="E125" i="6"/>
  <c r="E128" i="6"/>
  <c r="B18" i="6"/>
  <c r="B53" i="6"/>
  <c r="B59" i="6" s="1"/>
  <c r="B131" i="6" s="1"/>
  <c r="H59" i="6"/>
  <c r="C65" i="6"/>
  <c r="C99" i="6"/>
  <c r="D65" i="6"/>
  <c r="C116" i="6"/>
  <c r="C125" i="6"/>
  <c r="C129" i="6" s="1"/>
  <c r="E77" i="6"/>
  <c r="B43" i="6"/>
  <c r="B78" i="6"/>
  <c r="D25" i="6"/>
  <c r="AE25" i="6"/>
  <c r="AC25" i="6"/>
  <c r="AA25" i="6"/>
  <c r="Y25" i="6"/>
  <c r="W25" i="6"/>
  <c r="U25" i="6"/>
  <c r="S25" i="6"/>
  <c r="Q25" i="6"/>
  <c r="O25" i="6"/>
  <c r="M25" i="6"/>
  <c r="K25" i="6"/>
  <c r="I25" i="6"/>
  <c r="H61" i="6"/>
  <c r="AD61" i="6"/>
  <c r="AD58" i="6" s="1"/>
  <c r="X61" i="6"/>
  <c r="X58" i="6" s="1"/>
  <c r="R61" i="6"/>
  <c r="P61" i="6"/>
  <c r="N61" i="6"/>
  <c r="L61" i="6"/>
  <c r="Z60" i="6"/>
  <c r="T60" i="6"/>
  <c r="R60" i="6"/>
  <c r="P60" i="6"/>
  <c r="N60" i="6"/>
  <c r="L60" i="6"/>
  <c r="J60" i="6"/>
  <c r="AE59" i="6"/>
  <c r="AC59" i="6"/>
  <c r="AA59" i="6"/>
  <c r="Y59" i="6"/>
  <c r="W59" i="6"/>
  <c r="U59" i="6"/>
  <c r="S59" i="6"/>
  <c r="Q59" i="6"/>
  <c r="O59" i="6"/>
  <c r="M59" i="6"/>
  <c r="K59" i="6"/>
  <c r="I59" i="6"/>
  <c r="F87" i="6"/>
  <c r="F86" i="6"/>
  <c r="B15" i="6"/>
  <c r="C120" i="6"/>
  <c r="F121" i="6"/>
  <c r="B123" i="6"/>
  <c r="B83" i="6"/>
  <c r="F83" i="6" s="1"/>
  <c r="B26" i="6"/>
  <c r="G37" i="6"/>
  <c r="C9" i="6"/>
  <c r="G96" i="6"/>
  <c r="B41" i="6"/>
  <c r="B40" i="6" s="1"/>
  <c r="G121" i="6"/>
  <c r="G38" i="6"/>
  <c r="B22" i="6"/>
  <c r="B10" i="6"/>
  <c r="B9" i="6" s="1"/>
  <c r="G93" i="6"/>
  <c r="B95" i="6"/>
  <c r="G92" i="6"/>
  <c r="G81" i="6"/>
  <c r="G84" i="6"/>
  <c r="G87" i="6"/>
  <c r="G90" i="6"/>
  <c r="E95" i="6"/>
  <c r="E120" i="6"/>
  <c r="G89" i="6"/>
  <c r="G86" i="6"/>
  <c r="G83" i="6"/>
  <c r="G69" i="6"/>
  <c r="G117" i="6"/>
  <c r="G66" i="6"/>
  <c r="F68" i="6"/>
  <c r="F69" i="6"/>
  <c r="G68" i="6"/>
  <c r="G75" i="6"/>
  <c r="D66" i="5"/>
  <c r="E64" i="5"/>
  <c r="C64" i="5"/>
  <c r="D63" i="5"/>
  <c r="F40" i="5"/>
  <c r="D60" i="5"/>
  <c r="C39" i="5"/>
  <c r="D39" i="5" s="1"/>
  <c r="B36" i="5"/>
  <c r="E36" i="5"/>
  <c r="C36" i="5"/>
  <c r="D36" i="5" s="1"/>
  <c r="D30" i="5"/>
  <c r="F31" i="5"/>
  <c r="B14" i="5"/>
  <c r="F66" i="6" l="1"/>
  <c r="I52" i="6"/>
  <c r="Q61" i="6"/>
  <c r="S61" i="6"/>
  <c r="O133" i="6"/>
  <c r="O138" i="6" s="1"/>
  <c r="O135" i="6" s="1"/>
  <c r="F65" i="6"/>
  <c r="E63" i="5"/>
  <c r="F64" i="5"/>
  <c r="N133" i="6"/>
  <c r="N138" i="6" s="1"/>
  <c r="N135" i="6" s="1"/>
  <c r="V133" i="6"/>
  <c r="V130" i="6" s="1"/>
  <c r="W133" i="6"/>
  <c r="W138" i="6" s="1"/>
  <c r="W135" i="6" s="1"/>
  <c r="AE52" i="6"/>
  <c r="AE133" i="6"/>
  <c r="AE138" i="6" s="1"/>
  <c r="AE135" i="6" s="1"/>
  <c r="AA133" i="6"/>
  <c r="AA130" i="6" s="1"/>
  <c r="L52" i="6"/>
  <c r="L133" i="6"/>
  <c r="L130" i="6" s="1"/>
  <c r="P52" i="6"/>
  <c r="P133" i="6"/>
  <c r="P130" i="6" s="1"/>
  <c r="Q133" i="6"/>
  <c r="Q138" i="6" s="1"/>
  <c r="Q135" i="6" s="1"/>
  <c r="T52" i="6"/>
  <c r="T133" i="6"/>
  <c r="T138" i="6" s="1"/>
  <c r="T135" i="6" s="1"/>
  <c r="Y133" i="6"/>
  <c r="Y138" i="6" s="1"/>
  <c r="Y135" i="6" s="1"/>
  <c r="X52" i="6"/>
  <c r="X133" i="6"/>
  <c r="X138" i="6" s="1"/>
  <c r="X135" i="6" s="1"/>
  <c r="AC133" i="6"/>
  <c r="AC138" i="6" s="1"/>
  <c r="AC135" i="6" s="1"/>
  <c r="B132" i="6"/>
  <c r="B137" i="6" s="1"/>
  <c r="AB52" i="6"/>
  <c r="AB133" i="6"/>
  <c r="AB138" i="6" s="1"/>
  <c r="AB135" i="6" s="1"/>
  <c r="J52" i="6"/>
  <c r="J133" i="6"/>
  <c r="J138" i="6" s="1"/>
  <c r="J135" i="6" s="1"/>
  <c r="K98" i="6"/>
  <c r="E99" i="6"/>
  <c r="E102" i="6" s="1"/>
  <c r="AD133" i="6"/>
  <c r="AD138" i="6" s="1"/>
  <c r="AD135" i="6" s="1"/>
  <c r="H52" i="6"/>
  <c r="H133" i="6"/>
  <c r="H130" i="6" s="1"/>
  <c r="R52" i="6"/>
  <c r="R133" i="6"/>
  <c r="R138" i="6" s="1"/>
  <c r="R135" i="6" s="1"/>
  <c r="K133" i="6"/>
  <c r="K130" i="6" s="1"/>
  <c r="Z52" i="6"/>
  <c r="Z133" i="6"/>
  <c r="Z130" i="6" s="1"/>
  <c r="G80" i="6"/>
  <c r="F120" i="6"/>
  <c r="E129" i="6"/>
  <c r="G95" i="6"/>
  <c r="G77" i="6"/>
  <c r="G74" i="6"/>
  <c r="C63" i="5"/>
  <c r="D125" i="6"/>
  <c r="F125" i="6" s="1"/>
  <c r="D116" i="6"/>
  <c r="H21" i="5"/>
  <c r="B77" i="6"/>
  <c r="F77" i="6" s="1"/>
  <c r="G116" i="6"/>
  <c r="G78" i="6"/>
  <c r="G65" i="6"/>
  <c r="C25" i="6"/>
  <c r="N58" i="6"/>
  <c r="AE61" i="6"/>
  <c r="AE58" i="6" s="1"/>
  <c r="D27" i="5"/>
  <c r="G129" i="6"/>
  <c r="F74" i="6"/>
  <c r="G125" i="6"/>
  <c r="K58" i="6"/>
  <c r="O58" i="6"/>
  <c r="S58" i="6"/>
  <c r="W58" i="6"/>
  <c r="AA58" i="6"/>
  <c r="E127" i="6"/>
  <c r="L58" i="6"/>
  <c r="I58" i="6"/>
  <c r="Q58" i="6"/>
  <c r="Y58" i="6"/>
  <c r="R58" i="6"/>
  <c r="R43" i="5"/>
  <c r="R42" i="5" s="1"/>
  <c r="M58" i="6"/>
  <c r="U58" i="6"/>
  <c r="AC58" i="6"/>
  <c r="H58" i="6"/>
  <c r="T43" i="5"/>
  <c r="T42" i="5" s="1"/>
  <c r="Z58" i="6"/>
  <c r="E123" i="6"/>
  <c r="F95" i="6"/>
  <c r="G51" i="7"/>
  <c r="F37" i="5"/>
  <c r="T58" i="6"/>
  <c r="F53" i="6"/>
  <c r="G58" i="7"/>
  <c r="B60" i="6"/>
  <c r="P58" i="6"/>
  <c r="C28" i="5"/>
  <c r="C22" i="5" s="1"/>
  <c r="C30" i="5"/>
  <c r="E28" i="5"/>
  <c r="E30" i="5"/>
  <c r="G31" i="5"/>
  <c r="G37" i="5"/>
  <c r="G64" i="5"/>
  <c r="B25" i="6"/>
  <c r="B52" i="6" s="1"/>
  <c r="B55" i="6"/>
  <c r="B136" i="6"/>
  <c r="C115" i="7"/>
  <c r="C121" i="7"/>
  <c r="C119" i="7" s="1"/>
  <c r="E115" i="7"/>
  <c r="E121" i="7"/>
  <c r="E119" i="7" s="1"/>
  <c r="I21" i="5"/>
  <c r="J43" i="5"/>
  <c r="J21" i="5"/>
  <c r="K43" i="5"/>
  <c r="K21" i="5"/>
  <c r="L43" i="5"/>
  <c r="L21" i="5"/>
  <c r="M43" i="5"/>
  <c r="M21" i="5"/>
  <c r="N43" i="5"/>
  <c r="N21" i="5"/>
  <c r="O43" i="5"/>
  <c r="O21" i="5"/>
  <c r="P43" i="5"/>
  <c r="P21" i="5"/>
  <c r="Q43" i="5"/>
  <c r="Q21" i="5"/>
  <c r="S43" i="5"/>
  <c r="S21" i="5"/>
  <c r="U43" i="5"/>
  <c r="U21" i="5"/>
  <c r="V43" i="5"/>
  <c r="V21" i="5"/>
  <c r="W43" i="5"/>
  <c r="W21" i="5"/>
  <c r="X43" i="5"/>
  <c r="X21" i="5"/>
  <c r="Y43" i="5"/>
  <c r="Y21" i="5"/>
  <c r="Z43" i="5"/>
  <c r="Z21" i="5"/>
  <c r="AA43" i="5"/>
  <c r="AA21" i="5"/>
  <c r="AB43" i="5"/>
  <c r="AB21" i="5"/>
  <c r="AC43" i="5"/>
  <c r="AC21" i="5"/>
  <c r="AD43" i="5"/>
  <c r="AD21" i="5"/>
  <c r="AE43" i="5"/>
  <c r="AE21" i="5"/>
  <c r="H46" i="5"/>
  <c r="H45" i="5" s="1"/>
  <c r="H42" i="5"/>
  <c r="B115" i="7"/>
  <c r="G117" i="7"/>
  <c r="F99" i="7"/>
  <c r="F58" i="7"/>
  <c r="G103" i="7"/>
  <c r="F103" i="7"/>
  <c r="G56" i="7"/>
  <c r="F56" i="7"/>
  <c r="F117" i="7"/>
  <c r="G102" i="7"/>
  <c r="F102" i="7"/>
  <c r="J58" i="6"/>
  <c r="C123" i="6"/>
  <c r="C128" i="6"/>
  <c r="C127" i="6" s="1"/>
  <c r="I138" i="6"/>
  <c r="I135" i="6" s="1"/>
  <c r="I130" i="6"/>
  <c r="K138" i="6"/>
  <c r="K135" i="6" s="1"/>
  <c r="M138" i="6"/>
  <c r="M135" i="6" s="1"/>
  <c r="M130" i="6"/>
  <c r="O130" i="6"/>
  <c r="S138" i="6"/>
  <c r="S135" i="6" s="1"/>
  <c r="S130" i="6"/>
  <c r="U138" i="6"/>
  <c r="U135" i="6" s="1"/>
  <c r="U130" i="6"/>
  <c r="W130" i="6"/>
  <c r="AC130" i="6"/>
  <c r="AE130" i="6"/>
  <c r="F116" i="6"/>
  <c r="H138" i="6"/>
  <c r="H135" i="6" s="1"/>
  <c r="C98" i="6"/>
  <c r="C102" i="6"/>
  <c r="C101" i="6" s="1"/>
  <c r="B71" i="6"/>
  <c r="F71" i="6" s="1"/>
  <c r="B99" i="6"/>
  <c r="F72" i="6"/>
  <c r="N130" i="6"/>
  <c r="V138" i="6"/>
  <c r="V135" i="6" s="1"/>
  <c r="X130" i="6"/>
  <c r="AB130" i="6"/>
  <c r="E71" i="6"/>
  <c r="G72" i="6"/>
  <c r="G120" i="6"/>
  <c r="G40" i="5"/>
  <c r="B39" i="5"/>
  <c r="F39" i="5" s="1"/>
  <c r="G39" i="5"/>
  <c r="F36" i="5"/>
  <c r="G36" i="5"/>
  <c r="D54" i="5"/>
  <c r="C54" i="5"/>
  <c r="B27" i="5"/>
  <c r="B25" i="5"/>
  <c r="B22" i="5" s="1"/>
  <c r="I57" i="4"/>
  <c r="J57" i="4"/>
  <c r="J60" i="4" s="1"/>
  <c r="J59" i="4" s="1"/>
  <c r="K57" i="4"/>
  <c r="K56" i="4" s="1"/>
  <c r="L57" i="4"/>
  <c r="M57" i="4"/>
  <c r="N57" i="4"/>
  <c r="N60" i="4" s="1"/>
  <c r="N59" i="4" s="1"/>
  <c r="O57" i="4"/>
  <c r="O56" i="4" s="1"/>
  <c r="P57" i="4"/>
  <c r="Q57" i="4"/>
  <c r="R57" i="4"/>
  <c r="R60" i="4" s="1"/>
  <c r="R59" i="4" s="1"/>
  <c r="S57" i="4"/>
  <c r="S56" i="4" s="1"/>
  <c r="T57" i="4"/>
  <c r="U57" i="4"/>
  <c r="V57" i="4"/>
  <c r="V60" i="4" s="1"/>
  <c r="V59" i="4" s="1"/>
  <c r="W57" i="4"/>
  <c r="W56" i="4" s="1"/>
  <c r="X57" i="4"/>
  <c r="Y57" i="4"/>
  <c r="Z57" i="4"/>
  <c r="Z60" i="4" s="1"/>
  <c r="Z59" i="4" s="1"/>
  <c r="AA57" i="4"/>
  <c r="AA56" i="4" s="1"/>
  <c r="AB57" i="4"/>
  <c r="AC57" i="4"/>
  <c r="AD57" i="4"/>
  <c r="AD60" i="4" s="1"/>
  <c r="AD59" i="4" s="1"/>
  <c r="AE57" i="4"/>
  <c r="AE56" i="4" s="1"/>
  <c r="H57" i="4"/>
  <c r="H60" i="4" s="1"/>
  <c r="H59" i="4" s="1"/>
  <c r="J53" i="4"/>
  <c r="K53" i="4"/>
  <c r="L53" i="4"/>
  <c r="M53" i="4"/>
  <c r="N53" i="4"/>
  <c r="O53" i="4"/>
  <c r="P53" i="4"/>
  <c r="Q53" i="4"/>
  <c r="R53" i="4"/>
  <c r="S53" i="4"/>
  <c r="T53" i="4"/>
  <c r="U53" i="4"/>
  <c r="V53" i="4"/>
  <c r="W53" i="4"/>
  <c r="X53" i="4"/>
  <c r="Y53" i="4"/>
  <c r="Z53" i="4"/>
  <c r="AA53" i="4"/>
  <c r="AB53" i="4"/>
  <c r="AC53" i="4"/>
  <c r="AD53" i="4"/>
  <c r="AE53" i="4"/>
  <c r="H53" i="4"/>
  <c r="I49" i="4"/>
  <c r="J49" i="4"/>
  <c r="K49" i="4"/>
  <c r="L49" i="4"/>
  <c r="M49" i="4"/>
  <c r="N49" i="4"/>
  <c r="O49" i="4"/>
  <c r="R49" i="4"/>
  <c r="S49" i="4"/>
  <c r="T49" i="4"/>
  <c r="U49" i="4"/>
  <c r="V49" i="4"/>
  <c r="W49" i="4"/>
  <c r="X49" i="4"/>
  <c r="Y49" i="4"/>
  <c r="Z49" i="4"/>
  <c r="AA49" i="4"/>
  <c r="AB49" i="4"/>
  <c r="AC49" i="4"/>
  <c r="AD49" i="4"/>
  <c r="AE49" i="4"/>
  <c r="H49" i="4"/>
  <c r="K40" i="4"/>
  <c r="L40" i="4"/>
  <c r="L44" i="4" s="1"/>
  <c r="M40" i="4"/>
  <c r="N40" i="4"/>
  <c r="N44" i="4" s="1"/>
  <c r="O40" i="4"/>
  <c r="P40" i="4"/>
  <c r="P44" i="4" s="1"/>
  <c r="Q40" i="4"/>
  <c r="R40" i="4"/>
  <c r="R44" i="4" s="1"/>
  <c r="S40" i="4"/>
  <c r="T40" i="4"/>
  <c r="T44" i="4" s="1"/>
  <c r="U40" i="4"/>
  <c r="V40" i="4"/>
  <c r="V44" i="4" s="1"/>
  <c r="W40" i="4"/>
  <c r="X40" i="4"/>
  <c r="X44" i="4" s="1"/>
  <c r="Y40" i="4"/>
  <c r="Z40" i="4"/>
  <c r="Z44" i="4" s="1"/>
  <c r="AA40" i="4"/>
  <c r="AB40" i="4"/>
  <c r="AB44" i="4" s="1"/>
  <c r="AC40" i="4"/>
  <c r="AD40" i="4"/>
  <c r="AD44" i="4" s="1"/>
  <c r="AE40" i="4"/>
  <c r="K41" i="4"/>
  <c r="L41" i="4"/>
  <c r="L64" i="4" s="1"/>
  <c r="L68" i="4" s="1"/>
  <c r="M41" i="4"/>
  <c r="N41" i="4"/>
  <c r="N64" i="4" s="1"/>
  <c r="N68" i="4" s="1"/>
  <c r="O41" i="4"/>
  <c r="P41" i="4"/>
  <c r="P64" i="4" s="1"/>
  <c r="P68" i="4" s="1"/>
  <c r="Q41" i="4"/>
  <c r="R41" i="4"/>
  <c r="R64" i="4" s="1"/>
  <c r="R68" i="4" s="1"/>
  <c r="S41" i="4"/>
  <c r="T41" i="4"/>
  <c r="T64" i="4" s="1"/>
  <c r="T68" i="4" s="1"/>
  <c r="U41" i="4"/>
  <c r="V41" i="4"/>
  <c r="V64" i="4" s="1"/>
  <c r="V68" i="4" s="1"/>
  <c r="W41" i="4"/>
  <c r="X41" i="4"/>
  <c r="X64" i="4" s="1"/>
  <c r="X68" i="4" s="1"/>
  <c r="Y41" i="4"/>
  <c r="Z41" i="4"/>
  <c r="Z64" i="4" s="1"/>
  <c r="Z68" i="4" s="1"/>
  <c r="AA41" i="4"/>
  <c r="AB41" i="4"/>
  <c r="AB64" i="4" s="1"/>
  <c r="AB68" i="4" s="1"/>
  <c r="AC41" i="4"/>
  <c r="AD41" i="4"/>
  <c r="AE41" i="4"/>
  <c r="I40" i="4"/>
  <c r="J40" i="4"/>
  <c r="I41" i="4"/>
  <c r="J41" i="4"/>
  <c r="H41" i="4"/>
  <c r="H40" i="4"/>
  <c r="I36" i="4"/>
  <c r="J36" i="4"/>
  <c r="K36" i="4"/>
  <c r="L36" i="4"/>
  <c r="M36" i="4"/>
  <c r="N36" i="4"/>
  <c r="O36" i="4"/>
  <c r="P36" i="4"/>
  <c r="Q36" i="4"/>
  <c r="R36" i="4"/>
  <c r="S36" i="4"/>
  <c r="T36" i="4"/>
  <c r="U36" i="4"/>
  <c r="V36" i="4"/>
  <c r="W36" i="4"/>
  <c r="X36" i="4"/>
  <c r="Y36" i="4"/>
  <c r="Z36" i="4"/>
  <c r="AA36" i="4"/>
  <c r="AB36" i="4"/>
  <c r="AC36" i="4"/>
  <c r="AD36" i="4"/>
  <c r="AE36" i="4"/>
  <c r="H36" i="4"/>
  <c r="I23" i="3"/>
  <c r="J23" i="3"/>
  <c r="K23" i="3"/>
  <c r="L23" i="3"/>
  <c r="M23" i="3"/>
  <c r="N23" i="3"/>
  <c r="O23" i="3"/>
  <c r="P23" i="3"/>
  <c r="Q23" i="3"/>
  <c r="R23" i="3"/>
  <c r="S23" i="3"/>
  <c r="T23" i="3"/>
  <c r="V23" i="3"/>
  <c r="W23" i="3"/>
  <c r="X23" i="3"/>
  <c r="Y23" i="3"/>
  <c r="Z23" i="3"/>
  <c r="AA23" i="3"/>
  <c r="AB23" i="3"/>
  <c r="AC23" i="3"/>
  <c r="AD23" i="3"/>
  <c r="AE23" i="3"/>
  <c r="H23" i="3"/>
  <c r="I20" i="3"/>
  <c r="J20" i="3"/>
  <c r="K20" i="3"/>
  <c r="L20" i="3"/>
  <c r="M20" i="3"/>
  <c r="N20" i="3"/>
  <c r="O20" i="3"/>
  <c r="P20" i="3"/>
  <c r="Q20" i="3"/>
  <c r="R20" i="3"/>
  <c r="S20" i="3"/>
  <c r="T20" i="3"/>
  <c r="U20" i="3"/>
  <c r="V20" i="3"/>
  <c r="W20" i="3"/>
  <c r="X20" i="3"/>
  <c r="Y20" i="3"/>
  <c r="Z20" i="3"/>
  <c r="AA20" i="3"/>
  <c r="AB20" i="3"/>
  <c r="AC20" i="3"/>
  <c r="AD20" i="3"/>
  <c r="AE20" i="3"/>
  <c r="H20" i="3"/>
  <c r="D20" i="3"/>
  <c r="I17" i="3"/>
  <c r="J17" i="3"/>
  <c r="K17" i="3"/>
  <c r="L17" i="3"/>
  <c r="M17" i="3"/>
  <c r="N17" i="3"/>
  <c r="O17" i="3"/>
  <c r="P17" i="3"/>
  <c r="Q17" i="3"/>
  <c r="R17" i="3"/>
  <c r="S17" i="3"/>
  <c r="T17" i="3"/>
  <c r="U17" i="3"/>
  <c r="V17" i="3"/>
  <c r="W17" i="3"/>
  <c r="X17" i="3"/>
  <c r="Y17" i="3"/>
  <c r="Z17" i="3"/>
  <c r="AA17" i="3"/>
  <c r="AB17" i="3"/>
  <c r="AC17" i="3"/>
  <c r="AD17" i="3"/>
  <c r="AE17" i="3"/>
  <c r="H17" i="3"/>
  <c r="I14" i="3"/>
  <c r="J14" i="3"/>
  <c r="K14" i="3"/>
  <c r="L14" i="3"/>
  <c r="M14" i="3"/>
  <c r="O14" i="3"/>
  <c r="P14" i="3"/>
  <c r="Q14" i="3"/>
  <c r="R14" i="3"/>
  <c r="S14" i="3"/>
  <c r="T14" i="3"/>
  <c r="U14" i="3"/>
  <c r="V14" i="3"/>
  <c r="W14" i="3"/>
  <c r="X14" i="3"/>
  <c r="Y14" i="3"/>
  <c r="Z14" i="3"/>
  <c r="AA14" i="3"/>
  <c r="AB14" i="3"/>
  <c r="AC14" i="3"/>
  <c r="AD14" i="3"/>
  <c r="AE14" i="3"/>
  <c r="H14" i="3"/>
  <c r="I50" i="2"/>
  <c r="J50" i="2"/>
  <c r="K50" i="2"/>
  <c r="L50" i="2"/>
  <c r="M50" i="2"/>
  <c r="N50" i="2"/>
  <c r="O50" i="2"/>
  <c r="P50" i="2"/>
  <c r="Q50" i="2"/>
  <c r="R50" i="2"/>
  <c r="S50" i="2"/>
  <c r="T50" i="2"/>
  <c r="U50" i="2"/>
  <c r="V50" i="2"/>
  <c r="W50" i="2"/>
  <c r="X50" i="2"/>
  <c r="Y50" i="2"/>
  <c r="Z50" i="2"/>
  <c r="AA50" i="2"/>
  <c r="AB50" i="2"/>
  <c r="AC50" i="2"/>
  <c r="AD50" i="2"/>
  <c r="AE50" i="2"/>
  <c r="H50" i="2"/>
  <c r="D50" i="2"/>
  <c r="E50" i="2"/>
  <c r="I47" i="2"/>
  <c r="J47" i="2"/>
  <c r="K47" i="2"/>
  <c r="L47" i="2"/>
  <c r="M47" i="2"/>
  <c r="N47" i="2"/>
  <c r="O47" i="2"/>
  <c r="P47" i="2"/>
  <c r="Q47" i="2"/>
  <c r="R47" i="2"/>
  <c r="S47" i="2"/>
  <c r="T47" i="2"/>
  <c r="U47" i="2"/>
  <c r="V47" i="2"/>
  <c r="W47" i="2"/>
  <c r="X47" i="2"/>
  <c r="Y47" i="2"/>
  <c r="Z47" i="2"/>
  <c r="AA47" i="2"/>
  <c r="AB47" i="2"/>
  <c r="AC47" i="2"/>
  <c r="AD47" i="2"/>
  <c r="AE47" i="2"/>
  <c r="H47" i="2"/>
  <c r="D47" i="2"/>
  <c r="I33" i="2"/>
  <c r="J33" i="2"/>
  <c r="K33" i="2"/>
  <c r="L33" i="2"/>
  <c r="M33" i="2"/>
  <c r="N33" i="2"/>
  <c r="O33" i="2"/>
  <c r="P33" i="2"/>
  <c r="Q33" i="2"/>
  <c r="R33" i="2"/>
  <c r="S33" i="2"/>
  <c r="T33" i="2"/>
  <c r="U33" i="2"/>
  <c r="V33" i="2"/>
  <c r="W33" i="2"/>
  <c r="X33" i="2"/>
  <c r="Y33" i="2"/>
  <c r="Z33" i="2"/>
  <c r="AA33" i="2"/>
  <c r="AB33" i="2"/>
  <c r="AC33" i="2"/>
  <c r="AD33" i="2"/>
  <c r="AE33" i="2"/>
  <c r="H33" i="2"/>
  <c r="D33" i="2"/>
  <c r="I30" i="2"/>
  <c r="J30" i="2"/>
  <c r="K30" i="2"/>
  <c r="L30" i="2"/>
  <c r="M30" i="2"/>
  <c r="N30" i="2"/>
  <c r="O30" i="2"/>
  <c r="P30" i="2"/>
  <c r="Q30" i="2"/>
  <c r="R30" i="2"/>
  <c r="S30" i="2"/>
  <c r="T30" i="2"/>
  <c r="U30" i="2"/>
  <c r="V30" i="2"/>
  <c r="W30" i="2"/>
  <c r="X30" i="2"/>
  <c r="Y30" i="2"/>
  <c r="Z30" i="2"/>
  <c r="AA30" i="2"/>
  <c r="AB30" i="2"/>
  <c r="AC30" i="2"/>
  <c r="AD30" i="2"/>
  <c r="AE30" i="2"/>
  <c r="H30" i="2"/>
  <c r="I26" i="2"/>
  <c r="J26" i="2"/>
  <c r="K26" i="2"/>
  <c r="L26" i="2"/>
  <c r="M26" i="2"/>
  <c r="N26" i="2"/>
  <c r="O26" i="2"/>
  <c r="P26" i="2"/>
  <c r="Q26" i="2"/>
  <c r="R26" i="2"/>
  <c r="S26" i="2"/>
  <c r="T26" i="2"/>
  <c r="U26" i="2"/>
  <c r="V26" i="2"/>
  <c r="W26" i="2"/>
  <c r="X26" i="2"/>
  <c r="Y26" i="2"/>
  <c r="Z26" i="2"/>
  <c r="AA26" i="2"/>
  <c r="AB26" i="2"/>
  <c r="AC26" i="2"/>
  <c r="AD26" i="2"/>
  <c r="AE26" i="2"/>
  <c r="H26" i="2"/>
  <c r="D26" i="2"/>
  <c r="I22" i="2"/>
  <c r="J22" i="2"/>
  <c r="K22" i="2"/>
  <c r="L22" i="2"/>
  <c r="M22" i="2"/>
  <c r="N22" i="2"/>
  <c r="O22" i="2"/>
  <c r="P22" i="2"/>
  <c r="Q22" i="2"/>
  <c r="R22" i="2"/>
  <c r="S22" i="2"/>
  <c r="T22" i="2"/>
  <c r="U22" i="2"/>
  <c r="V22" i="2"/>
  <c r="W22" i="2"/>
  <c r="X22" i="2"/>
  <c r="Y22" i="2"/>
  <c r="Z22" i="2"/>
  <c r="AA22" i="2"/>
  <c r="AB22" i="2"/>
  <c r="AC22" i="2"/>
  <c r="AD22" i="2"/>
  <c r="AE22" i="2"/>
  <c r="H22" i="2"/>
  <c r="D22" i="2"/>
  <c r="I14" i="2"/>
  <c r="J14" i="2"/>
  <c r="K14" i="2"/>
  <c r="L14" i="2"/>
  <c r="M14" i="2"/>
  <c r="N14" i="2"/>
  <c r="O14" i="2"/>
  <c r="P14" i="2"/>
  <c r="Q14" i="2"/>
  <c r="R14" i="2"/>
  <c r="S14" i="2"/>
  <c r="T14" i="2"/>
  <c r="U14" i="2"/>
  <c r="V14" i="2"/>
  <c r="W14" i="2"/>
  <c r="X14" i="2"/>
  <c r="Y14" i="2"/>
  <c r="Z14" i="2"/>
  <c r="AA14" i="2"/>
  <c r="AB14" i="2"/>
  <c r="AC14" i="2"/>
  <c r="AD14" i="2"/>
  <c r="AE14" i="2"/>
  <c r="H14" i="2"/>
  <c r="AD23" i="4"/>
  <c r="I19" i="4"/>
  <c r="I18" i="4" s="1"/>
  <c r="J19" i="4"/>
  <c r="J18" i="4" s="1"/>
  <c r="K19" i="4"/>
  <c r="K18" i="4" s="1"/>
  <c r="L19" i="4"/>
  <c r="L18" i="4" s="1"/>
  <c r="M19" i="4"/>
  <c r="M18" i="4" s="1"/>
  <c r="N19" i="4"/>
  <c r="N18" i="4" s="1"/>
  <c r="O19" i="4"/>
  <c r="O18" i="4" s="1"/>
  <c r="P19" i="4"/>
  <c r="P18" i="4" s="1"/>
  <c r="Q19" i="4"/>
  <c r="Q18" i="4" s="1"/>
  <c r="R19" i="4"/>
  <c r="R18" i="4" s="1"/>
  <c r="S19" i="4"/>
  <c r="S18" i="4" s="1"/>
  <c r="T19" i="4"/>
  <c r="T18" i="4" s="1"/>
  <c r="U19" i="4"/>
  <c r="U18" i="4" s="1"/>
  <c r="V19" i="4"/>
  <c r="V18" i="4" s="1"/>
  <c r="W19" i="4"/>
  <c r="W18" i="4" s="1"/>
  <c r="X19" i="4"/>
  <c r="X18" i="4" s="1"/>
  <c r="Y19" i="4"/>
  <c r="Y18" i="4" s="1"/>
  <c r="Z19" i="4"/>
  <c r="Z18" i="4" s="1"/>
  <c r="AA19" i="4"/>
  <c r="AA18" i="4" s="1"/>
  <c r="AB19" i="4"/>
  <c r="AB18" i="4" s="1"/>
  <c r="AC19" i="4"/>
  <c r="AC18" i="4" s="1"/>
  <c r="AD19" i="4"/>
  <c r="AD18" i="4" s="1"/>
  <c r="AE19" i="4"/>
  <c r="AE18" i="4" s="1"/>
  <c r="H19" i="4"/>
  <c r="H18" i="4" s="1"/>
  <c r="AD16" i="4"/>
  <c r="AD15" i="4" s="1"/>
  <c r="I13" i="4"/>
  <c r="I12" i="4" s="1"/>
  <c r="J13" i="4"/>
  <c r="J12" i="4" s="1"/>
  <c r="K13" i="4"/>
  <c r="K12" i="4" s="1"/>
  <c r="L13" i="4"/>
  <c r="L12" i="4" s="1"/>
  <c r="M13" i="4"/>
  <c r="M12" i="4" s="1"/>
  <c r="N13" i="4"/>
  <c r="N12" i="4" s="1"/>
  <c r="O13" i="4"/>
  <c r="O12" i="4" s="1"/>
  <c r="P13" i="4"/>
  <c r="P12" i="4" s="1"/>
  <c r="Q13" i="4"/>
  <c r="Q12" i="4" s="1"/>
  <c r="R13" i="4"/>
  <c r="R12" i="4" s="1"/>
  <c r="S13" i="4"/>
  <c r="S12" i="4" s="1"/>
  <c r="T13" i="4"/>
  <c r="T12" i="4" s="1"/>
  <c r="U12" i="4"/>
  <c r="V13" i="4"/>
  <c r="V12" i="4" s="1"/>
  <c r="W13" i="4"/>
  <c r="W12" i="4" s="1"/>
  <c r="X13" i="4"/>
  <c r="X12" i="4" s="1"/>
  <c r="Y13" i="4"/>
  <c r="Y12" i="4" s="1"/>
  <c r="Z13" i="4"/>
  <c r="Z12" i="4" s="1"/>
  <c r="AA13" i="4"/>
  <c r="AA12" i="4" s="1"/>
  <c r="AB13" i="4"/>
  <c r="AB12" i="4" s="1"/>
  <c r="AC13" i="4"/>
  <c r="AC12" i="4" s="1"/>
  <c r="AD13" i="4"/>
  <c r="AD12" i="4" s="1"/>
  <c r="AE13" i="4"/>
  <c r="AE12" i="4" s="1"/>
  <c r="H13" i="4"/>
  <c r="H12" i="4" s="1"/>
  <c r="AB10" i="4"/>
  <c r="AB9" i="4" s="1"/>
  <c r="AC10" i="4"/>
  <c r="AC9" i="4" s="1"/>
  <c r="AD10" i="4"/>
  <c r="AD9" i="4" s="1"/>
  <c r="AE10" i="4"/>
  <c r="AE9" i="4" s="1"/>
  <c r="I10" i="4"/>
  <c r="J10" i="4"/>
  <c r="K10" i="4"/>
  <c r="L10" i="4"/>
  <c r="M10" i="4"/>
  <c r="N10" i="4"/>
  <c r="O10" i="4"/>
  <c r="O9" i="4" s="1"/>
  <c r="P10" i="4"/>
  <c r="P9" i="4" s="1"/>
  <c r="Q10" i="4"/>
  <c r="Q9" i="4" s="1"/>
  <c r="R10" i="4"/>
  <c r="R9" i="4" s="1"/>
  <c r="S10" i="4"/>
  <c r="S9" i="4" s="1"/>
  <c r="T10" i="4"/>
  <c r="T9" i="4" s="1"/>
  <c r="U10" i="4"/>
  <c r="U9" i="4" s="1"/>
  <c r="V10" i="4"/>
  <c r="V9" i="4" s="1"/>
  <c r="W10" i="4"/>
  <c r="W9" i="4" s="1"/>
  <c r="X10" i="4"/>
  <c r="X9" i="4" s="1"/>
  <c r="Y10" i="4"/>
  <c r="Y9" i="4" s="1"/>
  <c r="Z10" i="4"/>
  <c r="Z9" i="4" s="1"/>
  <c r="AA10" i="4"/>
  <c r="AA9" i="4" s="1"/>
  <c r="H10" i="4"/>
  <c r="H9" i="4" s="1"/>
  <c r="I9" i="4"/>
  <c r="J9" i="4"/>
  <c r="K9" i="4"/>
  <c r="L9" i="4"/>
  <c r="M9" i="4"/>
  <c r="N9" i="4"/>
  <c r="I11" i="3"/>
  <c r="J11" i="3"/>
  <c r="K11" i="3"/>
  <c r="L11" i="3"/>
  <c r="M11" i="3"/>
  <c r="N11" i="3"/>
  <c r="O11" i="3"/>
  <c r="P11" i="3"/>
  <c r="Q11" i="3"/>
  <c r="R11" i="3"/>
  <c r="V11" i="3"/>
  <c r="W11" i="3"/>
  <c r="X11" i="3"/>
  <c r="Y11" i="3"/>
  <c r="Z11" i="3"/>
  <c r="AA11" i="3"/>
  <c r="AB11" i="3"/>
  <c r="AC11" i="3"/>
  <c r="AD11" i="3"/>
  <c r="AE11" i="3"/>
  <c r="B54" i="4"/>
  <c r="B53" i="4" s="1"/>
  <c r="B50" i="4"/>
  <c r="B49" i="4" s="1"/>
  <c r="E33" i="4"/>
  <c r="D34" i="4"/>
  <c r="D33" i="4" s="1"/>
  <c r="B33" i="4"/>
  <c r="E40" i="4"/>
  <c r="D40" i="4"/>
  <c r="D44" i="4" s="1"/>
  <c r="G31" i="4"/>
  <c r="B31" i="4"/>
  <c r="C20" i="4"/>
  <c r="B20" i="4"/>
  <c r="B19" i="4" s="1"/>
  <c r="E19" i="4"/>
  <c r="E18" i="4" s="1"/>
  <c r="D19" i="4"/>
  <c r="D18" i="4" s="1"/>
  <c r="AG14" i="4"/>
  <c r="D13" i="4"/>
  <c r="D12" i="4" s="1"/>
  <c r="C13" i="4"/>
  <c r="B14" i="4"/>
  <c r="B13" i="4" s="1"/>
  <c r="B12" i="4" s="1"/>
  <c r="D10" i="4"/>
  <c r="D9" i="4" s="1"/>
  <c r="B11" i="4"/>
  <c r="B10" i="4" s="1"/>
  <c r="B9" i="4" s="1"/>
  <c r="E53" i="4"/>
  <c r="D53" i="4"/>
  <c r="C53" i="4"/>
  <c r="E36" i="4"/>
  <c r="C36" i="4"/>
  <c r="B37" i="4"/>
  <c r="P138" i="6" l="1"/>
  <c r="P135" i="6" s="1"/>
  <c r="J130" i="6"/>
  <c r="AA138" i="6"/>
  <c r="AA135" i="6" s="1"/>
  <c r="AD130" i="6"/>
  <c r="Z138" i="6"/>
  <c r="Z135" i="6" s="1"/>
  <c r="T130" i="6"/>
  <c r="L138" i="6"/>
  <c r="L135" i="6" s="1"/>
  <c r="R130" i="6"/>
  <c r="Y130" i="6"/>
  <c r="AD64" i="4"/>
  <c r="AD68" i="4" s="1"/>
  <c r="AD45" i="4"/>
  <c r="B30" i="4"/>
  <c r="F30" i="4" s="1"/>
  <c r="F31" i="4"/>
  <c r="Q130" i="6"/>
  <c r="E130" i="6" s="1"/>
  <c r="C27" i="5"/>
  <c r="C43" i="5"/>
  <c r="E133" i="6"/>
  <c r="B133" i="6"/>
  <c r="G63" i="5"/>
  <c r="AG36" i="4"/>
  <c r="F123" i="6"/>
  <c r="E98" i="6"/>
  <c r="G71" i="6"/>
  <c r="AG53" i="4"/>
  <c r="D129" i="6"/>
  <c r="D127" i="6" s="1"/>
  <c r="D123" i="6"/>
  <c r="C53" i="5"/>
  <c r="C12" i="4"/>
  <c r="AG49" i="4"/>
  <c r="C40" i="4"/>
  <c r="AG40" i="4" s="1"/>
  <c r="AG31" i="4"/>
  <c r="C33" i="4"/>
  <c r="AG33" i="4" s="1"/>
  <c r="AG34" i="4"/>
  <c r="C19" i="4"/>
  <c r="G19" i="4" s="1"/>
  <c r="AG20" i="4"/>
  <c r="T46" i="5"/>
  <c r="T45" i="5" s="1"/>
  <c r="G127" i="6"/>
  <c r="R46" i="5"/>
  <c r="R45" i="5" s="1"/>
  <c r="G99" i="6"/>
  <c r="E27" i="5"/>
  <c r="E22" i="5"/>
  <c r="E21" i="5" s="1"/>
  <c r="E24" i="5"/>
  <c r="G123" i="6"/>
  <c r="G119" i="7"/>
  <c r="F115" i="7"/>
  <c r="G121" i="7"/>
  <c r="C24" i="5"/>
  <c r="C30" i="4"/>
  <c r="G30" i="4" s="1"/>
  <c r="D30" i="4"/>
  <c r="F50" i="2"/>
  <c r="B24" i="5"/>
  <c r="C50" i="5"/>
  <c r="E54" i="5"/>
  <c r="E53" i="5" s="1"/>
  <c r="G51" i="5"/>
  <c r="D50" i="5"/>
  <c r="D53" i="5"/>
  <c r="D57" i="5"/>
  <c r="D56" i="5" s="1"/>
  <c r="D24" i="5"/>
  <c r="D22" i="5" s="1"/>
  <c r="H39" i="4"/>
  <c r="H56" i="4"/>
  <c r="E50" i="5"/>
  <c r="F50" i="5" s="1"/>
  <c r="G115" i="7"/>
  <c r="B41" i="4"/>
  <c r="B45" i="4" s="1"/>
  <c r="B36" i="4"/>
  <c r="F36" i="4" s="1"/>
  <c r="D41" i="4"/>
  <c r="D64" i="4" s="1"/>
  <c r="D68" i="4" s="1"/>
  <c r="D36" i="4"/>
  <c r="G20" i="4"/>
  <c r="F53" i="4"/>
  <c r="AD26" i="4"/>
  <c r="AD25" i="4" s="1"/>
  <c r="AD62" i="4"/>
  <c r="AD66" i="4" s="1"/>
  <c r="AD22" i="4"/>
  <c r="H45" i="4"/>
  <c r="H64" i="4"/>
  <c r="H68" i="4" s="1"/>
  <c r="J45" i="4"/>
  <c r="J64" i="4"/>
  <c r="J68" i="4" s="1"/>
  <c r="I64" i="4"/>
  <c r="I68" i="4" s="1"/>
  <c r="I45" i="4"/>
  <c r="AE45" i="4"/>
  <c r="AE64" i="4"/>
  <c r="AE68" i="4" s="1"/>
  <c r="AC45" i="4"/>
  <c r="AC64" i="4"/>
  <c r="AC68" i="4" s="1"/>
  <c r="AA45" i="4"/>
  <c r="AA64" i="4"/>
  <c r="AA68" i="4" s="1"/>
  <c r="Y45" i="4"/>
  <c r="Y64" i="4"/>
  <c r="Y68" i="4" s="1"/>
  <c r="W45" i="4"/>
  <c r="W64" i="4"/>
  <c r="W68" i="4" s="1"/>
  <c r="U45" i="4"/>
  <c r="U64" i="4"/>
  <c r="U68" i="4" s="1"/>
  <c r="S45" i="4"/>
  <c r="S64" i="4"/>
  <c r="S68" i="4" s="1"/>
  <c r="Q45" i="4"/>
  <c r="Q64" i="4"/>
  <c r="Q68" i="4" s="1"/>
  <c r="O45" i="4"/>
  <c r="O64" i="4"/>
  <c r="O68" i="4" s="1"/>
  <c r="M45" i="4"/>
  <c r="M64" i="4"/>
  <c r="M68" i="4" s="1"/>
  <c r="K45" i="4"/>
  <c r="K64" i="4"/>
  <c r="K68" i="4" s="1"/>
  <c r="AC56" i="4"/>
  <c r="AC60" i="4"/>
  <c r="AC59" i="4" s="1"/>
  <c r="AB60" i="4"/>
  <c r="AB59" i="4" s="1"/>
  <c r="AB56" i="4"/>
  <c r="Y56" i="4"/>
  <c r="Y60" i="4"/>
  <c r="Y59" i="4" s="1"/>
  <c r="X60" i="4"/>
  <c r="X59" i="4" s="1"/>
  <c r="X56" i="4"/>
  <c r="U56" i="4"/>
  <c r="U60" i="4"/>
  <c r="U59" i="4" s="1"/>
  <c r="T60" i="4"/>
  <c r="T59" i="4" s="1"/>
  <c r="T56" i="4"/>
  <c r="Q56" i="4"/>
  <c r="Q60" i="4"/>
  <c r="Q59" i="4" s="1"/>
  <c r="P60" i="4"/>
  <c r="P59" i="4" s="1"/>
  <c r="P56" i="4"/>
  <c r="M56" i="4"/>
  <c r="M59" i="4"/>
  <c r="L60" i="4"/>
  <c r="L59" i="4" s="1"/>
  <c r="L56" i="4"/>
  <c r="I56" i="4"/>
  <c r="I60" i="4"/>
  <c r="I59" i="4" s="1"/>
  <c r="C10" i="5"/>
  <c r="C9" i="5" s="1"/>
  <c r="C13" i="5"/>
  <c r="D14" i="5"/>
  <c r="D13" i="5" s="1"/>
  <c r="E9" i="5"/>
  <c r="E14" i="5"/>
  <c r="E13" i="5" s="1"/>
  <c r="B43" i="5"/>
  <c r="B42" i="5" s="1"/>
  <c r="B21" i="5"/>
  <c r="B69" i="5"/>
  <c r="B71" i="5" s="1"/>
  <c r="B70" i="5" s="1"/>
  <c r="AE42" i="5"/>
  <c r="AE46" i="5"/>
  <c r="AE45" i="5" s="1"/>
  <c r="AD46" i="5"/>
  <c r="AD45" i="5" s="1"/>
  <c r="AD42" i="5"/>
  <c r="AC42" i="5"/>
  <c r="AC46" i="5"/>
  <c r="AC45" i="5" s="1"/>
  <c r="AB46" i="5"/>
  <c r="AB45" i="5" s="1"/>
  <c r="AB42" i="5"/>
  <c r="AA42" i="5"/>
  <c r="AA46" i="5"/>
  <c r="AA45" i="5" s="1"/>
  <c r="Z46" i="5"/>
  <c r="Z45" i="5" s="1"/>
  <c r="Z42" i="5"/>
  <c r="Y42" i="5"/>
  <c r="Y46" i="5"/>
  <c r="Y45" i="5" s="1"/>
  <c r="X46" i="5"/>
  <c r="X45" i="5" s="1"/>
  <c r="X42" i="5"/>
  <c r="W42" i="5"/>
  <c r="W46" i="5"/>
  <c r="W45" i="5" s="1"/>
  <c r="V46" i="5"/>
  <c r="V45" i="5" s="1"/>
  <c r="V42" i="5"/>
  <c r="U42" i="5"/>
  <c r="U46" i="5"/>
  <c r="U45" i="5" s="1"/>
  <c r="S42" i="5"/>
  <c r="S46" i="5"/>
  <c r="S45" i="5" s="1"/>
  <c r="Q42" i="5"/>
  <c r="Q46" i="5"/>
  <c r="Q45" i="5" s="1"/>
  <c r="P46" i="5"/>
  <c r="P45" i="5" s="1"/>
  <c r="P42" i="5"/>
  <c r="O42" i="5"/>
  <c r="O46" i="5"/>
  <c r="O45" i="5" s="1"/>
  <c r="N46" i="5"/>
  <c r="N45" i="5" s="1"/>
  <c r="N42" i="5"/>
  <c r="M42" i="5"/>
  <c r="M46" i="5"/>
  <c r="M45" i="5" s="1"/>
  <c r="L46" i="5"/>
  <c r="L45" i="5" s="1"/>
  <c r="L42" i="5"/>
  <c r="K42" i="5"/>
  <c r="K46" i="5"/>
  <c r="K45" i="5" s="1"/>
  <c r="J46" i="5"/>
  <c r="J45" i="5" s="1"/>
  <c r="J42" i="5"/>
  <c r="I42" i="5"/>
  <c r="G30" i="5"/>
  <c r="F30" i="5"/>
  <c r="F119" i="7"/>
  <c r="F121" i="7"/>
  <c r="B98" i="6"/>
  <c r="B130" i="6" s="1"/>
  <c r="B102" i="6"/>
  <c r="B61" i="6"/>
  <c r="B58" i="6" s="1"/>
  <c r="G98" i="6"/>
  <c r="C61" i="6"/>
  <c r="C52" i="6"/>
  <c r="F127" i="6"/>
  <c r="F28" i="5"/>
  <c r="G25" i="5"/>
  <c r="G11" i="5"/>
  <c r="F25" i="5"/>
  <c r="G28" i="5"/>
  <c r="F51" i="5"/>
  <c r="F11" i="5"/>
  <c r="B10" i="5"/>
  <c r="B9" i="5" s="1"/>
  <c r="D10" i="5"/>
  <c r="D9" i="5" s="1"/>
  <c r="G36" i="4"/>
  <c r="E44" i="4"/>
  <c r="G49" i="4"/>
  <c r="F37" i="4"/>
  <c r="E41" i="4"/>
  <c r="E64" i="4" s="1"/>
  <c r="J39" i="4"/>
  <c r="H44" i="4"/>
  <c r="F49" i="4"/>
  <c r="B57" i="4"/>
  <c r="G53" i="4"/>
  <c r="D57" i="4"/>
  <c r="F19" i="4"/>
  <c r="F20" i="4"/>
  <c r="B40" i="4"/>
  <c r="I39" i="4"/>
  <c r="I44" i="4"/>
  <c r="AD39" i="4"/>
  <c r="AD43" i="4"/>
  <c r="AB39" i="4"/>
  <c r="AB45" i="4"/>
  <c r="AB43" i="4" s="1"/>
  <c r="Z39" i="4"/>
  <c r="Z45" i="4"/>
  <c r="Z43" i="4" s="1"/>
  <c r="X39" i="4"/>
  <c r="X45" i="4"/>
  <c r="X43" i="4" s="1"/>
  <c r="V39" i="4"/>
  <c r="V45" i="4"/>
  <c r="V43" i="4" s="1"/>
  <c r="T39" i="4"/>
  <c r="T45" i="4"/>
  <c r="T43" i="4" s="1"/>
  <c r="R39" i="4"/>
  <c r="R45" i="4"/>
  <c r="R43" i="4" s="1"/>
  <c r="P39" i="4"/>
  <c r="P45" i="4"/>
  <c r="P43" i="4" s="1"/>
  <c r="J44" i="4"/>
  <c r="E57" i="4"/>
  <c r="AG57" i="4" s="1"/>
  <c r="AE60" i="4"/>
  <c r="AE59" i="4" s="1"/>
  <c r="AA60" i="4"/>
  <c r="AA59" i="4" s="1"/>
  <c r="W60" i="4"/>
  <c r="W59" i="4" s="1"/>
  <c r="S60" i="4"/>
  <c r="S59" i="4" s="1"/>
  <c r="O60" i="4"/>
  <c r="O59" i="4" s="1"/>
  <c r="K60" i="4"/>
  <c r="K59" i="4" s="1"/>
  <c r="N39" i="4"/>
  <c r="L39" i="4"/>
  <c r="AE39" i="4"/>
  <c r="AC39" i="4"/>
  <c r="AA39" i="4"/>
  <c r="Y39" i="4"/>
  <c r="W39" i="4"/>
  <c r="U39" i="4"/>
  <c r="S39" i="4"/>
  <c r="Q39" i="4"/>
  <c r="O39" i="4"/>
  <c r="M39" i="4"/>
  <c r="K39" i="4"/>
  <c r="N45" i="4"/>
  <c r="N43" i="4" s="1"/>
  <c r="L45" i="4"/>
  <c r="L43" i="4" s="1"/>
  <c r="AE44" i="4"/>
  <c r="AC44" i="4"/>
  <c r="AA44" i="4"/>
  <c r="Y44" i="4"/>
  <c r="W44" i="4"/>
  <c r="U44" i="4"/>
  <c r="S44" i="4"/>
  <c r="Q44" i="4"/>
  <c r="O44" i="4"/>
  <c r="M44" i="4"/>
  <c r="K44" i="4"/>
  <c r="AD56" i="4"/>
  <c r="Z56" i="4"/>
  <c r="V56" i="4"/>
  <c r="R56" i="4"/>
  <c r="N56" i="4"/>
  <c r="J56" i="4"/>
  <c r="B18" i="4"/>
  <c r="G34" i="4"/>
  <c r="F33" i="4"/>
  <c r="F34" i="4"/>
  <c r="F14" i="4"/>
  <c r="E13" i="4"/>
  <c r="AG13" i="4" s="1"/>
  <c r="G50" i="4"/>
  <c r="F54" i="4"/>
  <c r="F50" i="4"/>
  <c r="G54" i="4"/>
  <c r="G37" i="4"/>
  <c r="K54" i="2"/>
  <c r="K58" i="2" s="1"/>
  <c r="L54" i="2"/>
  <c r="L58" i="2" s="1"/>
  <c r="M54" i="2"/>
  <c r="M58" i="2" s="1"/>
  <c r="N54" i="2"/>
  <c r="N58" i="2" s="1"/>
  <c r="O54" i="2"/>
  <c r="O58" i="2" s="1"/>
  <c r="P54" i="2"/>
  <c r="P58" i="2" s="1"/>
  <c r="Q54" i="2"/>
  <c r="Q58" i="2" s="1"/>
  <c r="R54" i="2"/>
  <c r="R58" i="2" s="1"/>
  <c r="S54" i="2"/>
  <c r="S58" i="2" s="1"/>
  <c r="T54" i="2"/>
  <c r="T58" i="2" s="1"/>
  <c r="U54" i="2"/>
  <c r="U58" i="2" s="1"/>
  <c r="V54" i="2"/>
  <c r="V58" i="2" s="1"/>
  <c r="W54" i="2"/>
  <c r="W58" i="2" s="1"/>
  <c r="X54" i="2"/>
  <c r="X58" i="2" s="1"/>
  <c r="Y54" i="2"/>
  <c r="Y58" i="2" s="1"/>
  <c r="Z54" i="2"/>
  <c r="Z58" i="2" s="1"/>
  <c r="AA54" i="2"/>
  <c r="AA58" i="2" s="1"/>
  <c r="AB54" i="2"/>
  <c r="AB58" i="2" s="1"/>
  <c r="AC54" i="2"/>
  <c r="AC58" i="2" s="1"/>
  <c r="AD54" i="2"/>
  <c r="AD58" i="2" s="1"/>
  <c r="AE54" i="2"/>
  <c r="AE58" i="2" s="1"/>
  <c r="K55" i="2"/>
  <c r="K59" i="2" s="1"/>
  <c r="L55" i="2"/>
  <c r="L59" i="2" s="1"/>
  <c r="M55" i="2"/>
  <c r="M59" i="2" s="1"/>
  <c r="N55" i="2"/>
  <c r="N59" i="2" s="1"/>
  <c r="O55" i="2"/>
  <c r="O59" i="2" s="1"/>
  <c r="P55" i="2"/>
  <c r="P59" i="2" s="1"/>
  <c r="Q55" i="2"/>
  <c r="Q59" i="2" s="1"/>
  <c r="R55" i="2"/>
  <c r="R59" i="2" s="1"/>
  <c r="S55" i="2"/>
  <c r="S59" i="2" s="1"/>
  <c r="T55" i="2"/>
  <c r="T59" i="2" s="1"/>
  <c r="U55" i="2"/>
  <c r="U59" i="2" s="1"/>
  <c r="V55" i="2"/>
  <c r="V59" i="2" s="1"/>
  <c r="W55" i="2"/>
  <c r="W59" i="2" s="1"/>
  <c r="X55" i="2"/>
  <c r="X59" i="2" s="1"/>
  <c r="Y55" i="2"/>
  <c r="Y59" i="2" s="1"/>
  <c r="Z55" i="2"/>
  <c r="Z59" i="2" s="1"/>
  <c r="AA55" i="2"/>
  <c r="AA59" i="2" s="1"/>
  <c r="AB55" i="2"/>
  <c r="AB59" i="2" s="1"/>
  <c r="AC55" i="2"/>
  <c r="AC59" i="2" s="1"/>
  <c r="AD55" i="2"/>
  <c r="AD59" i="2" s="1"/>
  <c r="AE55" i="2"/>
  <c r="AE59" i="2" s="1"/>
  <c r="I54" i="2"/>
  <c r="J54" i="2"/>
  <c r="J58" i="2" s="1"/>
  <c r="I59" i="2"/>
  <c r="J55" i="2"/>
  <c r="J59" i="2" s="1"/>
  <c r="H55" i="2"/>
  <c r="H53" i="2" s="1"/>
  <c r="D59" i="2"/>
  <c r="E59" i="2"/>
  <c r="F29" i="3"/>
  <c r="G29" i="3"/>
  <c r="F33" i="3"/>
  <c r="G33" i="3"/>
  <c r="F37" i="3"/>
  <c r="G37" i="3"/>
  <c r="Q27" i="3"/>
  <c r="Q35" i="3" s="1"/>
  <c r="Q39" i="3" s="1"/>
  <c r="R27" i="3"/>
  <c r="R31" i="3" s="1"/>
  <c r="S35" i="3"/>
  <c r="S39" i="3" s="1"/>
  <c r="T27" i="3"/>
  <c r="T31" i="3" s="1"/>
  <c r="U27" i="3"/>
  <c r="U35" i="3" s="1"/>
  <c r="U39" i="3" s="1"/>
  <c r="V27" i="3"/>
  <c r="V31" i="3" s="1"/>
  <c r="W27" i="3"/>
  <c r="W35" i="3" s="1"/>
  <c r="W39" i="3" s="1"/>
  <c r="X27" i="3"/>
  <c r="X31" i="3" s="1"/>
  <c r="Y27" i="3"/>
  <c r="Z27" i="3"/>
  <c r="Z31" i="3" s="1"/>
  <c r="AA27" i="3"/>
  <c r="AA35" i="3" s="1"/>
  <c r="AA39" i="3" s="1"/>
  <c r="AB27" i="3"/>
  <c r="AB31" i="3" s="1"/>
  <c r="AC27" i="3"/>
  <c r="AC35" i="3" s="1"/>
  <c r="AC39" i="3" s="1"/>
  <c r="AD27" i="3"/>
  <c r="AD31" i="3" s="1"/>
  <c r="AE27" i="3"/>
  <c r="AE35" i="3" s="1"/>
  <c r="AE39" i="3" s="1"/>
  <c r="Q28" i="3"/>
  <c r="Q32" i="3" s="1"/>
  <c r="R28" i="3"/>
  <c r="S28" i="3"/>
  <c r="S32" i="3" s="1"/>
  <c r="T28" i="3"/>
  <c r="U28" i="3"/>
  <c r="U32" i="3" s="1"/>
  <c r="V28" i="3"/>
  <c r="W28" i="3"/>
  <c r="W32" i="3" s="1"/>
  <c r="X28" i="3"/>
  <c r="Y28" i="3"/>
  <c r="Y32" i="3" s="1"/>
  <c r="Z28" i="3"/>
  <c r="Z36" i="3" s="1"/>
  <c r="Z40" i="3" s="1"/>
  <c r="AA28" i="3"/>
  <c r="AA32" i="3" s="1"/>
  <c r="AB28" i="3"/>
  <c r="AB36" i="3" s="1"/>
  <c r="AB40" i="3" s="1"/>
  <c r="AC28" i="3"/>
  <c r="AC32" i="3" s="1"/>
  <c r="AD28" i="3"/>
  <c r="AD36" i="3" s="1"/>
  <c r="AD40" i="3" s="1"/>
  <c r="AE28" i="3"/>
  <c r="AE32" i="3" s="1"/>
  <c r="I27" i="3"/>
  <c r="I35" i="3" s="1"/>
  <c r="I39" i="3" s="1"/>
  <c r="J27" i="3"/>
  <c r="K27" i="3"/>
  <c r="K35" i="3" s="1"/>
  <c r="K39" i="3" s="1"/>
  <c r="L27" i="3"/>
  <c r="M27" i="3"/>
  <c r="M35" i="3" s="1"/>
  <c r="M39" i="3" s="1"/>
  <c r="N27" i="3"/>
  <c r="O27" i="3"/>
  <c r="O35" i="3" s="1"/>
  <c r="O39" i="3" s="1"/>
  <c r="P27" i="3"/>
  <c r="I28" i="3"/>
  <c r="I32" i="3" s="1"/>
  <c r="J28" i="3"/>
  <c r="K28" i="3"/>
  <c r="K32" i="3" s="1"/>
  <c r="L28" i="3"/>
  <c r="M28" i="3"/>
  <c r="M32" i="3" s="1"/>
  <c r="N28" i="3"/>
  <c r="O28" i="3"/>
  <c r="O32" i="3" s="1"/>
  <c r="P28" i="3"/>
  <c r="H28" i="3"/>
  <c r="H32" i="3" s="1"/>
  <c r="H27" i="3"/>
  <c r="H35" i="3" s="1"/>
  <c r="H39" i="3" s="1"/>
  <c r="Y35" i="3"/>
  <c r="Y39" i="3" s="1"/>
  <c r="Z35" i="3"/>
  <c r="Z39" i="3" s="1"/>
  <c r="G14" i="4"/>
  <c r="E10" i="4"/>
  <c r="E9" i="4" s="1"/>
  <c r="F14" i="3"/>
  <c r="B24" i="3"/>
  <c r="F24" i="3" s="1"/>
  <c r="C20" i="3"/>
  <c r="C55" i="2"/>
  <c r="B28" i="2"/>
  <c r="F28" i="2" s="1"/>
  <c r="G33" i="4" l="1"/>
  <c r="G40" i="4"/>
  <c r="C44" i="4"/>
  <c r="AG44" i="4" s="1"/>
  <c r="G27" i="5"/>
  <c r="F129" i="6"/>
  <c r="C21" i="5"/>
  <c r="D43" i="5"/>
  <c r="D46" i="5" s="1"/>
  <c r="D45" i="5" s="1"/>
  <c r="D21" i="5"/>
  <c r="AG41" i="4"/>
  <c r="E101" i="6"/>
  <c r="C18" i="4"/>
  <c r="AG18" i="4" s="1"/>
  <c r="AG19" i="4"/>
  <c r="AG30" i="4"/>
  <c r="C10" i="4"/>
  <c r="C9" i="4" s="1"/>
  <c r="AG11" i="4"/>
  <c r="J43" i="4"/>
  <c r="F27" i="5"/>
  <c r="G102" i="6"/>
  <c r="F22" i="5"/>
  <c r="K43" i="4"/>
  <c r="O43" i="4"/>
  <c r="S43" i="4"/>
  <c r="W43" i="4"/>
  <c r="AA43" i="4"/>
  <c r="AE43" i="4"/>
  <c r="G24" i="5"/>
  <c r="G22" i="5"/>
  <c r="E43" i="5"/>
  <c r="M43" i="4"/>
  <c r="U43" i="4"/>
  <c r="AC43" i="4"/>
  <c r="F24" i="5"/>
  <c r="H43" i="4"/>
  <c r="G50" i="5"/>
  <c r="F11" i="3"/>
  <c r="D45" i="4"/>
  <c r="D43" i="4" s="1"/>
  <c r="M36" i="3"/>
  <c r="M40" i="3" s="1"/>
  <c r="Q43" i="4"/>
  <c r="Y43" i="4"/>
  <c r="I43" i="4"/>
  <c r="D39" i="4"/>
  <c r="X35" i="3"/>
  <c r="X39" i="3" s="1"/>
  <c r="B46" i="5"/>
  <c r="B45" i="5" s="1"/>
  <c r="F43" i="5"/>
  <c r="G17" i="3"/>
  <c r="F17" i="3"/>
  <c r="AD65" i="4"/>
  <c r="I36" i="3"/>
  <c r="I40" i="3" s="1"/>
  <c r="AD61" i="4"/>
  <c r="G21" i="5"/>
  <c r="F21" i="5"/>
  <c r="F59" i="2"/>
  <c r="AG55" i="2"/>
  <c r="G55" i="2"/>
  <c r="C47" i="2"/>
  <c r="H59" i="2"/>
  <c r="C59" i="2"/>
  <c r="I58" i="2"/>
  <c r="I57" i="2" s="1"/>
  <c r="I53" i="2"/>
  <c r="G10" i="5"/>
  <c r="P57" i="2"/>
  <c r="N57" i="2"/>
  <c r="H36" i="3"/>
  <c r="H40" i="3" s="1"/>
  <c r="AD35" i="3"/>
  <c r="AD39" i="3" s="1"/>
  <c r="W36" i="3"/>
  <c r="W40" i="3" s="1"/>
  <c r="U36" i="3"/>
  <c r="U40" i="3" s="1"/>
  <c r="AB35" i="3"/>
  <c r="AB39" i="3" s="1"/>
  <c r="O36" i="3"/>
  <c r="O40" i="3" s="1"/>
  <c r="AB57" i="2"/>
  <c r="Z57" i="2"/>
  <c r="D57" i="2"/>
  <c r="L57" i="2"/>
  <c r="T57" i="2"/>
  <c r="AD57" i="2"/>
  <c r="R57" i="2"/>
  <c r="X57" i="2"/>
  <c r="V57" i="2"/>
  <c r="AE36" i="3"/>
  <c r="AE40" i="3" s="1"/>
  <c r="AC36" i="3"/>
  <c r="AC40" i="3" s="1"/>
  <c r="T35" i="3"/>
  <c r="T39" i="3" s="1"/>
  <c r="AA36" i="3"/>
  <c r="AA40" i="3" s="1"/>
  <c r="K36" i="3"/>
  <c r="K40" i="3" s="1"/>
  <c r="S36" i="3"/>
  <c r="S40" i="3" s="1"/>
  <c r="R35" i="3"/>
  <c r="R39" i="3" s="1"/>
  <c r="Y36" i="3"/>
  <c r="Y40" i="3" s="1"/>
  <c r="V35" i="3"/>
  <c r="V39" i="3" s="1"/>
  <c r="Q36" i="3"/>
  <c r="Q40" i="3" s="1"/>
  <c r="C50" i="2"/>
  <c r="F20" i="3"/>
  <c r="G20" i="3"/>
  <c r="B23" i="3"/>
  <c r="B28" i="3"/>
  <c r="G14" i="3"/>
  <c r="D36" i="3"/>
  <c r="D40" i="3" s="1"/>
  <c r="H26" i="3"/>
  <c r="H34" i="3" s="1"/>
  <c r="H38" i="3" s="1"/>
  <c r="H31" i="3"/>
  <c r="H30" i="3" s="1"/>
  <c r="P36" i="3"/>
  <c r="P40" i="3" s="1"/>
  <c r="P32" i="3"/>
  <c r="N36" i="3"/>
  <c r="N32" i="3"/>
  <c r="L36" i="3"/>
  <c r="L40" i="3" s="1"/>
  <c r="L32" i="3"/>
  <c r="J36" i="3"/>
  <c r="J40" i="3" s="1"/>
  <c r="J32" i="3"/>
  <c r="P35" i="3"/>
  <c r="P39" i="3" s="1"/>
  <c r="P31" i="3"/>
  <c r="O26" i="3"/>
  <c r="O34" i="3" s="1"/>
  <c r="O38" i="3" s="1"/>
  <c r="O31" i="3"/>
  <c r="O30" i="3" s="1"/>
  <c r="N35" i="3"/>
  <c r="N39" i="3" s="1"/>
  <c r="N31" i="3"/>
  <c r="M26" i="3"/>
  <c r="M34" i="3" s="1"/>
  <c r="M38" i="3" s="1"/>
  <c r="M31" i="3"/>
  <c r="M30" i="3" s="1"/>
  <c r="L35" i="3"/>
  <c r="L39" i="3" s="1"/>
  <c r="L31" i="3"/>
  <c r="K26" i="3"/>
  <c r="K34" i="3" s="1"/>
  <c r="K38" i="3" s="1"/>
  <c r="K31" i="3"/>
  <c r="K30" i="3" s="1"/>
  <c r="J35" i="3"/>
  <c r="J39" i="3" s="1"/>
  <c r="J31" i="3"/>
  <c r="I26" i="3"/>
  <c r="I34" i="3" s="1"/>
  <c r="I38" i="3" s="1"/>
  <c r="I31" i="3"/>
  <c r="I30" i="3" s="1"/>
  <c r="AD26" i="3"/>
  <c r="AD34" i="3" s="1"/>
  <c r="AD38" i="3" s="1"/>
  <c r="AD32" i="3"/>
  <c r="AD30" i="3" s="1"/>
  <c r="AB26" i="3"/>
  <c r="AB34" i="3" s="1"/>
  <c r="AB38" i="3" s="1"/>
  <c r="AB32" i="3"/>
  <c r="AB30" i="3" s="1"/>
  <c r="Z26" i="3"/>
  <c r="Z34" i="3" s="1"/>
  <c r="Z38" i="3" s="1"/>
  <c r="Z32" i="3"/>
  <c r="Z30" i="3" s="1"/>
  <c r="X36" i="3"/>
  <c r="X40" i="3" s="1"/>
  <c r="X32" i="3"/>
  <c r="X30" i="3" s="1"/>
  <c r="V36" i="3"/>
  <c r="V40" i="3" s="1"/>
  <c r="V32" i="3"/>
  <c r="V30" i="3" s="1"/>
  <c r="T36" i="3"/>
  <c r="T40" i="3" s="1"/>
  <c r="T32" i="3"/>
  <c r="T30" i="3" s="1"/>
  <c r="R36" i="3"/>
  <c r="R40" i="3" s="1"/>
  <c r="R32" i="3"/>
  <c r="R30" i="3" s="1"/>
  <c r="AE26" i="3"/>
  <c r="AE34" i="3" s="1"/>
  <c r="AE38" i="3" s="1"/>
  <c r="AE31" i="3"/>
  <c r="AE30" i="3" s="1"/>
  <c r="AC26" i="3"/>
  <c r="AC34" i="3" s="1"/>
  <c r="AC38" i="3" s="1"/>
  <c r="AC31" i="3"/>
  <c r="AC30" i="3" s="1"/>
  <c r="AA26" i="3"/>
  <c r="AA34" i="3" s="1"/>
  <c r="AA38" i="3" s="1"/>
  <c r="AA31" i="3"/>
  <c r="AA30" i="3" s="1"/>
  <c r="Y26" i="3"/>
  <c r="Y34" i="3" s="1"/>
  <c r="Y38" i="3" s="1"/>
  <c r="Y31" i="3"/>
  <c r="Y30" i="3" s="1"/>
  <c r="W26" i="3"/>
  <c r="W34" i="3" s="1"/>
  <c r="W38" i="3" s="1"/>
  <c r="W31" i="3"/>
  <c r="W30" i="3" s="1"/>
  <c r="U26" i="3"/>
  <c r="U34" i="3" s="1"/>
  <c r="U38" i="3" s="1"/>
  <c r="U31" i="3"/>
  <c r="U30" i="3" s="1"/>
  <c r="S26" i="3"/>
  <c r="S34" i="3" s="1"/>
  <c r="S38" i="3" s="1"/>
  <c r="S31" i="3"/>
  <c r="S30" i="3" s="1"/>
  <c r="Q26" i="3"/>
  <c r="Q34" i="3" s="1"/>
  <c r="Q38" i="3" s="1"/>
  <c r="Q31" i="3"/>
  <c r="Q30" i="3" s="1"/>
  <c r="J57" i="2"/>
  <c r="J53" i="2"/>
  <c r="AE53" i="2"/>
  <c r="AD53" i="2"/>
  <c r="AC53" i="2"/>
  <c r="AB53" i="2"/>
  <c r="AA53" i="2"/>
  <c r="Z53" i="2"/>
  <c r="Y53" i="2"/>
  <c r="X53" i="2"/>
  <c r="W53" i="2"/>
  <c r="V53" i="2"/>
  <c r="U53" i="2"/>
  <c r="T53" i="2"/>
  <c r="S53" i="2"/>
  <c r="R53" i="2"/>
  <c r="Q53" i="2"/>
  <c r="P53" i="2"/>
  <c r="O53" i="2"/>
  <c r="N53" i="2"/>
  <c r="M53" i="2"/>
  <c r="L53" i="2"/>
  <c r="K53" i="2"/>
  <c r="C45" i="4"/>
  <c r="C64" i="4"/>
  <c r="E68" i="4"/>
  <c r="C42" i="5"/>
  <c r="C69" i="5" s="1"/>
  <c r="B68" i="5"/>
  <c r="B64" i="4"/>
  <c r="B101" i="6"/>
  <c r="F102" i="6"/>
  <c r="C58" i="6"/>
  <c r="E57" i="5"/>
  <c r="E56" i="5" s="1"/>
  <c r="F54" i="5"/>
  <c r="F53" i="5"/>
  <c r="B57" i="5"/>
  <c r="B56" i="5" s="1"/>
  <c r="C57" i="5"/>
  <c r="G53" i="5"/>
  <c r="G54" i="5"/>
  <c r="F10" i="5"/>
  <c r="F13" i="4"/>
  <c r="E12" i="4"/>
  <c r="AG12" i="4" s="1"/>
  <c r="E56" i="4"/>
  <c r="F57" i="4"/>
  <c r="E60" i="4"/>
  <c r="G57" i="4"/>
  <c r="D60" i="4"/>
  <c r="D59" i="4" s="1"/>
  <c r="D56" i="4"/>
  <c r="C56" i="4"/>
  <c r="G44" i="4"/>
  <c r="B39" i="4"/>
  <c r="B44" i="4"/>
  <c r="B56" i="4"/>
  <c r="B60" i="4"/>
  <c r="B59" i="4" s="1"/>
  <c r="E45" i="4"/>
  <c r="F41" i="4"/>
  <c r="G41" i="4"/>
  <c r="F40" i="4"/>
  <c r="E39" i="4"/>
  <c r="C39" i="4"/>
  <c r="AE57" i="2"/>
  <c r="AC57" i="2"/>
  <c r="AA57" i="2"/>
  <c r="Y57" i="2"/>
  <c r="W57" i="2"/>
  <c r="U57" i="2"/>
  <c r="S57" i="2"/>
  <c r="Q57" i="2"/>
  <c r="O57" i="2"/>
  <c r="M57" i="2"/>
  <c r="K57" i="2"/>
  <c r="H58" i="2"/>
  <c r="X26" i="3"/>
  <c r="X34" i="3" s="1"/>
  <c r="X38" i="3" s="1"/>
  <c r="V26" i="3"/>
  <c r="V34" i="3" s="1"/>
  <c r="V38" i="3" s="1"/>
  <c r="T26" i="3"/>
  <c r="T34" i="3" s="1"/>
  <c r="T38" i="3" s="1"/>
  <c r="R26" i="3"/>
  <c r="R34" i="3" s="1"/>
  <c r="R38" i="3" s="1"/>
  <c r="P26" i="3"/>
  <c r="P34" i="3" s="1"/>
  <c r="P38" i="3" s="1"/>
  <c r="N26" i="3"/>
  <c r="N34" i="3" s="1"/>
  <c r="N38" i="3" s="1"/>
  <c r="L26" i="3"/>
  <c r="L34" i="3" s="1"/>
  <c r="L38" i="3" s="1"/>
  <c r="J26" i="3"/>
  <c r="J34" i="3" s="1"/>
  <c r="J38" i="3" s="1"/>
  <c r="F11" i="4"/>
  <c r="F10" i="4"/>
  <c r="G11" i="4"/>
  <c r="G13" i="4"/>
  <c r="G18" i="3"/>
  <c r="G21" i="3"/>
  <c r="F18" i="3"/>
  <c r="F21" i="3"/>
  <c r="G24" i="3"/>
  <c r="D42" i="5" l="1"/>
  <c r="F42" i="5" s="1"/>
  <c r="F101" i="6"/>
  <c r="G101" i="6"/>
  <c r="C56" i="5"/>
  <c r="G56" i="5" s="1"/>
  <c r="C46" i="5"/>
  <c r="C45" i="5" s="1"/>
  <c r="C59" i="4"/>
  <c r="AG60" i="4"/>
  <c r="C68" i="4"/>
  <c r="AG68" i="4" s="1"/>
  <c r="AG64" i="4"/>
  <c r="AG39" i="4"/>
  <c r="AG56" i="4"/>
  <c r="C43" i="4"/>
  <c r="AG45" i="4"/>
  <c r="G43" i="5"/>
  <c r="E46" i="5"/>
  <c r="E45" i="5" s="1"/>
  <c r="E42" i="5"/>
  <c r="H57" i="2"/>
  <c r="B43" i="4"/>
  <c r="AG50" i="2"/>
  <c r="G50" i="2"/>
  <c r="C58" i="2"/>
  <c r="G58" i="2" s="1"/>
  <c r="G54" i="2"/>
  <c r="AG54" i="2"/>
  <c r="G59" i="2"/>
  <c r="C53" i="2"/>
  <c r="G64" i="4"/>
  <c r="D35" i="3"/>
  <c r="D39" i="3" s="1"/>
  <c r="D30" i="3"/>
  <c r="B68" i="4"/>
  <c r="F68" i="4" s="1"/>
  <c r="F64" i="4"/>
  <c r="J30" i="3"/>
  <c r="L30" i="3"/>
  <c r="N30" i="3"/>
  <c r="P30" i="3"/>
  <c r="E39" i="3"/>
  <c r="F23" i="3"/>
  <c r="E32" i="3"/>
  <c r="B36" i="3"/>
  <c r="B32" i="3"/>
  <c r="G57" i="5"/>
  <c r="C61" i="5"/>
  <c r="C67" i="5"/>
  <c r="F57" i="5"/>
  <c r="F56" i="5"/>
  <c r="G39" i="4"/>
  <c r="F39" i="4"/>
  <c r="G45" i="4"/>
  <c r="F45" i="4"/>
  <c r="F44" i="4"/>
  <c r="E43" i="4"/>
  <c r="E59" i="4"/>
  <c r="G60" i="4"/>
  <c r="F60" i="4"/>
  <c r="G56" i="4"/>
  <c r="F56" i="4"/>
  <c r="B27" i="3"/>
  <c r="B31" i="3" s="1"/>
  <c r="G10" i="4"/>
  <c r="G12" i="4"/>
  <c r="F12" i="4"/>
  <c r="F12" i="3"/>
  <c r="F15" i="3"/>
  <c r="G15" i="3"/>
  <c r="E26" i="3"/>
  <c r="B48" i="2"/>
  <c r="F48" i="2" s="1"/>
  <c r="I19" i="2"/>
  <c r="J19" i="2"/>
  <c r="K19" i="2"/>
  <c r="L19" i="2"/>
  <c r="M19" i="2"/>
  <c r="N19" i="2"/>
  <c r="O19" i="2"/>
  <c r="P19" i="2"/>
  <c r="Q19" i="2"/>
  <c r="R19" i="2"/>
  <c r="S19" i="2"/>
  <c r="T19" i="2"/>
  <c r="U19" i="2"/>
  <c r="V19" i="2"/>
  <c r="W19" i="2"/>
  <c r="X19" i="2"/>
  <c r="Y19" i="2"/>
  <c r="Z19" i="2"/>
  <c r="AA19" i="2"/>
  <c r="AB19" i="2"/>
  <c r="AC19" i="2"/>
  <c r="AD19" i="2"/>
  <c r="AE19" i="2"/>
  <c r="I20" i="2"/>
  <c r="I38" i="2" s="1"/>
  <c r="J20" i="2"/>
  <c r="J12" i="2" s="1"/>
  <c r="K20" i="2"/>
  <c r="K38" i="2" s="1"/>
  <c r="L20" i="2"/>
  <c r="L12" i="2" s="1"/>
  <c r="M20" i="2"/>
  <c r="M38" i="2" s="1"/>
  <c r="N20" i="2"/>
  <c r="N12" i="2" s="1"/>
  <c r="O20" i="2"/>
  <c r="O38" i="2" s="1"/>
  <c r="P12" i="2"/>
  <c r="Q20" i="2"/>
  <c r="Q38" i="2" s="1"/>
  <c r="R20" i="2"/>
  <c r="R12" i="2" s="1"/>
  <c r="S20" i="2"/>
  <c r="S38" i="2" s="1"/>
  <c r="T20" i="2"/>
  <c r="T12" i="2" s="1"/>
  <c r="U20" i="2"/>
  <c r="U38" i="2" s="1"/>
  <c r="V20" i="2"/>
  <c r="V12" i="2" s="1"/>
  <c r="W20" i="2"/>
  <c r="W38" i="2" s="1"/>
  <c r="X20" i="2"/>
  <c r="X12" i="2" s="1"/>
  <c r="Y20" i="2"/>
  <c r="Y38" i="2" s="1"/>
  <c r="Z20" i="2"/>
  <c r="Z12" i="2" s="1"/>
  <c r="AA20" i="2"/>
  <c r="AA38" i="2" s="1"/>
  <c r="AB20" i="2"/>
  <c r="AB12" i="2" s="1"/>
  <c r="AC20" i="2"/>
  <c r="AC38" i="2" s="1"/>
  <c r="AD20" i="2"/>
  <c r="AD12" i="2" s="1"/>
  <c r="AE20" i="2"/>
  <c r="AE38" i="2" s="1"/>
  <c r="H20" i="2"/>
  <c r="H12" i="2" s="1"/>
  <c r="C33" i="2"/>
  <c r="B34" i="2"/>
  <c r="B31" i="2"/>
  <c r="B27" i="2"/>
  <c r="F27" i="2" s="1"/>
  <c r="B23" i="2"/>
  <c r="F23" i="2" s="1"/>
  <c r="B24" i="2"/>
  <c r="F24" i="2" s="1"/>
  <c r="C14" i="2"/>
  <c r="B15" i="2"/>
  <c r="F15" i="2" s="1"/>
  <c r="B16" i="2"/>
  <c r="F16" i="2" s="1"/>
  <c r="G68" i="4" l="1"/>
  <c r="D69" i="5"/>
  <c r="D68" i="5" s="1"/>
  <c r="F40" i="3"/>
  <c r="F36" i="3"/>
  <c r="G42" i="5"/>
  <c r="E69" i="5"/>
  <c r="C66" i="5"/>
  <c r="AG43" i="4"/>
  <c r="AG59" i="4"/>
  <c r="G46" i="5"/>
  <c r="F46" i="5"/>
  <c r="AG24" i="2"/>
  <c r="G24" i="2"/>
  <c r="B33" i="2"/>
  <c r="F34" i="2"/>
  <c r="AG53" i="2"/>
  <c r="G53" i="2"/>
  <c r="AG28" i="2"/>
  <c r="G28" i="2"/>
  <c r="D11" i="2"/>
  <c r="D37" i="2"/>
  <c r="D62" i="2" s="1"/>
  <c r="D66" i="2" s="1"/>
  <c r="C30" i="2"/>
  <c r="AG31" i="2"/>
  <c r="G31" i="2"/>
  <c r="B30" i="2"/>
  <c r="F30" i="2" s="1"/>
  <c r="F31" i="2"/>
  <c r="C57" i="2"/>
  <c r="B47" i="2"/>
  <c r="B54" i="2"/>
  <c r="F54" i="2" s="1"/>
  <c r="C26" i="2"/>
  <c r="B20" i="2"/>
  <c r="B12" i="2" s="1"/>
  <c r="C22" i="2"/>
  <c r="F27" i="3"/>
  <c r="B30" i="3"/>
  <c r="B14" i="2"/>
  <c r="D14" i="2"/>
  <c r="E14" i="2"/>
  <c r="B22" i="2"/>
  <c r="B19" i="2"/>
  <c r="E22" i="2"/>
  <c r="B26" i="2"/>
  <c r="E26" i="2"/>
  <c r="E33" i="2"/>
  <c r="AG33" i="2" s="1"/>
  <c r="D18" i="2"/>
  <c r="H11" i="2"/>
  <c r="H10" i="2" s="1"/>
  <c r="H18" i="2"/>
  <c r="AE42" i="2"/>
  <c r="AE63" i="2"/>
  <c r="AE67" i="2" s="1"/>
  <c r="AC42" i="2"/>
  <c r="AC63" i="2"/>
  <c r="AC67" i="2" s="1"/>
  <c r="AA42" i="2"/>
  <c r="AA63" i="2"/>
  <c r="AA67" i="2" s="1"/>
  <c r="Y42" i="2"/>
  <c r="Y63" i="2"/>
  <c r="Y67" i="2" s="1"/>
  <c r="W42" i="2"/>
  <c r="W63" i="2"/>
  <c r="W67" i="2" s="1"/>
  <c r="U42" i="2"/>
  <c r="U63" i="2"/>
  <c r="U67" i="2" s="1"/>
  <c r="S42" i="2"/>
  <c r="S63" i="2"/>
  <c r="S67" i="2" s="1"/>
  <c r="Q42" i="2"/>
  <c r="Q63" i="2"/>
  <c r="Q67" i="2" s="1"/>
  <c r="O42" i="2"/>
  <c r="O63" i="2"/>
  <c r="O67" i="2" s="1"/>
  <c r="M42" i="2"/>
  <c r="M63" i="2"/>
  <c r="M67" i="2" s="1"/>
  <c r="K42" i="2"/>
  <c r="K63" i="2"/>
  <c r="K67" i="2" s="1"/>
  <c r="I42" i="2"/>
  <c r="I63" i="2"/>
  <c r="I67" i="2" s="1"/>
  <c r="AE11" i="2"/>
  <c r="AE18" i="2"/>
  <c r="AD37" i="2"/>
  <c r="AD18" i="2"/>
  <c r="AC11" i="2"/>
  <c r="AC18" i="2"/>
  <c r="AB37" i="2"/>
  <c r="AB18" i="2"/>
  <c r="AA11" i="2"/>
  <c r="AA18" i="2"/>
  <c r="Z37" i="2"/>
  <c r="Z18" i="2"/>
  <c r="Y11" i="2"/>
  <c r="Y18" i="2"/>
  <c r="X37" i="2"/>
  <c r="X18" i="2"/>
  <c r="W11" i="2"/>
  <c r="W18" i="2"/>
  <c r="V37" i="2"/>
  <c r="V18" i="2"/>
  <c r="U11" i="2"/>
  <c r="U18" i="2"/>
  <c r="T37" i="2"/>
  <c r="T18" i="2"/>
  <c r="S11" i="2"/>
  <c r="S18" i="2"/>
  <c r="R37" i="2"/>
  <c r="R18" i="2"/>
  <c r="Q11" i="2"/>
  <c r="Q18" i="2"/>
  <c r="P37" i="2"/>
  <c r="P18" i="2"/>
  <c r="O11" i="2"/>
  <c r="O18" i="2"/>
  <c r="N37" i="2"/>
  <c r="N18" i="2"/>
  <c r="M11" i="2"/>
  <c r="M18" i="2"/>
  <c r="L37" i="2"/>
  <c r="L18" i="2"/>
  <c r="K11" i="2"/>
  <c r="K18" i="2"/>
  <c r="J37" i="2"/>
  <c r="J18" i="2"/>
  <c r="I11" i="2"/>
  <c r="I18" i="2"/>
  <c r="E47" i="2"/>
  <c r="G35" i="3"/>
  <c r="C60" i="5"/>
  <c r="F32" i="3"/>
  <c r="G32" i="3"/>
  <c r="G40" i="3"/>
  <c r="F31" i="3"/>
  <c r="E38" i="3"/>
  <c r="D38" i="3"/>
  <c r="F61" i="5"/>
  <c r="E61" i="5"/>
  <c r="E67" i="5"/>
  <c r="F45" i="5"/>
  <c r="G45" i="5"/>
  <c r="G59" i="4"/>
  <c r="F59" i="4"/>
  <c r="F43" i="4"/>
  <c r="G43" i="4"/>
  <c r="B35" i="3"/>
  <c r="F35" i="3" s="1"/>
  <c r="B26" i="3"/>
  <c r="F26" i="3" s="1"/>
  <c r="G27" i="3"/>
  <c r="G28" i="3"/>
  <c r="G26" i="3"/>
  <c r="F28" i="3"/>
  <c r="D12" i="2"/>
  <c r="Q12" i="2"/>
  <c r="H38" i="2"/>
  <c r="X11" i="2"/>
  <c r="X10" i="2" s="1"/>
  <c r="Y12" i="2"/>
  <c r="I12" i="2"/>
  <c r="P11" i="2"/>
  <c r="P10" i="2" s="1"/>
  <c r="E20" i="2"/>
  <c r="AC12" i="2"/>
  <c r="U12" i="2"/>
  <c r="M12" i="2"/>
  <c r="AB11" i="2"/>
  <c r="AB10" i="2" s="1"/>
  <c r="T11" i="2"/>
  <c r="T10" i="2" s="1"/>
  <c r="L11" i="2"/>
  <c r="L10" i="2" s="1"/>
  <c r="D38" i="2"/>
  <c r="AD38" i="2"/>
  <c r="AB38" i="2"/>
  <c r="Z38" i="2"/>
  <c r="X38" i="2"/>
  <c r="V38" i="2"/>
  <c r="T38" i="2"/>
  <c r="R38" i="2"/>
  <c r="P38" i="2"/>
  <c r="N38" i="2"/>
  <c r="L38" i="2"/>
  <c r="J38" i="2"/>
  <c r="AE37" i="2"/>
  <c r="AC37" i="2"/>
  <c r="AA37" i="2"/>
  <c r="Y37" i="2"/>
  <c r="W37" i="2"/>
  <c r="U37" i="2"/>
  <c r="S37" i="2"/>
  <c r="Q37" i="2"/>
  <c r="O37" i="2"/>
  <c r="M37" i="2"/>
  <c r="K37" i="2"/>
  <c r="I37" i="2"/>
  <c r="C20" i="2"/>
  <c r="C12" i="2" s="1"/>
  <c r="E19" i="2"/>
  <c r="AE12" i="2"/>
  <c r="AA12" i="2"/>
  <c r="W12" i="2"/>
  <c r="S12" i="2"/>
  <c r="O12" i="2"/>
  <c r="K12" i="2"/>
  <c r="AD11" i="2"/>
  <c r="AD10" i="2" s="1"/>
  <c r="Z11" i="2"/>
  <c r="Z10" i="2" s="1"/>
  <c r="V11" i="2"/>
  <c r="V10" i="2" s="1"/>
  <c r="R11" i="2"/>
  <c r="R10" i="2" s="1"/>
  <c r="N11" i="2"/>
  <c r="N10" i="2" s="1"/>
  <c r="J11" i="2"/>
  <c r="J10" i="2" s="1"/>
  <c r="C11" i="2"/>
  <c r="D71" i="5" l="1"/>
  <c r="D70" i="5" s="1"/>
  <c r="C68" i="5"/>
  <c r="G31" i="3"/>
  <c r="G14" i="2"/>
  <c r="F14" i="2"/>
  <c r="AG14" i="2"/>
  <c r="G19" i="2"/>
  <c r="F19" i="2"/>
  <c r="G20" i="2"/>
  <c r="F20" i="2"/>
  <c r="F22" i="2"/>
  <c r="G22" i="2"/>
  <c r="AG22" i="2"/>
  <c r="AG20" i="2"/>
  <c r="G33" i="2"/>
  <c r="F33" i="2"/>
  <c r="AG19" i="2"/>
  <c r="C10" i="2"/>
  <c r="G26" i="2"/>
  <c r="F26" i="2"/>
  <c r="AG26" i="2"/>
  <c r="AG30" i="2"/>
  <c r="G30" i="2"/>
  <c r="G47" i="2"/>
  <c r="AG47" i="2"/>
  <c r="F47" i="2"/>
  <c r="D42" i="2"/>
  <c r="D36" i="2"/>
  <c r="B58" i="2"/>
  <c r="B53" i="2"/>
  <c r="F53" i="2" s="1"/>
  <c r="C18" i="2"/>
  <c r="C38" i="2"/>
  <c r="D10" i="2"/>
  <c r="H41" i="2"/>
  <c r="E18" i="2"/>
  <c r="I41" i="2"/>
  <c r="I40" i="2" s="1"/>
  <c r="I62" i="2"/>
  <c r="K41" i="2"/>
  <c r="K40" i="2" s="1"/>
  <c r="K62" i="2"/>
  <c r="M41" i="2"/>
  <c r="M40" i="2" s="1"/>
  <c r="M62" i="2"/>
  <c r="O41" i="2"/>
  <c r="O40" i="2" s="1"/>
  <c r="O62" i="2"/>
  <c r="Q41" i="2"/>
  <c r="Q40" i="2" s="1"/>
  <c r="Q62" i="2"/>
  <c r="S41" i="2"/>
  <c r="S40" i="2" s="1"/>
  <c r="S62" i="2"/>
  <c r="U41" i="2"/>
  <c r="U40" i="2" s="1"/>
  <c r="U62" i="2"/>
  <c r="W41" i="2"/>
  <c r="W40" i="2" s="1"/>
  <c r="W62" i="2"/>
  <c r="Y41" i="2"/>
  <c r="Y40" i="2" s="1"/>
  <c r="Y62" i="2"/>
  <c r="AA41" i="2"/>
  <c r="AA40" i="2" s="1"/>
  <c r="AA62" i="2"/>
  <c r="AC41" i="2"/>
  <c r="AC40" i="2" s="1"/>
  <c r="AC62" i="2"/>
  <c r="AE41" i="2"/>
  <c r="AE40" i="2" s="1"/>
  <c r="AE62" i="2"/>
  <c r="J42" i="2"/>
  <c r="J63" i="2"/>
  <c r="L42" i="2"/>
  <c r="L63" i="2"/>
  <c r="N42" i="2"/>
  <c r="N63" i="2"/>
  <c r="P42" i="2"/>
  <c r="P63" i="2"/>
  <c r="R42" i="2"/>
  <c r="R63" i="2"/>
  <c r="T42" i="2"/>
  <c r="T63" i="2"/>
  <c r="V42" i="2"/>
  <c r="V63" i="2"/>
  <c r="X42" i="2"/>
  <c r="X63" i="2"/>
  <c r="Z42" i="2"/>
  <c r="Z63" i="2"/>
  <c r="AB42" i="2"/>
  <c r="AB63" i="2"/>
  <c r="AD42" i="2"/>
  <c r="AD63" i="2"/>
  <c r="D41" i="2"/>
  <c r="H42" i="2"/>
  <c r="H63" i="2"/>
  <c r="F34" i="3"/>
  <c r="F38" i="3"/>
  <c r="E68" i="5"/>
  <c r="E71" i="5"/>
  <c r="E70" i="5" s="1"/>
  <c r="F30" i="3"/>
  <c r="G30" i="3"/>
  <c r="C71" i="5"/>
  <c r="C38" i="3"/>
  <c r="G38" i="3" s="1"/>
  <c r="G39" i="3"/>
  <c r="I10" i="2"/>
  <c r="J41" i="2"/>
  <c r="J62" i="2"/>
  <c r="J66" i="2" s="1"/>
  <c r="K10" i="2"/>
  <c r="L41" i="2"/>
  <c r="L62" i="2"/>
  <c r="L66" i="2" s="1"/>
  <c r="M10" i="2"/>
  <c r="N41" i="2"/>
  <c r="N62" i="2"/>
  <c r="N66" i="2" s="1"/>
  <c r="O10" i="2"/>
  <c r="P41" i="2"/>
  <c r="P62" i="2"/>
  <c r="P66" i="2" s="1"/>
  <c r="Q10" i="2"/>
  <c r="R41" i="2"/>
  <c r="R62" i="2"/>
  <c r="R66" i="2" s="1"/>
  <c r="S10" i="2"/>
  <c r="T41" i="2"/>
  <c r="T62" i="2"/>
  <c r="T66" i="2" s="1"/>
  <c r="U10" i="2"/>
  <c r="V41" i="2"/>
  <c r="V62" i="2"/>
  <c r="V66" i="2" s="1"/>
  <c r="W10" i="2"/>
  <c r="X41" i="2"/>
  <c r="X62" i="2"/>
  <c r="X66" i="2" s="1"/>
  <c r="Y10" i="2"/>
  <c r="Z41" i="2"/>
  <c r="Z62" i="2"/>
  <c r="Z66" i="2" s="1"/>
  <c r="AA10" i="2"/>
  <c r="AB41" i="2"/>
  <c r="AB62" i="2"/>
  <c r="AB66" i="2" s="1"/>
  <c r="AC10" i="2"/>
  <c r="AD41" i="2"/>
  <c r="AD62" i="2"/>
  <c r="AD66" i="2" s="1"/>
  <c r="AE10" i="2"/>
  <c r="B18" i="2"/>
  <c r="B37" i="2"/>
  <c r="B62" i="2" s="1"/>
  <c r="B66" i="2" s="1"/>
  <c r="B11" i="2"/>
  <c r="B10" i="2" s="1"/>
  <c r="E66" i="5"/>
  <c r="G66" i="5" s="1"/>
  <c r="G67" i="5"/>
  <c r="G61" i="5"/>
  <c r="E60" i="5"/>
  <c r="F63" i="5"/>
  <c r="B67" i="5"/>
  <c r="G36" i="3"/>
  <c r="K36" i="2"/>
  <c r="O36" i="2"/>
  <c r="S36" i="2"/>
  <c r="W36" i="2"/>
  <c r="AA36" i="2"/>
  <c r="AE36" i="2"/>
  <c r="L36" i="2"/>
  <c r="P36" i="2"/>
  <c r="T36" i="2"/>
  <c r="X36" i="2"/>
  <c r="AB36" i="2"/>
  <c r="D63" i="2"/>
  <c r="D67" i="2" s="1"/>
  <c r="H36" i="2"/>
  <c r="I36" i="2"/>
  <c r="M36" i="2"/>
  <c r="Q36" i="2"/>
  <c r="U36" i="2"/>
  <c r="Y36" i="2"/>
  <c r="AC36" i="2"/>
  <c r="J36" i="2"/>
  <c r="N36" i="2"/>
  <c r="R36" i="2"/>
  <c r="V36" i="2"/>
  <c r="Z36" i="2"/>
  <c r="AD36" i="2"/>
  <c r="E12" i="2"/>
  <c r="E38" i="2"/>
  <c r="C37" i="2"/>
  <c r="B38" i="2"/>
  <c r="B63" i="2" s="1"/>
  <c r="B67" i="2" s="1"/>
  <c r="E37" i="2"/>
  <c r="E11" i="2"/>
  <c r="C70" i="5" l="1"/>
  <c r="G34" i="3"/>
  <c r="D40" i="2"/>
  <c r="F37" i="2"/>
  <c r="G37" i="2"/>
  <c r="G12" i="2"/>
  <c r="F12" i="2"/>
  <c r="B57" i="2"/>
  <c r="F58" i="2"/>
  <c r="C62" i="2"/>
  <c r="C66" i="2" s="1"/>
  <c r="AG37" i="2"/>
  <c r="AG38" i="2"/>
  <c r="G11" i="2"/>
  <c r="F11" i="2"/>
  <c r="G38" i="2"/>
  <c r="F38" i="2"/>
  <c r="G18" i="2"/>
  <c r="F18" i="2"/>
  <c r="AG18" i="2"/>
  <c r="C36" i="2"/>
  <c r="C42" i="2"/>
  <c r="C63" i="2"/>
  <c r="E36" i="2"/>
  <c r="E62" i="2"/>
  <c r="H67" i="2"/>
  <c r="H61" i="2"/>
  <c r="F39" i="3"/>
  <c r="E10" i="2"/>
  <c r="E41" i="2"/>
  <c r="B42" i="2"/>
  <c r="C41" i="2"/>
  <c r="E63" i="2"/>
  <c r="E42" i="2"/>
  <c r="B41" i="2"/>
  <c r="B36" i="2"/>
  <c r="E57" i="2"/>
  <c r="D65" i="2"/>
  <c r="D61" i="2"/>
  <c r="AD61" i="2"/>
  <c r="AD67" i="2"/>
  <c r="AD65" i="2" s="1"/>
  <c r="AD40" i="2"/>
  <c r="AB61" i="2"/>
  <c r="AB67" i="2"/>
  <c r="AB65" i="2" s="1"/>
  <c r="AB40" i="2"/>
  <c r="Z61" i="2"/>
  <c r="Z67" i="2"/>
  <c r="Z65" i="2" s="1"/>
  <c r="Z40" i="2"/>
  <c r="X61" i="2"/>
  <c r="X67" i="2"/>
  <c r="X65" i="2" s="1"/>
  <c r="X40" i="2"/>
  <c r="V61" i="2"/>
  <c r="V67" i="2"/>
  <c r="V65" i="2" s="1"/>
  <c r="V40" i="2"/>
  <c r="T61" i="2"/>
  <c r="T67" i="2"/>
  <c r="T65" i="2" s="1"/>
  <c r="T40" i="2"/>
  <c r="R61" i="2"/>
  <c r="R67" i="2"/>
  <c r="R65" i="2" s="1"/>
  <c r="R40" i="2"/>
  <c r="P61" i="2"/>
  <c r="P67" i="2"/>
  <c r="P65" i="2" s="1"/>
  <c r="P40" i="2"/>
  <c r="N61" i="2"/>
  <c r="N67" i="2"/>
  <c r="N65" i="2" s="1"/>
  <c r="N40" i="2"/>
  <c r="L61" i="2"/>
  <c r="L67" i="2"/>
  <c r="L65" i="2" s="1"/>
  <c r="L40" i="2"/>
  <c r="J61" i="2"/>
  <c r="J67" i="2"/>
  <c r="J65" i="2" s="1"/>
  <c r="J40" i="2"/>
  <c r="AE66" i="2"/>
  <c r="AE65" i="2" s="1"/>
  <c r="AE61" i="2"/>
  <c r="AC66" i="2"/>
  <c r="AC65" i="2" s="1"/>
  <c r="AC61" i="2"/>
  <c r="AA66" i="2"/>
  <c r="AA65" i="2" s="1"/>
  <c r="AA61" i="2"/>
  <c r="Y66" i="2"/>
  <c r="Y65" i="2" s="1"/>
  <c r="Y61" i="2"/>
  <c r="W66" i="2"/>
  <c r="W65" i="2" s="1"/>
  <c r="W61" i="2"/>
  <c r="U66" i="2"/>
  <c r="U65" i="2" s="1"/>
  <c r="U61" i="2"/>
  <c r="S66" i="2"/>
  <c r="S65" i="2" s="1"/>
  <c r="S61" i="2"/>
  <c r="Q66" i="2"/>
  <c r="Q65" i="2" s="1"/>
  <c r="Q61" i="2"/>
  <c r="O66" i="2"/>
  <c r="O65" i="2" s="1"/>
  <c r="O61" i="2"/>
  <c r="M66" i="2"/>
  <c r="M65" i="2" s="1"/>
  <c r="M61" i="2"/>
  <c r="K66" i="2"/>
  <c r="K65" i="2" s="1"/>
  <c r="K61" i="2"/>
  <c r="I66" i="2"/>
  <c r="I65" i="2" s="1"/>
  <c r="I61" i="2"/>
  <c r="H66" i="2"/>
  <c r="H40" i="2"/>
  <c r="G60" i="5"/>
  <c r="F60" i="5"/>
  <c r="F67" i="5"/>
  <c r="B66" i="5"/>
  <c r="F66" i="5" s="1"/>
  <c r="C40" i="2" l="1"/>
  <c r="H65" i="2"/>
  <c r="F36" i="2"/>
  <c r="G36" i="2"/>
  <c r="C67" i="2"/>
  <c r="C65" i="2" s="1"/>
  <c r="AG63" i="2"/>
  <c r="F42" i="2"/>
  <c r="G42" i="2"/>
  <c r="G41" i="2"/>
  <c r="F41" i="2"/>
  <c r="E67" i="2"/>
  <c r="F63" i="2"/>
  <c r="G63" i="2"/>
  <c r="G10" i="2"/>
  <c r="F10" i="2"/>
  <c r="AG36" i="2"/>
  <c r="G57" i="2"/>
  <c r="F57" i="2"/>
  <c r="E66" i="2"/>
  <c r="G62" i="2"/>
  <c r="F62" i="2"/>
  <c r="AG62" i="2"/>
  <c r="B65" i="2"/>
  <c r="B40" i="2"/>
  <c r="E61" i="2"/>
  <c r="F61" i="2" s="1"/>
  <c r="C61" i="2"/>
  <c r="E40" i="2"/>
  <c r="B61" i="2"/>
  <c r="G40" i="2" l="1"/>
  <c r="F40" i="2"/>
  <c r="F67" i="2"/>
  <c r="G67" i="2"/>
  <c r="G66" i="2"/>
  <c r="F66" i="2"/>
  <c r="G61" i="2"/>
  <c r="AG61" i="2"/>
  <c r="E65" i="2"/>
  <c r="D26" i="3"/>
  <c r="D17" i="5"/>
  <c r="D16" i="5" s="1"/>
  <c r="B17" i="5"/>
  <c r="B16" i="5" s="1"/>
  <c r="G65" i="2" l="1"/>
  <c r="F65" i="2"/>
  <c r="B13" i="5"/>
  <c r="F13" i="5" s="1"/>
  <c r="E17" i="5"/>
  <c r="F17" i="5" s="1"/>
  <c r="C17" i="5"/>
  <c r="C16" i="5" s="1"/>
  <c r="G14" i="5"/>
  <c r="F14" i="5"/>
  <c r="G13" i="5"/>
  <c r="F69" i="5" l="1"/>
  <c r="G69" i="5"/>
  <c r="G17" i="5"/>
  <c r="E16" i="5"/>
  <c r="F68" i="5" l="1"/>
  <c r="G68" i="5"/>
  <c r="F71" i="5"/>
  <c r="G71" i="5"/>
  <c r="F16" i="5"/>
  <c r="G16" i="5"/>
  <c r="F70" i="5" l="1"/>
  <c r="G70" i="5"/>
  <c r="D21" i="11"/>
  <c r="D18" i="11" s="1"/>
  <c r="E18" i="11"/>
  <c r="G11" i="11"/>
  <c r="E17" i="4" l="1"/>
  <c r="E23" i="4" s="1"/>
  <c r="E62" i="4" s="1"/>
  <c r="E61" i="4" s="1"/>
  <c r="I23" i="4"/>
  <c r="I22" i="4" s="1"/>
  <c r="H23" i="4"/>
  <c r="H22" i="4" s="1"/>
  <c r="D17" i="4"/>
  <c r="D16" i="4" s="1"/>
  <c r="D15" i="4" s="1"/>
  <c r="I16" i="4"/>
  <c r="I15" i="4" s="1"/>
  <c r="H16" i="4"/>
  <c r="H15" i="4" s="1"/>
  <c r="H26" i="4" l="1"/>
  <c r="H25" i="4" s="1"/>
  <c r="I26" i="4"/>
  <c r="I25" i="4" s="1"/>
  <c r="D23" i="4"/>
  <c r="I62" i="4"/>
  <c r="E22" i="4"/>
  <c r="E26" i="4"/>
  <c r="H62" i="4"/>
  <c r="E66" i="4"/>
  <c r="E65" i="4" s="1"/>
  <c r="E16" i="4"/>
  <c r="E25" i="4" l="1"/>
  <c r="D22" i="4"/>
  <c r="D26" i="4"/>
  <c r="D25" i="4" s="1"/>
  <c r="D62" i="4"/>
  <c r="D61" i="4" s="1"/>
  <c r="E15" i="4"/>
  <c r="H61" i="4"/>
  <c r="H66" i="4"/>
  <c r="H65" i="4" s="1"/>
  <c r="I61" i="4"/>
  <c r="I66" i="4"/>
  <c r="I65" i="4" s="1"/>
  <c r="D66" i="4" l="1"/>
  <c r="D65" i="4" s="1"/>
  <c r="K23" i="4"/>
  <c r="K26" i="4" s="1"/>
  <c r="K25" i="4" s="1"/>
  <c r="X23" i="4"/>
  <c r="X22" i="4" s="1"/>
  <c r="L23" i="4"/>
  <c r="Y23" i="4"/>
  <c r="Y62" i="4" s="1"/>
  <c r="AA23" i="4"/>
  <c r="AA22" i="4" s="1"/>
  <c r="R23" i="4"/>
  <c r="R26" i="4" s="1"/>
  <c r="R25" i="4" s="1"/>
  <c r="W23" i="4"/>
  <c r="W62" i="4" s="1"/>
  <c r="U23" i="4"/>
  <c r="U62" i="4" s="1"/>
  <c r="S23" i="4"/>
  <c r="S62" i="4" s="1"/>
  <c r="AB23" i="4"/>
  <c r="AB26" i="4" s="1"/>
  <c r="AB25" i="4" s="1"/>
  <c r="AC16" i="4"/>
  <c r="AC15" i="4" s="1"/>
  <c r="AC23" i="4"/>
  <c r="AC26" i="4" s="1"/>
  <c r="AC25" i="4" s="1"/>
  <c r="M62" i="4"/>
  <c r="M66" i="4" s="1"/>
  <c r="M65" i="4" s="1"/>
  <c r="K16" i="4"/>
  <c r="K15" i="4" s="1"/>
  <c r="J23" i="4"/>
  <c r="J26" i="4" s="1"/>
  <c r="J25" i="4" s="1"/>
  <c r="Q16" i="4"/>
  <c r="Q15" i="4" s="1"/>
  <c r="Q23" i="4"/>
  <c r="Q22" i="4" s="1"/>
  <c r="T23" i="4"/>
  <c r="T22" i="4" s="1"/>
  <c r="V16" i="4"/>
  <c r="V15" i="4" s="1"/>
  <c r="V23" i="4"/>
  <c r="V26" i="4" s="1"/>
  <c r="V25" i="4" s="1"/>
  <c r="Z23" i="4"/>
  <c r="Z22" i="4" s="1"/>
  <c r="X16" i="4"/>
  <c r="X15" i="4" s="1"/>
  <c r="T16" i="4"/>
  <c r="T15" i="4" s="1"/>
  <c r="L16" i="4"/>
  <c r="L15" i="4" s="1"/>
  <c r="Y16" i="4"/>
  <c r="Y15" i="4" s="1"/>
  <c r="U16" i="4"/>
  <c r="U15" i="4" s="1"/>
  <c r="M16" i="4"/>
  <c r="M15" i="4" s="1"/>
  <c r="Z16" i="4"/>
  <c r="Z15" i="4" s="1"/>
  <c r="S16" i="4"/>
  <c r="S15" i="4" s="1"/>
  <c r="R16" i="4"/>
  <c r="R15" i="4" s="1"/>
  <c r="AB16" i="4"/>
  <c r="AB15" i="4" s="1"/>
  <c r="O16" i="4"/>
  <c r="O15" i="4" s="1"/>
  <c r="O23" i="4"/>
  <c r="O26" i="4" s="1"/>
  <c r="O25" i="4" s="1"/>
  <c r="J16" i="4"/>
  <c r="J15" i="4" s="1"/>
  <c r="B17" i="4"/>
  <c r="B16" i="4" s="1"/>
  <c r="N16" i="4"/>
  <c r="N15" i="4" s="1"/>
  <c r="N23" i="4"/>
  <c r="N62" i="4" s="1"/>
  <c r="W16" i="4"/>
  <c r="W15" i="4" s="1"/>
  <c r="AA16" i="4"/>
  <c r="AA15" i="4" s="1"/>
  <c r="P16" i="4"/>
  <c r="P15" i="4" s="1"/>
  <c r="P23" i="4"/>
  <c r="P26" i="4" s="1"/>
  <c r="P25" i="4" s="1"/>
  <c r="L22" i="4" l="1"/>
  <c r="L62" i="4"/>
  <c r="L61" i="4" s="1"/>
  <c r="J62" i="4"/>
  <c r="J66" i="4" s="1"/>
  <c r="J65" i="4" s="1"/>
  <c r="AC62" i="4"/>
  <c r="AC61" i="4" s="1"/>
  <c r="M25" i="4"/>
  <c r="AB62" i="4"/>
  <c r="R62" i="4"/>
  <c r="R61" i="4" s="1"/>
  <c r="Z26" i="4"/>
  <c r="Z25" i="4" s="1"/>
  <c r="Z62" i="4"/>
  <c r="Z61" i="4" s="1"/>
  <c r="AA62" i="4"/>
  <c r="AA66" i="4" s="1"/>
  <c r="AA65" i="4" s="1"/>
  <c r="J22" i="4"/>
  <c r="Y26" i="4"/>
  <c r="Y25" i="4" s="1"/>
  <c r="AB22" i="4"/>
  <c r="M22" i="4"/>
  <c r="B23" i="4"/>
  <c r="F23" i="4" s="1"/>
  <c r="O62" i="4"/>
  <c r="O22" i="4"/>
  <c r="W61" i="4"/>
  <c r="W66" i="4"/>
  <c r="W65" i="4" s="1"/>
  <c r="Y66" i="4"/>
  <c r="Y65" i="4" s="1"/>
  <c r="Y61" i="4"/>
  <c r="U61" i="4"/>
  <c r="U66" i="4"/>
  <c r="U65" i="4" s="1"/>
  <c r="B15" i="4"/>
  <c r="F15" i="4" s="1"/>
  <c r="F16" i="4"/>
  <c r="N66" i="4"/>
  <c r="N65" i="4" s="1"/>
  <c r="N61" i="4"/>
  <c r="S66" i="4"/>
  <c r="S65" i="4" s="1"/>
  <c r="S61" i="4"/>
  <c r="W22" i="4"/>
  <c r="V62" i="4"/>
  <c r="V22" i="4"/>
  <c r="L26" i="4"/>
  <c r="L25" i="4" s="1"/>
  <c r="AA26" i="4"/>
  <c r="AA25" i="4" s="1"/>
  <c r="R22" i="4"/>
  <c r="W26" i="4"/>
  <c r="W25" i="4" s="1"/>
  <c r="AC22" i="4"/>
  <c r="Q62" i="4"/>
  <c r="Q26" i="4"/>
  <c r="Q25" i="4" s="1"/>
  <c r="T62" i="4"/>
  <c r="P22" i="4"/>
  <c r="Y22" i="4"/>
  <c r="K22" i="4"/>
  <c r="S26" i="4"/>
  <c r="S25" i="4" s="1"/>
  <c r="F17" i="4"/>
  <c r="U26" i="4"/>
  <c r="U25" i="4" s="1"/>
  <c r="K62" i="4"/>
  <c r="U22" i="4"/>
  <c r="N22" i="4"/>
  <c r="S22" i="4"/>
  <c r="P62" i="4"/>
  <c r="T26" i="4"/>
  <c r="T25" i="4" s="1"/>
  <c r="M61" i="4"/>
  <c r="N26" i="4"/>
  <c r="N25" i="4" s="1"/>
  <c r="X62" i="4"/>
  <c r="X26" i="4"/>
  <c r="X25" i="4" s="1"/>
  <c r="Z66" i="4" l="1"/>
  <c r="Z65" i="4" s="1"/>
  <c r="J61" i="4"/>
  <c r="AC66" i="4"/>
  <c r="AC65" i="4" s="1"/>
  <c r="R66" i="4"/>
  <c r="R65" i="4" s="1"/>
  <c r="AB61" i="4"/>
  <c r="AB66" i="4"/>
  <c r="AB65" i="4" s="1"/>
  <c r="O66" i="4"/>
  <c r="O65" i="4" s="1"/>
  <c r="O61" i="4"/>
  <c r="L66" i="4"/>
  <c r="L65" i="4" s="1"/>
  <c r="AA61" i="4"/>
  <c r="B22" i="4"/>
  <c r="F22" i="4" s="1"/>
  <c r="B26" i="4"/>
  <c r="B62" i="4"/>
  <c r="B61" i="4" s="1"/>
  <c r="P66" i="4"/>
  <c r="P65" i="4" s="1"/>
  <c r="P61" i="4"/>
  <c r="K66" i="4"/>
  <c r="K65" i="4" s="1"/>
  <c r="K61" i="4"/>
  <c r="X66" i="4"/>
  <c r="X65" i="4" s="1"/>
  <c r="X61" i="4"/>
  <c r="T61" i="4"/>
  <c r="T66" i="4"/>
  <c r="T65" i="4" s="1"/>
  <c r="Q61" i="4"/>
  <c r="Q66" i="4"/>
  <c r="Q65" i="4" s="1"/>
  <c r="V61" i="4"/>
  <c r="V66" i="4"/>
  <c r="V65" i="4" s="1"/>
  <c r="AE23" i="4"/>
  <c r="AE26" i="4" s="1"/>
  <c r="AE25" i="4" s="1"/>
  <c r="AE16" i="4"/>
  <c r="AE15" i="4" s="1"/>
  <c r="C17" i="4"/>
  <c r="C23" i="4" s="1"/>
  <c r="C62" i="4" l="1"/>
  <c r="C61" i="4" s="1"/>
  <c r="C26" i="4"/>
  <c r="C16" i="4"/>
  <c r="AG16" i="4" s="1"/>
  <c r="AG17" i="4"/>
  <c r="F61" i="4"/>
  <c r="F62" i="4"/>
  <c r="B66" i="4"/>
  <c r="B65" i="4" s="1"/>
  <c r="F26" i="4"/>
  <c r="B25" i="4"/>
  <c r="F25" i="4" s="1"/>
  <c r="AE22" i="4"/>
  <c r="AE62" i="4"/>
  <c r="G17" i="4"/>
  <c r="G16" i="4" l="1"/>
  <c r="C66" i="4"/>
  <c r="C65" i="4" s="1"/>
  <c r="C15" i="4"/>
  <c r="G15" i="4" s="1"/>
  <c r="C25" i="4"/>
  <c r="AG23" i="4"/>
  <c r="C22" i="4"/>
  <c r="G23" i="4"/>
  <c r="F66" i="4"/>
  <c r="F65" i="4"/>
  <c r="AE61" i="4"/>
  <c r="AE66" i="4"/>
  <c r="AE65" i="4" s="1"/>
  <c r="AG15" i="4" l="1"/>
  <c r="AG62" i="4"/>
  <c r="G25" i="4"/>
  <c r="AG25" i="4"/>
  <c r="G22" i="4"/>
  <c r="AG22" i="4"/>
  <c r="G26" i="4"/>
  <c r="AG26" i="4"/>
  <c r="G62" i="4"/>
  <c r="G66" i="4" l="1"/>
  <c r="AG66" i="4"/>
  <c r="G61" i="4"/>
  <c r="AG61" i="4"/>
  <c r="B19" i="11"/>
  <c r="I13" i="11"/>
  <c r="I14" i="11"/>
  <c r="I103" i="11" s="1"/>
  <c r="B20" i="11"/>
  <c r="F20" i="11" s="1"/>
  <c r="H13" i="11"/>
  <c r="C20" i="11"/>
  <c r="H14" i="11"/>
  <c r="H103" i="11" s="1"/>
  <c r="C19" i="11"/>
  <c r="D13" i="11" l="1"/>
  <c r="D102" i="11" s="1"/>
  <c r="I102" i="11"/>
  <c r="H107" i="11"/>
  <c r="H102" i="11"/>
  <c r="G20" i="11"/>
  <c r="G19" i="11"/>
  <c r="G65" i="4"/>
  <c r="AG65" i="4"/>
  <c r="D14" i="11"/>
  <c r="D108" i="11" s="1"/>
  <c r="F19" i="11"/>
  <c r="H108" i="11"/>
  <c r="I108" i="11"/>
  <c r="D107" i="11"/>
  <c r="B14" i="11"/>
  <c r="C14" i="11"/>
  <c r="I107" i="11"/>
  <c r="C13" i="11"/>
  <c r="B13" i="11"/>
  <c r="B102" i="11" s="1"/>
  <c r="C102" i="11" l="1"/>
  <c r="D103" i="11"/>
  <c r="D106" i="11" s="1"/>
  <c r="C103" i="11"/>
  <c r="C108" i="11"/>
  <c r="B107" i="11"/>
  <c r="C107" i="11"/>
  <c r="F103" i="11"/>
  <c r="B108" i="11"/>
  <c r="F108" i="11" s="1"/>
  <c r="G108" i="11" l="1"/>
  <c r="G103" i="11"/>
  <c r="F107" i="11"/>
  <c r="B22" i="11"/>
  <c r="F22" i="11" s="1"/>
  <c r="I16" i="11"/>
  <c r="I110" i="11" s="1"/>
  <c r="C22" i="11"/>
  <c r="C18" i="11" s="1"/>
  <c r="H16" i="11"/>
  <c r="C16" i="11" s="1"/>
  <c r="G22" i="11" l="1"/>
  <c r="D16" i="11"/>
  <c r="D110" i="11" s="1"/>
  <c r="C110" i="11"/>
  <c r="C105" i="11"/>
  <c r="B16" i="11"/>
  <c r="H110" i="11"/>
  <c r="I12" i="11"/>
  <c r="H105" i="11"/>
  <c r="I105" i="11"/>
  <c r="I11" i="11" l="1"/>
  <c r="D105" i="11"/>
  <c r="D12" i="11"/>
  <c r="D11" i="11" s="1"/>
  <c r="B110" i="11"/>
  <c r="F110" i="11" s="1"/>
  <c r="B105" i="11"/>
  <c r="F105" i="11" s="1"/>
  <c r="G105" i="11"/>
  <c r="G110" i="11"/>
  <c r="I18" i="11"/>
  <c r="B21" i="11"/>
  <c r="B18" i="11" s="1"/>
  <c r="H18" i="11"/>
  <c r="H15" i="11"/>
  <c r="H12" i="11" s="1"/>
  <c r="G21" i="11" l="1"/>
  <c r="C15" i="11"/>
  <c r="C104" i="11" s="1"/>
  <c r="B15" i="11"/>
  <c r="H11" i="11"/>
  <c r="H109" i="11"/>
  <c r="H106" i="11" s="1"/>
  <c r="H104" i="11" s="1"/>
  <c r="H101" i="11" s="1"/>
  <c r="F21" i="11"/>
  <c r="B104" i="11" l="1"/>
  <c r="B109" i="11"/>
  <c r="B106" i="11" s="1"/>
  <c r="C101" i="11"/>
  <c r="C106" i="11"/>
  <c r="B12" i="11"/>
  <c r="B11" i="11" s="1"/>
  <c r="G18" i="11"/>
  <c r="B101" i="11"/>
  <c r="C12" i="11"/>
  <c r="F18" i="11"/>
  <c r="C109" i="11" l="1"/>
  <c r="C11" i="11"/>
  <c r="D80" i="6"/>
  <c r="D78" i="6" l="1"/>
  <c r="D77" i="6" l="1"/>
  <c r="D99" i="6"/>
  <c r="F78" i="6"/>
  <c r="D102" i="6" l="1"/>
  <c r="D101" i="6" s="1"/>
  <c r="D98" i="6"/>
  <c r="F98" i="6" s="1"/>
  <c r="F99" i="6"/>
  <c r="E107" i="6"/>
  <c r="C107" i="6"/>
  <c r="B107" i="6"/>
  <c r="B106" i="6" s="1"/>
  <c r="D107" i="6"/>
  <c r="D106" i="6" s="1"/>
  <c r="C106" i="6" l="1"/>
  <c r="C133" i="6"/>
  <c r="C130" i="6" s="1"/>
  <c r="G107" i="6"/>
  <c r="F107" i="6"/>
  <c r="D110" i="6"/>
  <c r="B110" i="6"/>
  <c r="C110" i="6"/>
  <c r="E110" i="6"/>
  <c r="E106" i="6"/>
  <c r="C138" i="6" l="1"/>
  <c r="C135" i="6" s="1"/>
  <c r="C113" i="6"/>
  <c r="C109" i="6"/>
  <c r="B113" i="6"/>
  <c r="B112" i="6" s="1"/>
  <c r="B109" i="6"/>
  <c r="D109" i="6"/>
  <c r="D113" i="6"/>
  <c r="D112" i="6" s="1"/>
  <c r="G106" i="6"/>
  <c r="F106" i="6"/>
  <c r="G110" i="6"/>
  <c r="F110" i="6"/>
  <c r="E113" i="6"/>
  <c r="E109" i="6"/>
  <c r="C112" i="6" l="1"/>
  <c r="G113" i="6"/>
  <c r="E112" i="6"/>
  <c r="F113" i="6"/>
  <c r="G109" i="6"/>
  <c r="F109" i="6"/>
  <c r="B138" i="6"/>
  <c r="B135" i="6" s="1"/>
  <c r="F112" i="6" l="1"/>
  <c r="G112" i="6"/>
  <c r="D19" i="6"/>
  <c r="D18" i="6" s="1"/>
  <c r="F19" i="6"/>
  <c r="G19" i="6"/>
  <c r="E15" i="6"/>
  <c r="F15" i="6" s="1"/>
  <c r="D15" i="6"/>
  <c r="F16" i="6"/>
  <c r="G16" i="6"/>
  <c r="D13" i="6"/>
  <c r="D56" i="6" s="1"/>
  <c r="F13" i="6"/>
  <c r="G13" i="6"/>
  <c r="E56" i="6"/>
  <c r="G56" i="6" s="1"/>
  <c r="E18" i="6"/>
  <c r="F18" i="6" s="1"/>
  <c r="F20" i="6"/>
  <c r="G20" i="6"/>
  <c r="D134" i="6" l="1"/>
  <c r="D139" i="6" s="1"/>
  <c r="F56" i="6"/>
  <c r="G15" i="6"/>
  <c r="E134" i="6"/>
  <c r="G18" i="6"/>
  <c r="E22" i="6"/>
  <c r="F22" i="6" s="1"/>
  <c r="F23" i="6"/>
  <c r="G23" i="6"/>
  <c r="E53" i="6"/>
  <c r="G53" i="6" s="1"/>
  <c r="E131" i="6"/>
  <c r="E136" i="6" s="1"/>
  <c r="G22" i="6" l="1"/>
  <c r="G134" i="6"/>
  <c r="F134" i="6"/>
  <c r="E139" i="6"/>
  <c r="E59" i="6"/>
  <c r="F139" i="6" l="1"/>
  <c r="G139" i="6"/>
  <c r="F59" i="6"/>
  <c r="G59" i="6"/>
  <c r="E28" i="6"/>
  <c r="F29" i="6"/>
  <c r="G29" i="6"/>
  <c r="E26" i="6"/>
  <c r="E25" i="6" s="1"/>
  <c r="E31" i="6"/>
  <c r="F32" i="6"/>
  <c r="G32" i="6"/>
  <c r="G26" i="6" l="1"/>
  <c r="F26" i="6"/>
  <c r="G25" i="6"/>
  <c r="F25" i="6"/>
  <c r="E46" i="6"/>
  <c r="F47" i="6"/>
  <c r="G47" i="6"/>
  <c r="G46" i="6" s="1"/>
  <c r="E49" i="6" l="1"/>
  <c r="G50" i="6"/>
  <c r="F50" i="6"/>
  <c r="G130" i="6"/>
  <c r="F130" i="6"/>
  <c r="E137" i="6"/>
  <c r="F133" i="6"/>
  <c r="G133" i="6"/>
  <c r="E138" i="6"/>
  <c r="F138" i="6" s="1"/>
  <c r="E135" i="6" l="1"/>
  <c r="G138" i="6"/>
  <c r="F135" i="6" l="1"/>
  <c r="G135" i="6"/>
  <c r="G11" i="6" l="1"/>
  <c r="F11" i="6"/>
  <c r="F12" i="6"/>
  <c r="G12" i="6"/>
  <c r="E10" i="6"/>
  <c r="G10" i="6" s="1"/>
  <c r="F44" i="6"/>
  <c r="G44" i="6"/>
  <c r="G43" i="6" s="1"/>
  <c r="E43" i="6"/>
  <c r="E41" i="6" s="1"/>
  <c r="G41" i="6" s="1"/>
  <c r="E54" i="6"/>
  <c r="G54" i="6" s="1"/>
  <c r="D11" i="6"/>
  <c r="D132" i="6" s="1"/>
  <c r="D44" i="6"/>
  <c r="D43" i="6" s="1"/>
  <c r="D41" i="6" l="1"/>
  <c r="D55" i="6" s="1"/>
  <c r="E60" i="6"/>
  <c r="G60" i="6" s="1"/>
  <c r="F43" i="6"/>
  <c r="E40" i="6"/>
  <c r="F41" i="6"/>
  <c r="E55" i="6"/>
  <c r="E61" i="6" s="1"/>
  <c r="G61" i="6" s="1"/>
  <c r="D137" i="6"/>
  <c r="F10" i="6"/>
  <c r="D10" i="6"/>
  <c r="D9" i="6" s="1"/>
  <c r="D54" i="6"/>
  <c r="E9" i="6"/>
  <c r="F60" i="6" l="1"/>
  <c r="F55" i="6"/>
  <c r="D61" i="6"/>
  <c r="D40" i="6"/>
  <c r="D133" i="6"/>
  <c r="F61" i="6"/>
  <c r="G55" i="6"/>
  <c r="E52" i="6"/>
  <c r="G52" i="6" s="1"/>
  <c r="E58" i="6"/>
  <c r="F58" i="6" s="1"/>
  <c r="G40" i="6"/>
  <c r="F40" i="6"/>
  <c r="F54" i="6"/>
  <c r="D52" i="6"/>
  <c r="F52" i="6" s="1"/>
  <c r="D60" i="6"/>
  <c r="D58" i="6" l="1"/>
  <c r="D138" i="6"/>
  <c r="D135" i="6" s="1"/>
  <c r="D130" i="6"/>
  <c r="G58" i="6"/>
  <c r="AB21" i="12"/>
  <c r="AD21" i="12" s="1"/>
  <c r="X20" i="12"/>
  <c r="Z20" i="12" s="1"/>
  <c r="AB20" i="12" s="1"/>
  <c r="AD20" i="12" s="1"/>
  <c r="H113" i="12"/>
  <c r="I113" i="12"/>
  <c r="J113" i="12"/>
  <c r="K113" i="12"/>
  <c r="L113" i="12"/>
  <c r="M113" i="12"/>
  <c r="N113" i="12"/>
  <c r="O113" i="12"/>
  <c r="B115" i="12"/>
  <c r="B113" i="12" s="1"/>
  <c r="C115" i="12"/>
  <c r="C113" i="12" s="1"/>
  <c r="E115" i="12"/>
  <c r="D115" i="12" s="1"/>
  <c r="D113" i="12" s="1"/>
  <c r="AG113" i="12" l="1"/>
  <c r="AH115" i="12"/>
  <c r="AG115" i="12"/>
  <c r="E113" i="12"/>
  <c r="F113" i="12" l="1"/>
  <c r="G113" i="12"/>
  <c r="AH113" i="12"/>
  <c r="G21" i="22"/>
  <c r="F21" i="22"/>
  <c r="G22" i="22"/>
  <c r="G26" i="22"/>
  <c r="F22" i="22"/>
  <c r="G25" i="22"/>
  <c r="F25" i="22"/>
  <c r="F26" i="22"/>
  <c r="F23" i="22"/>
  <c r="G23" i="22"/>
  <c r="G24" i="22"/>
  <c r="F24" i="22"/>
  <c r="E104" i="11" l="1"/>
  <c r="E101" i="11" s="1"/>
  <c r="F78" i="11"/>
  <c r="E109" i="11"/>
  <c r="E106" i="11" s="1"/>
  <c r="E78" i="11"/>
  <c r="D78" i="11"/>
  <c r="D77" i="11" s="1"/>
  <c r="D104" i="11" l="1"/>
  <c r="D101" i="11" s="1"/>
  <c r="E77" i="11"/>
  <c r="G78" i="11"/>
  <c r="C162" i="12" l="1"/>
  <c r="C157" i="12"/>
  <c r="AH142" i="12"/>
  <c r="G142" i="12"/>
  <c r="G139" i="12"/>
  <c r="E154" i="12"/>
  <c r="F139" i="12"/>
  <c r="E156" i="12"/>
  <c r="G141" i="12"/>
  <c r="F141" i="12"/>
  <c r="E153" i="12"/>
  <c r="F138" i="12"/>
  <c r="E138" i="12"/>
  <c r="G138" i="12"/>
  <c r="P160" i="12"/>
  <c r="P150" i="12"/>
  <c r="F28" i="12"/>
  <c r="G28" i="12"/>
  <c r="E141" i="12"/>
  <c r="AE20" i="12"/>
  <c r="F150" i="12"/>
  <c r="G150" i="12"/>
  <c r="J161" i="12"/>
  <c r="J55" i="12"/>
  <c r="N160" i="12"/>
  <c r="N150" i="12"/>
  <c r="AE159" i="12"/>
  <c r="AE73" i="12"/>
  <c r="E155" i="12"/>
  <c r="F140" i="12"/>
  <c r="G140" i="12"/>
  <c r="H31" i="12"/>
  <c r="H159" i="12"/>
  <c r="S159" i="12"/>
  <c r="S73" i="12"/>
  <c r="C155" i="12"/>
  <c r="AH140" i="12"/>
  <c r="K55" i="12"/>
  <c r="K161" i="12"/>
  <c r="F149" i="12"/>
  <c r="G149" i="12"/>
  <c r="K159" i="12"/>
  <c r="AE154" i="12"/>
  <c r="AG32" i="12"/>
  <c r="B159" i="12"/>
  <c r="O159" i="12"/>
  <c r="O73" i="12"/>
  <c r="AC159" i="12"/>
  <c r="AC73" i="12"/>
  <c r="E161" i="12"/>
  <c r="S154" i="12"/>
  <c r="K105" i="12"/>
  <c r="G106" i="12"/>
  <c r="E139" i="12"/>
  <c r="E159" i="12"/>
  <c r="V73" i="12"/>
  <c r="V159" i="12"/>
  <c r="Z160" i="12"/>
  <c r="Z150" i="12"/>
  <c r="R154" i="12"/>
  <c r="AG149" i="12"/>
  <c r="W160" i="12"/>
  <c r="W150" i="12"/>
  <c r="D73" i="12"/>
  <c r="D159" i="12"/>
  <c r="I152" i="12"/>
  <c r="R160" i="12"/>
  <c r="R150" i="12"/>
  <c r="D25" i="12"/>
  <c r="D150" i="12"/>
  <c r="E160" i="12"/>
  <c r="C153" i="12"/>
  <c r="AH138" i="12"/>
  <c r="F27" i="12"/>
  <c r="E150" i="12"/>
  <c r="E140" i="12"/>
  <c r="G27" i="12"/>
  <c r="AB159" i="12"/>
  <c r="AB73" i="12"/>
  <c r="F73" i="12"/>
  <c r="E73" i="12"/>
  <c r="G73" i="12"/>
  <c r="G151" i="12"/>
  <c r="E28" i="12"/>
  <c r="E151" i="12"/>
  <c r="F151" i="12"/>
  <c r="I25" i="12"/>
  <c r="I150" i="12"/>
  <c r="D156" i="12"/>
  <c r="N73" i="12"/>
  <c r="N159" i="12"/>
  <c r="G55" i="12"/>
  <c r="E55" i="12"/>
  <c r="F55" i="12"/>
  <c r="K25" i="12"/>
  <c r="K150" i="12"/>
  <c r="AG26" i="12"/>
  <c r="F26" i="12"/>
  <c r="AH152" i="12"/>
  <c r="G152" i="12"/>
  <c r="Y150" i="12"/>
  <c r="Y160" i="12"/>
  <c r="T159" i="12"/>
  <c r="T73" i="12"/>
  <c r="AG29" i="12"/>
  <c r="L160" i="12"/>
  <c r="L150" i="12"/>
  <c r="X150" i="12"/>
  <c r="X160" i="12"/>
  <c r="AH27" i="12"/>
  <c r="C140" i="12"/>
  <c r="R138" i="12"/>
  <c r="R153" i="12"/>
  <c r="AA157" i="12"/>
  <c r="Z73" i="12"/>
  <c r="Z159" i="12"/>
  <c r="G26" i="12"/>
  <c r="AH26" i="12"/>
  <c r="D21" i="12"/>
  <c r="I154" i="12"/>
  <c r="U150" i="12"/>
  <c r="U160" i="12"/>
  <c r="AB150" i="12"/>
  <c r="AB160" i="12"/>
  <c r="F148" i="12"/>
  <c r="E149" i="12"/>
  <c r="E148" i="12"/>
  <c r="G148" i="12"/>
  <c r="Q150" i="12"/>
  <c r="Q160" i="12"/>
  <c r="W157" i="12"/>
  <c r="AE156" i="12"/>
  <c r="AD148" i="12"/>
  <c r="J73" i="12"/>
  <c r="J159" i="12"/>
  <c r="V105" i="12"/>
  <c r="K106" i="12"/>
  <c r="O105" i="12"/>
  <c r="AH28" i="12"/>
  <c r="H162" i="12"/>
  <c r="AG59" i="12"/>
  <c r="L157" i="12"/>
  <c r="AB154" i="12"/>
  <c r="K152" i="12"/>
  <c r="I140" i="12"/>
  <c r="I155" i="12"/>
  <c r="G162" i="12"/>
  <c r="D161" i="12"/>
  <c r="D55" i="12"/>
  <c r="G31" i="12"/>
  <c r="AH31" i="12"/>
  <c r="U73" i="12"/>
  <c r="U159" i="12"/>
  <c r="J151" i="12"/>
  <c r="G25" i="12"/>
  <c r="E27" i="12"/>
  <c r="E25" i="12"/>
  <c r="F25" i="12"/>
  <c r="C165" i="12"/>
  <c r="AH148" i="12"/>
  <c r="C161" i="12"/>
  <c r="AH58" i="12"/>
  <c r="F106" i="12"/>
  <c r="J105" i="12"/>
  <c r="R159" i="12"/>
  <c r="R73" i="12"/>
  <c r="R139" i="12"/>
  <c r="O149" i="12"/>
  <c r="O148" i="12"/>
  <c r="O154" i="12"/>
  <c r="AH57" i="12"/>
  <c r="C160" i="12"/>
  <c r="C31" i="12"/>
  <c r="AH32" i="12"/>
  <c r="C159" i="12"/>
  <c r="AH29" i="12"/>
  <c r="G29" i="12"/>
  <c r="C142" i="12"/>
  <c r="C29" i="12"/>
  <c r="C152" i="12"/>
  <c r="AD160" i="12"/>
  <c r="AD150" i="12"/>
  <c r="Q159" i="12"/>
  <c r="Q73" i="12"/>
  <c r="W159" i="12"/>
  <c r="W73" i="12"/>
  <c r="AG142" i="12"/>
  <c r="H142" i="12"/>
  <c r="H157" i="12"/>
  <c r="AA150" i="12"/>
  <c r="AA160" i="12"/>
  <c r="M160" i="12"/>
  <c r="M150" i="12"/>
  <c r="U154" i="12"/>
  <c r="S105" i="12"/>
  <c r="O106" i="12"/>
  <c r="X148" i="12"/>
  <c r="Y156" i="12"/>
  <c r="F31" i="12"/>
  <c r="B31" i="12"/>
  <c r="AG31" i="12"/>
  <c r="C138" i="12"/>
  <c r="AH139" i="12"/>
  <c r="C139" i="12"/>
  <c r="C154" i="12"/>
  <c r="T150" i="12"/>
  <c r="T160" i="12"/>
  <c r="Y73" i="12"/>
  <c r="Y159" i="12"/>
  <c r="B160" i="12"/>
  <c r="AG57" i="12"/>
  <c r="J150" i="12"/>
  <c r="J25" i="12"/>
  <c r="N154" i="12"/>
  <c r="AG28" i="12"/>
  <c r="D151" i="12"/>
  <c r="D58" i="12"/>
  <c r="D28" i="12"/>
  <c r="D141" i="12"/>
  <c r="AH149" i="12"/>
  <c r="C149" i="12"/>
  <c r="C148" i="12"/>
  <c r="I160" i="12"/>
  <c r="I27" i="12"/>
  <c r="AH143" i="12"/>
  <c r="L156" i="12"/>
  <c r="S150" i="12"/>
  <c r="S160" i="12"/>
  <c r="AA159" i="12"/>
  <c r="AA73" i="12"/>
  <c r="X73" i="12"/>
  <c r="X149" i="12"/>
  <c r="X159" i="12"/>
  <c r="AD73" i="12"/>
  <c r="AD149" i="12"/>
  <c r="AD159" i="12"/>
  <c r="V157" i="12"/>
  <c r="R156" i="12"/>
  <c r="AC160" i="12"/>
  <c r="AC150" i="12"/>
  <c r="V154" i="12"/>
  <c r="P73" i="12"/>
  <c r="P159" i="12"/>
  <c r="H150" i="12"/>
  <c r="B165" i="12"/>
  <c r="B149" i="12"/>
  <c r="B148" i="12"/>
  <c r="AG148" i="12"/>
  <c r="B161" i="12"/>
  <c r="AG58" i="12"/>
  <c r="S139" i="12"/>
  <c r="S138" i="12"/>
  <c r="S153" i="12"/>
  <c r="AE150" i="12"/>
  <c r="AE160" i="12"/>
  <c r="AB149" i="12"/>
  <c r="AB148" i="12"/>
  <c r="AE149" i="12"/>
  <c r="AE148" i="12"/>
  <c r="V150" i="12"/>
  <c r="V160" i="12"/>
  <c r="AG140" i="12"/>
  <c r="Z140" i="12"/>
  <c r="Z155" i="12"/>
  <c r="V149" i="12"/>
  <c r="V148" i="12"/>
  <c r="I159" i="12"/>
  <c r="I73" i="12"/>
  <c r="O160" i="12"/>
  <c r="O150" i="12"/>
  <c r="S106" i="12"/>
  <c r="W105" i="12"/>
  <c r="W106" i="12"/>
  <c r="AA105" i="12"/>
  <c r="AH144" i="12"/>
  <c r="C144" i="12"/>
  <c r="C143" i="12"/>
  <c r="H160" i="12"/>
  <c r="C57" i="12"/>
  <c r="J152" i="12"/>
  <c r="J160" i="12"/>
  <c r="H25" i="12"/>
  <c r="D145" i="12"/>
  <c r="P157" i="12"/>
  <c r="M159" i="12"/>
  <c r="D140" i="12"/>
  <c r="D155" i="12"/>
  <c r="AG141" i="12"/>
  <c r="R146" i="12"/>
  <c r="N146" i="12"/>
  <c r="N156" i="12"/>
  <c r="T18" i="12"/>
  <c r="Z157" i="12"/>
  <c r="R157" i="12"/>
  <c r="AH141" i="12"/>
  <c r="C141" i="12"/>
  <c r="C156" i="12"/>
  <c r="M156" i="12"/>
  <c r="N140" i="12"/>
  <c r="N155" i="12"/>
  <c r="L154" i="12"/>
  <c r="M154" i="12"/>
  <c r="AH75" i="12"/>
  <c r="AG144" i="12"/>
  <c r="M157" i="12"/>
  <c r="O157" i="12"/>
  <c r="I142" i="12"/>
  <c r="I157" i="12"/>
  <c r="I161" i="12"/>
  <c r="I55" i="12"/>
  <c r="D143" i="12"/>
  <c r="AD154" i="12"/>
  <c r="L146" i="12"/>
  <c r="T140" i="12"/>
  <c r="T155" i="12"/>
  <c r="G32" i="12"/>
  <c r="G159" i="12"/>
  <c r="C32" i="12"/>
  <c r="C26" i="12"/>
  <c r="C25" i="12"/>
  <c r="AH25" i="12"/>
  <c r="AC156" i="12"/>
  <c r="AE146" i="12"/>
  <c r="J27" i="12"/>
  <c r="J140" i="12"/>
  <c r="J155" i="12"/>
  <c r="T143" i="12"/>
  <c r="L105" i="12"/>
  <c r="Q157" i="12"/>
  <c r="AB19" i="12"/>
  <c r="AD19" i="12"/>
  <c r="AE74" i="12"/>
  <c r="AE139" i="12"/>
  <c r="AE138" i="12"/>
  <c r="AE153" i="12"/>
  <c r="H161" i="12"/>
  <c r="D160" i="12"/>
  <c r="D57" i="12"/>
  <c r="D27" i="12"/>
  <c r="AG74" i="12"/>
  <c r="AG139" i="12"/>
  <c r="Z154" i="12"/>
  <c r="H149" i="12"/>
  <c r="H148" i="12"/>
  <c r="D154" i="12"/>
  <c r="X153" i="12"/>
  <c r="AG147" i="12"/>
  <c r="AA140" i="12"/>
  <c r="AA155" i="12"/>
  <c r="B143" i="12"/>
  <c r="AG143" i="12"/>
  <c r="U139" i="12"/>
  <c r="U138" i="12"/>
  <c r="U153" i="12"/>
  <c r="R105" i="12"/>
  <c r="H73" i="12"/>
  <c r="U149" i="12"/>
  <c r="U148" i="12"/>
  <c r="P154" i="12"/>
  <c r="K160" i="12"/>
  <c r="X140" i="12"/>
  <c r="X155" i="12"/>
  <c r="B144" i="12"/>
  <c r="Q156" i="12"/>
  <c r="AB105" i="12"/>
  <c r="D20" i="12"/>
  <c r="H105" i="12"/>
  <c r="J154" i="12"/>
  <c r="M149" i="12"/>
  <c r="M148" i="12"/>
  <c r="T157" i="12"/>
  <c r="AD157" i="12"/>
  <c r="Y105" i="12"/>
  <c r="AC154" i="12"/>
  <c r="R149" i="12"/>
  <c r="R148" i="12"/>
  <c r="E157" i="12"/>
  <c r="W149" i="12"/>
  <c r="W148" i="12"/>
  <c r="L159" i="12"/>
  <c r="D146" i="12"/>
  <c r="AD143" i="12"/>
  <c r="Y149" i="12"/>
  <c r="Y148" i="12"/>
  <c r="Z19" i="12"/>
  <c r="L149" i="12"/>
  <c r="L148" i="12"/>
  <c r="D105" i="12"/>
  <c r="Y154" i="12"/>
  <c r="Q149" i="12"/>
  <c r="Q148" i="12"/>
  <c r="V139" i="12"/>
  <c r="V138" i="12"/>
  <c r="V153" i="12"/>
  <c r="Y140" i="12"/>
  <c r="Y155" i="12"/>
  <c r="P105" i="12"/>
  <c r="Q140" i="12"/>
  <c r="Q155" i="12"/>
  <c r="C20" i="12"/>
  <c r="B157" i="12"/>
  <c r="AG157" i="12"/>
  <c r="AG138" i="12"/>
  <c r="K142" i="12"/>
  <c r="K157" i="12"/>
  <c r="AH74" i="12"/>
  <c r="AE145" i="12"/>
  <c r="U156" i="12"/>
  <c r="O156" i="12"/>
  <c r="I29" i="12"/>
  <c r="I162" i="12"/>
  <c r="S149" i="12"/>
  <c r="S148" i="12"/>
  <c r="N105" i="12"/>
  <c r="V18" i="12"/>
  <c r="Z105" i="12"/>
  <c r="Q154" i="12"/>
  <c r="H154" i="12"/>
  <c r="K149" i="12"/>
  <c r="K148" i="12"/>
  <c r="AE144" i="12"/>
  <c r="AD18" i="12"/>
  <c r="W156" i="12"/>
  <c r="K154" i="12"/>
  <c r="D147" i="12"/>
  <c r="D157" i="12"/>
  <c r="AA154" i="12"/>
  <c r="AE75" i="12"/>
  <c r="AE140" i="12"/>
  <c r="AE155" i="12"/>
  <c r="O139" i="12"/>
  <c r="O138" i="12"/>
  <c r="O153" i="12"/>
  <c r="H140" i="12"/>
  <c r="H155" i="12"/>
  <c r="I105" i="12"/>
  <c r="N139" i="12"/>
  <c r="N138" i="12"/>
  <c r="N153" i="12"/>
  <c r="AE19" i="12"/>
  <c r="U105" i="12"/>
  <c r="F162" i="12"/>
  <c r="T149" i="12"/>
  <c r="T148" i="12"/>
  <c r="AB157" i="12"/>
  <c r="R147" i="12"/>
  <c r="T147" i="12"/>
  <c r="V147" i="12"/>
  <c r="Z147" i="12"/>
  <c r="AB147" i="12"/>
  <c r="AD147" i="12"/>
  <c r="W154" i="12"/>
  <c r="AC105" i="12"/>
  <c r="K139" i="12"/>
  <c r="K138" i="12"/>
  <c r="K153" i="12"/>
  <c r="Y75" i="12"/>
  <c r="AA75" i="12"/>
  <c r="AC75" i="12"/>
  <c r="AC140" i="12"/>
  <c r="AC155" i="12"/>
  <c r="I149" i="12"/>
  <c r="I148" i="12"/>
  <c r="AE18" i="12"/>
  <c r="AB139" i="12"/>
  <c r="AB138" i="12"/>
  <c r="AB153" i="12"/>
  <c r="B138" i="12"/>
  <c r="B153" i="12"/>
  <c r="AG153" i="12"/>
  <c r="AA106" i="12"/>
  <c r="K162" i="12"/>
  <c r="K29" i="12"/>
  <c r="E105" i="12"/>
  <c r="E106" i="12"/>
  <c r="D106" i="12"/>
  <c r="AB143" i="12"/>
  <c r="B25" i="12"/>
  <c r="AG25" i="12"/>
  <c r="T105" i="12"/>
  <c r="F161" i="12"/>
  <c r="AB140" i="12"/>
  <c r="AB155" i="12"/>
  <c r="B147" i="12"/>
  <c r="C22" i="12"/>
  <c r="AE21" i="12"/>
  <c r="X138" i="12"/>
  <c r="X139" i="12"/>
  <c r="X154" i="12"/>
  <c r="B18" i="12"/>
  <c r="W139" i="12"/>
  <c r="W138" i="12"/>
  <c r="W153" i="12"/>
  <c r="K156" i="12"/>
  <c r="AH147" i="12"/>
  <c r="R140" i="12"/>
  <c r="R155" i="12"/>
  <c r="AC146" i="12"/>
  <c r="W146" i="12"/>
  <c r="Y146" i="12"/>
  <c r="AA146" i="12"/>
  <c r="AA156" i="12"/>
  <c r="I139" i="12"/>
  <c r="I138" i="12"/>
  <c r="I153" i="12"/>
  <c r="F160" i="12"/>
  <c r="AC20" i="12"/>
  <c r="F159" i="12"/>
  <c r="I106" i="12"/>
  <c r="M105" i="12"/>
  <c r="U140" i="12"/>
  <c r="U155" i="12"/>
  <c r="R20" i="12"/>
  <c r="D22" i="12"/>
  <c r="AE22" i="12"/>
  <c r="AG150" i="12"/>
  <c r="T153" i="12"/>
  <c r="B74" i="12"/>
  <c r="B73" i="12"/>
  <c r="AG73" i="12"/>
  <c r="D19" i="12"/>
  <c r="D18" i="12"/>
  <c r="X105" i="12"/>
  <c r="X19" i="12"/>
  <c r="X18" i="12"/>
  <c r="Z18" i="12"/>
  <c r="AB18" i="12"/>
  <c r="H27" i="12"/>
  <c r="C27" i="12"/>
  <c r="C150" i="12"/>
  <c r="AH150" i="12"/>
  <c r="S140" i="12"/>
  <c r="S155" i="12"/>
  <c r="C75" i="12"/>
  <c r="AD105" i="12"/>
  <c r="T154" i="12"/>
  <c r="T139" i="12"/>
  <c r="T138" i="12"/>
  <c r="K59" i="12"/>
  <c r="J162" i="12"/>
  <c r="J28" i="12"/>
  <c r="J141" i="12"/>
  <c r="J156" i="12"/>
  <c r="P147" i="12"/>
  <c r="L147" i="12"/>
  <c r="N147" i="12"/>
  <c r="N157" i="12"/>
  <c r="D139" i="12"/>
  <c r="D138" i="12"/>
  <c r="D153" i="12"/>
  <c r="J147" i="12"/>
  <c r="C147" i="12"/>
  <c r="C105" i="12"/>
  <c r="AH105" i="12"/>
  <c r="AC157" i="12"/>
  <c r="U157" i="12"/>
  <c r="S157" i="12"/>
  <c r="U146" i="12"/>
  <c r="K146" i="12"/>
  <c r="M146" i="12"/>
  <c r="O146" i="12"/>
  <c r="Q146" i="12"/>
  <c r="S146" i="12"/>
  <c r="S156" i="12"/>
  <c r="N145" i="12"/>
  <c r="R145" i="12"/>
  <c r="AE143" i="12"/>
  <c r="E165" i="12"/>
  <c r="H55" i="12"/>
  <c r="AG55" i="12"/>
  <c r="B21" i="12"/>
  <c r="O140" i="12"/>
  <c r="O155" i="12"/>
  <c r="Q139" i="12"/>
  <c r="Q138" i="12"/>
  <c r="Q153" i="12"/>
  <c r="AC145" i="12"/>
  <c r="I151" i="12"/>
  <c r="B20" i="12"/>
  <c r="K151" i="12"/>
  <c r="K58" i="12"/>
  <c r="K28" i="12"/>
  <c r="K141" i="12"/>
  <c r="Y139" i="12"/>
  <c r="Y138" i="12"/>
  <c r="Y153" i="12"/>
  <c r="H26" i="12"/>
  <c r="H139" i="12"/>
  <c r="H138" i="12"/>
  <c r="H153" i="12"/>
  <c r="AC149" i="12"/>
  <c r="AC148" i="12"/>
  <c r="AC74" i="12"/>
  <c r="AC139" i="12"/>
  <c r="AC138" i="12"/>
  <c r="AC153" i="12"/>
  <c r="L139" i="12"/>
  <c r="L138" i="12"/>
  <c r="L153" i="12"/>
  <c r="Y22" i="12"/>
  <c r="AA22" i="12"/>
  <c r="AC22" i="12"/>
  <c r="D144" i="12"/>
  <c r="AB74" i="12"/>
  <c r="AD74" i="12"/>
  <c r="AD139" i="12"/>
  <c r="AD138" i="12"/>
  <c r="AD153" i="12"/>
  <c r="AC147" i="12"/>
  <c r="AE147" i="12"/>
  <c r="AE157" i="12"/>
  <c r="X75" i="12"/>
  <c r="Z75" i="12"/>
  <c r="AB75" i="12"/>
  <c r="AD75" i="12"/>
  <c r="AD140" i="12"/>
  <c r="AD155" i="12"/>
  <c r="J146" i="12"/>
  <c r="B146" i="12"/>
  <c r="AG146" i="12"/>
  <c r="Y157" i="12"/>
  <c r="O147" i="12"/>
  <c r="Q147" i="12"/>
  <c r="S147" i="12"/>
  <c r="U147" i="12"/>
  <c r="W147" i="12"/>
  <c r="Y147" i="12"/>
  <c r="AA147" i="12"/>
  <c r="N149" i="12"/>
  <c r="N148" i="12"/>
  <c r="L140" i="12"/>
  <c r="L155" i="12"/>
  <c r="Z144" i="12"/>
  <c r="AB144" i="12"/>
  <c r="AD144" i="12"/>
  <c r="O75" i="12"/>
  <c r="Q75" i="12"/>
  <c r="S75" i="12"/>
  <c r="U75" i="12"/>
  <c r="W75" i="12"/>
  <c r="W140" i="12"/>
  <c r="W155" i="12"/>
  <c r="B75" i="12"/>
  <c r="AG75" i="12"/>
  <c r="AC18" i="12"/>
  <c r="AG27" i="12"/>
  <c r="B150" i="12"/>
  <c r="R75" i="12"/>
  <c r="T75" i="12"/>
  <c r="V75" i="12"/>
  <c r="V140" i="12"/>
  <c r="V155" i="12"/>
  <c r="G160" i="12"/>
  <c r="P139" i="12"/>
  <c r="P138" i="12"/>
  <c r="P153" i="12"/>
  <c r="F147" i="12"/>
  <c r="H147" i="12"/>
  <c r="H29" i="12"/>
  <c r="H152" i="12"/>
  <c r="AG152" i="12"/>
  <c r="C19" i="12"/>
  <c r="C18" i="12"/>
  <c r="V143" i="12"/>
  <c r="I28" i="12"/>
  <c r="I141" i="12"/>
  <c r="I156" i="12"/>
  <c r="AG145" i="12"/>
  <c r="Z149" i="12"/>
  <c r="Z148" i="12"/>
  <c r="L145" i="12"/>
  <c r="J145" i="12"/>
  <c r="B145" i="12"/>
  <c r="F20" i="12"/>
  <c r="H20" i="12"/>
  <c r="J20" i="12"/>
  <c r="L20" i="12"/>
  <c r="N20" i="12"/>
  <c r="C74" i="12"/>
  <c r="C73" i="12"/>
  <c r="AH73" i="12"/>
  <c r="F57" i="12"/>
  <c r="H57" i="12"/>
  <c r="J57" i="12"/>
  <c r="B57" i="12"/>
  <c r="B27" i="12"/>
  <c r="B140" i="12"/>
  <c r="B155" i="12"/>
  <c r="AG155" i="12"/>
  <c r="AA149" i="12"/>
  <c r="AA148" i="12"/>
  <c r="C21" i="12"/>
  <c r="M75" i="12"/>
  <c r="M140" i="12"/>
  <c r="M155" i="12"/>
  <c r="H151" i="12"/>
  <c r="D75" i="12"/>
  <c r="J139" i="12"/>
  <c r="J138" i="12"/>
  <c r="J153" i="12"/>
  <c r="D74" i="12"/>
  <c r="D149" i="12"/>
  <c r="D148" i="12"/>
  <c r="B105" i="12"/>
  <c r="AG105" i="12"/>
  <c r="M139" i="12"/>
  <c r="M138" i="12"/>
  <c r="M153" i="12"/>
  <c r="N18" i="12"/>
  <c r="P18" i="12"/>
  <c r="R18" i="12"/>
  <c r="N19" i="12"/>
  <c r="P19" i="12"/>
  <c r="R19" i="12"/>
  <c r="T19" i="12"/>
  <c r="V19" i="12"/>
  <c r="AA145" i="12"/>
  <c r="U19" i="12"/>
  <c r="W19" i="12"/>
  <c r="Y19" i="12"/>
  <c r="AA19" i="12"/>
  <c r="AC19" i="12"/>
  <c r="V144" i="12"/>
  <c r="X144" i="12"/>
  <c r="X143" i="12"/>
  <c r="Z143" i="12"/>
  <c r="L19" i="12"/>
  <c r="J19" i="12"/>
  <c r="B19" i="12"/>
  <c r="P149" i="12"/>
  <c r="P148" i="12"/>
  <c r="H141" i="12"/>
  <c r="H156" i="12"/>
  <c r="N143" i="12"/>
  <c r="P143" i="12"/>
  <c r="R143" i="12"/>
  <c r="F32" i="12"/>
  <c r="H32" i="12"/>
  <c r="B32" i="12"/>
  <c r="B26" i="12"/>
  <c r="B139" i="12"/>
  <c r="B154" i="12"/>
  <c r="AG154" i="12"/>
  <c r="AA144" i="12"/>
  <c r="AC144" i="12"/>
  <c r="P144" i="12"/>
  <c r="R144" i="12"/>
  <c r="T144" i="12"/>
  <c r="J149" i="12"/>
  <c r="J148" i="12"/>
  <c r="J21" i="12"/>
  <c r="L21" i="12"/>
  <c r="N21" i="12"/>
  <c r="R21" i="12"/>
  <c r="K74" i="12"/>
  <c r="M74" i="12"/>
  <c r="O74" i="12"/>
  <c r="Q74" i="12"/>
  <c r="S74" i="12"/>
  <c r="U74" i="12"/>
  <c r="W74" i="12"/>
  <c r="Y74" i="12"/>
  <c r="AA74" i="12"/>
  <c r="AA139" i="12"/>
  <c r="AA138" i="12"/>
  <c r="AA153" i="12"/>
  <c r="W21" i="12"/>
  <c r="Y21" i="12"/>
  <c r="AA21" i="12"/>
  <c r="AC21" i="12"/>
  <c r="E147" i="12"/>
  <c r="G147" i="12"/>
  <c r="I147" i="12"/>
  <c r="K147" i="12"/>
  <c r="M147" i="12"/>
  <c r="B151" i="12"/>
  <c r="AG151" i="12"/>
  <c r="F59" i="12"/>
  <c r="G59" i="12"/>
  <c r="H59" i="12"/>
  <c r="I59" i="12"/>
  <c r="J59" i="12"/>
  <c r="J29" i="12"/>
  <c r="J142" i="12"/>
  <c r="J157" i="12"/>
  <c r="AA143" i="12"/>
  <c r="AC143" i="12"/>
  <c r="Y145" i="12"/>
  <c r="B22" i="12"/>
  <c r="T22" i="12"/>
  <c r="V22" i="12"/>
  <c r="Z22" i="12"/>
  <c r="AB22" i="12"/>
  <c r="AD22" i="12"/>
  <c r="G74" i="12"/>
  <c r="I74" i="12"/>
  <c r="E74" i="12"/>
  <c r="F74" i="12"/>
  <c r="H74" i="12"/>
  <c r="J74" i="12"/>
  <c r="L74" i="12"/>
  <c r="N74" i="12"/>
  <c r="P74" i="12"/>
  <c r="R74" i="12"/>
  <c r="T74" i="12"/>
  <c r="V74" i="12"/>
  <c r="X74" i="12"/>
  <c r="Z74" i="12"/>
  <c r="Z139" i="12"/>
  <c r="Z138" i="12"/>
  <c r="Z153" i="12"/>
  <c r="F145" i="12"/>
  <c r="H145" i="12"/>
  <c r="C145" i="12"/>
  <c r="AH145" i="12"/>
  <c r="G161" i="12"/>
  <c r="J58" i="12"/>
  <c r="B58" i="12"/>
  <c r="B28" i="12"/>
  <c r="B141" i="12"/>
  <c r="B156" i="12"/>
  <c r="AG156" i="12"/>
  <c r="S20" i="12"/>
  <c r="U20" i="12"/>
  <c r="W20" i="12"/>
  <c r="Y20" i="12"/>
  <c r="AA20" i="12"/>
  <c r="AB106" i="12"/>
  <c r="X106" i="12"/>
  <c r="T106" i="12"/>
  <c r="P106" i="12"/>
  <c r="L106" i="12"/>
  <c r="H106" i="12"/>
  <c r="C106" i="12"/>
  <c r="AH106" i="12"/>
  <c r="AD106" i="12"/>
  <c r="Z106" i="12"/>
  <c r="V106" i="12"/>
  <c r="R106" i="12"/>
  <c r="N106" i="12"/>
  <c r="J106" i="12"/>
  <c r="B106" i="12"/>
  <c r="AG106" i="12"/>
  <c r="AC106" i="12"/>
  <c r="Y106" i="12"/>
  <c r="U106" i="12"/>
  <c r="Q106" i="12"/>
  <c r="M106" i="12"/>
  <c r="Y18" i="12"/>
  <c r="AA18" i="12"/>
  <c r="O19" i="12"/>
  <c r="Q19" i="12"/>
  <c r="S19" i="12"/>
  <c r="C58" i="12"/>
  <c r="C55" i="12"/>
  <c r="AH55" i="12"/>
  <c r="O21" i="12"/>
  <c r="Q21" i="12"/>
  <c r="S21" i="12"/>
  <c r="U21" i="12"/>
  <c r="K21" i="12"/>
  <c r="M21" i="12"/>
  <c r="K19" i="12"/>
  <c r="M19" i="12"/>
  <c r="K75" i="12"/>
  <c r="I58" i="12"/>
  <c r="E58" i="12"/>
  <c r="F58" i="12"/>
  <c r="G58" i="12"/>
  <c r="H58" i="12"/>
  <c r="H28" i="12"/>
  <c r="C28" i="12"/>
  <c r="C151" i="12"/>
  <c r="AH151" i="12"/>
  <c r="E20" i="12"/>
  <c r="G20" i="12"/>
  <c r="I20" i="12"/>
  <c r="K20" i="12"/>
  <c r="M20" i="12"/>
  <c r="O20" i="12"/>
  <c r="Q20" i="12"/>
  <c r="W143" i="12"/>
  <c r="Y143" i="12"/>
  <c r="G18" i="12"/>
  <c r="I18" i="12"/>
  <c r="K18" i="12"/>
  <c r="M18" i="12"/>
  <c r="O18" i="12"/>
  <c r="Q18" i="12"/>
  <c r="S18" i="12"/>
  <c r="U18" i="12"/>
  <c r="W18" i="12"/>
  <c r="S145" i="12"/>
  <c r="U145" i="12"/>
  <c r="W145" i="12"/>
  <c r="G75" i="12"/>
  <c r="I75" i="12"/>
  <c r="E75" i="12"/>
  <c r="F75" i="12"/>
  <c r="H75" i="12"/>
  <c r="J75" i="12"/>
  <c r="L75" i="12"/>
  <c r="N75" i="12"/>
  <c r="P75" i="12"/>
  <c r="P140" i="12"/>
  <c r="P155" i="12"/>
  <c r="F22" i="12"/>
  <c r="H22" i="12"/>
  <c r="J22" i="12"/>
  <c r="L22" i="12"/>
  <c r="N22" i="12"/>
  <c r="P22" i="12"/>
  <c r="R22" i="12"/>
  <c r="F144" i="12"/>
  <c r="H144" i="12"/>
  <c r="J144" i="12"/>
  <c r="L144" i="12"/>
  <c r="N144" i="12"/>
  <c r="G146" i="12"/>
  <c r="I146" i="12"/>
  <c r="E146" i="12"/>
  <c r="F146" i="12"/>
  <c r="H146" i="12"/>
  <c r="C146" i="12"/>
  <c r="AH146" i="12"/>
  <c r="F19" i="12"/>
  <c r="H19" i="12"/>
  <c r="G21" i="12"/>
  <c r="I21" i="12"/>
  <c r="E21" i="12"/>
  <c r="F21" i="12"/>
  <c r="H21" i="12"/>
  <c r="F143" i="12"/>
  <c r="H143" i="12"/>
  <c r="J143" i="12"/>
  <c r="L143" i="12"/>
  <c r="E22" i="12"/>
  <c r="G22" i="12"/>
  <c r="I22" i="12"/>
  <c r="K22" i="12"/>
  <c r="M22" i="12"/>
  <c r="O22" i="12"/>
  <c r="Q22" i="12"/>
  <c r="S22" i="12"/>
  <c r="U22" i="12"/>
  <c r="W22" i="12"/>
  <c r="E143" i="12"/>
  <c r="G143" i="12"/>
  <c r="I143" i="12"/>
  <c r="K143" i="12"/>
  <c r="M143" i="12"/>
  <c r="O143" i="12"/>
  <c r="Q143" i="12"/>
  <c r="S143" i="12"/>
  <c r="U143" i="12"/>
  <c r="E145" i="12"/>
  <c r="G145" i="12"/>
  <c r="I145" i="12"/>
  <c r="K145" i="12"/>
  <c r="M145" i="12"/>
  <c r="O145" i="12"/>
  <c r="Q145" i="12"/>
  <c r="G19" i="12"/>
  <c r="I19" i="12"/>
  <c r="E19" i="12"/>
  <c r="E18" i="12"/>
  <c r="F18" i="12"/>
  <c r="H18" i="12"/>
  <c r="J18" i="12"/>
  <c r="L18" i="12"/>
  <c r="E57" i="12"/>
  <c r="G57" i="12"/>
  <c r="I57" i="12"/>
  <c r="K57" i="12"/>
  <c r="K27" i="12"/>
  <c r="K140" i="12"/>
  <c r="K155" i="12"/>
  <c r="E144" i="12"/>
  <c r="G144" i="12"/>
  <c r="I144" i="12"/>
  <c r="K144" i="12"/>
  <c r="M144" i="12"/>
  <c r="O144" i="12"/>
  <c r="Q144" i="12"/>
  <c r="S144" i="12"/>
  <c r="U144" i="12"/>
  <c r="W144" i="12"/>
  <c r="Y144" i="12"/>
</calcChain>
</file>

<file path=xl/comments1.xml><?xml version="1.0" encoding="utf-8"?>
<comments xmlns="http://schemas.openxmlformats.org/spreadsheetml/2006/main">
  <authors>
    <author>Цёвка Елена Александровна</author>
  </authors>
  <commentList>
    <comment ref="C12" authorId="0" guid="{72C3AD56-3F7D-44BF-B974-853855976120}" shapeId="0">
      <text>
        <r>
          <rPr>
            <b/>
            <sz val="9"/>
            <color indexed="81"/>
            <rFont val="Tahoma"/>
            <family val="2"/>
            <charset val="204"/>
          </rPr>
          <t>Цёвка Елена Александровна:</t>
        </r>
        <r>
          <rPr>
            <sz val="9"/>
            <color indexed="81"/>
            <rFont val="Tahoma"/>
            <family val="2"/>
            <charset val="204"/>
          </rPr>
          <t xml:space="preserve">
Уточнить формулу </t>
        </r>
      </text>
    </comment>
    <comment ref="E12" authorId="0" guid="{06520C53-AF3C-45AD-BA24-2CB471592FD0}" shapeId="0">
      <text>
        <r>
          <rPr>
            <b/>
            <sz val="9"/>
            <color indexed="81"/>
            <rFont val="Tahoma"/>
            <family val="2"/>
            <charset val="204"/>
          </rPr>
          <t>Цёвка Елена Александровна:</t>
        </r>
        <r>
          <rPr>
            <sz val="9"/>
            <color indexed="81"/>
            <rFont val="Tahoma"/>
            <family val="2"/>
            <charset val="204"/>
          </rPr>
          <t xml:space="preserve">
Уточнить. АС Бюджет: 1 371,21
</t>
        </r>
      </text>
    </comment>
    <comment ref="B49" authorId="0" guid="{11B127DB-345E-4FD2-A6FF-788F47F75818}" shapeId="0">
      <text>
        <r>
          <rPr>
            <b/>
            <sz val="9"/>
            <color indexed="81"/>
            <rFont val="Tahoma"/>
            <family val="2"/>
            <charset val="204"/>
          </rPr>
          <t>Цёвка Елена Александровна:</t>
        </r>
        <r>
          <rPr>
            <sz val="9"/>
            <color indexed="81"/>
            <rFont val="Tahoma"/>
            <family val="2"/>
            <charset val="204"/>
          </rPr>
          <t xml:space="preserve">
Уточнить. Ас Бюджет: 8 815 795,56
</t>
        </r>
      </text>
    </comment>
    <comment ref="C49" authorId="0" guid="{183242BC-0F05-48EA-AD18-2A4BB5F09D34}" shapeId="0">
      <text>
        <r>
          <rPr>
            <b/>
            <sz val="9"/>
            <color indexed="81"/>
            <rFont val="Tahoma"/>
            <family val="2"/>
            <charset val="204"/>
          </rPr>
          <t>Цёвка Елена Александровна:</t>
        </r>
        <r>
          <rPr>
            <sz val="9"/>
            <color indexed="81"/>
            <rFont val="Tahoma"/>
            <family val="2"/>
            <charset val="204"/>
          </rPr>
          <t xml:space="preserve">
Уточнить. АС Бюджет: 4360954,56
</t>
        </r>
      </text>
    </comment>
    <comment ref="C54" authorId="0" guid="{18CFE82C-3929-4C59-9D25-22E1B51D04B3}" shapeId="0">
      <text>
        <r>
          <rPr>
            <b/>
            <sz val="9"/>
            <color indexed="81"/>
            <rFont val="Tahoma"/>
            <family val="2"/>
            <charset val="204"/>
          </rPr>
          <t>Цёвка Елена Александровна:</t>
        </r>
        <r>
          <rPr>
            <sz val="9"/>
            <color indexed="81"/>
            <rFont val="Tahoma"/>
            <family val="2"/>
            <charset val="204"/>
          </rPr>
          <t xml:space="preserve">
Уточнить. Ас Бюджет: 14752710,49. См.формулу
</t>
        </r>
      </text>
    </comment>
    <comment ref="E54" authorId="0" guid="{657036A7-B0C2-479B-A6EB-7412639DBC85}" shapeId="0">
      <text>
        <r>
          <rPr>
            <b/>
            <sz val="9"/>
            <color indexed="81"/>
            <rFont val="Tahoma"/>
            <family val="2"/>
            <charset val="204"/>
          </rPr>
          <t>Цёвка Елена Александровна:</t>
        </r>
        <r>
          <rPr>
            <sz val="9"/>
            <color indexed="81"/>
            <rFont val="Tahoma"/>
            <family val="2"/>
            <charset val="204"/>
          </rPr>
          <t xml:space="preserve">
Уточнить. Ас бюджет:   12 780,67
</t>
        </r>
      </text>
    </comment>
    <comment ref="B61" authorId="0" guid="{E5C98E82-3EEF-4FB9-9496-E6B3DCAAA948}" shapeId="0">
      <text>
        <r>
          <rPr>
            <b/>
            <sz val="9"/>
            <color indexed="81"/>
            <rFont val="Tahoma"/>
            <family val="2"/>
            <charset val="204"/>
          </rPr>
          <t>Цёвка Елена Александровна:</t>
        </r>
        <r>
          <rPr>
            <sz val="9"/>
            <color indexed="81"/>
            <rFont val="Tahoma"/>
            <family val="2"/>
            <charset val="204"/>
          </rPr>
          <t xml:space="preserve">
Уточнить.                         АС Бюджет - 105 581 745,56
</t>
        </r>
      </text>
    </comment>
    <comment ref="E61" authorId="0" guid="{E1D903E3-427E-49CC-81FD-8FE8DDCAA451}" shapeId="0">
      <text>
        <r>
          <rPr>
            <b/>
            <sz val="9"/>
            <color indexed="81"/>
            <rFont val="Tahoma"/>
            <family val="2"/>
            <charset val="204"/>
          </rPr>
          <t>Цёвка Елена Александровна:</t>
        </r>
        <r>
          <rPr>
            <sz val="9"/>
            <color indexed="81"/>
            <rFont val="Tahoma"/>
            <family val="2"/>
            <charset val="204"/>
          </rPr>
          <t xml:space="preserve">
Уточнить. АС Бюджет - 19 275,69
</t>
        </r>
      </text>
    </comment>
  </commentList>
</comments>
</file>

<file path=xl/comments2.xml><?xml version="1.0" encoding="utf-8"?>
<comments xmlns="http://schemas.openxmlformats.org/spreadsheetml/2006/main">
  <authors>
    <author>Степаненко Наталья Алексеевна</author>
  </authors>
  <commentList>
    <comment ref="A51" authorId="0" guid="{D754F9B3-2333-4538-8937-6BFFE232C6FA}" shapeId="0">
      <text>
        <r>
          <rPr>
            <b/>
            <sz val="9"/>
            <color indexed="81"/>
            <rFont val="Tahoma"/>
            <family val="2"/>
            <charset val="204"/>
          </rPr>
          <t>Степаненко Наталья Алексеевна:</t>
        </r>
        <r>
          <rPr>
            <sz val="9"/>
            <color indexed="81"/>
            <rFont val="Tahoma"/>
            <family val="2"/>
            <charset val="204"/>
          </rPr>
          <t xml:space="preserve">
на 01.04.2024 доблены привлеченные средства 55 532,51 Лукойл
</t>
        </r>
      </text>
    </comment>
  </commentList>
</comments>
</file>

<file path=xl/comments3.xml><?xml version="1.0" encoding="utf-8"?>
<comments xmlns="http://schemas.openxmlformats.org/spreadsheetml/2006/main">
  <authors>
    <author>Цёвка Елена Александровна</author>
  </authors>
  <commentList>
    <comment ref="B13" authorId="0" guid="{8A8C6BEF-677F-4CBA-A5A3-330823D96C96}" shapeId="0">
      <text>
        <r>
          <rPr>
            <b/>
            <sz val="9"/>
            <color indexed="81"/>
            <rFont val="Tahoma"/>
            <family val="2"/>
            <charset val="204"/>
          </rPr>
          <t>Цёвка Елена Александровна:</t>
        </r>
        <r>
          <rPr>
            <sz val="9"/>
            <color indexed="81"/>
            <rFont val="Tahoma"/>
            <family val="2"/>
            <charset val="204"/>
          </rPr>
          <t xml:space="preserve">
Уточнить. Ас Бюджет: 65300,00
</t>
        </r>
      </text>
    </comment>
  </commentList>
</comments>
</file>

<file path=xl/comments4.xml><?xml version="1.0" encoding="utf-8"?>
<comments xmlns="http://schemas.openxmlformats.org/spreadsheetml/2006/main">
  <authors>
    <author>Цёвка Елена Александровна</author>
  </authors>
  <commentList>
    <comment ref="C107" authorId="0" guid="{B6CF1DF5-7E2B-4681-B96D-B90CE35BE72C}" shapeId="0">
      <text>
        <r>
          <rPr>
            <b/>
            <sz val="9"/>
            <color indexed="81"/>
            <rFont val="Tahoma"/>
            <family val="2"/>
            <charset val="204"/>
          </rPr>
          <t>Цёвка Елена Александровна:</t>
        </r>
        <r>
          <rPr>
            <sz val="9"/>
            <color indexed="81"/>
            <rFont val="Tahoma"/>
            <family val="2"/>
            <charset val="204"/>
          </rPr>
          <t xml:space="preserve">
569400,00</t>
        </r>
      </text>
    </comment>
    <comment ref="C115" authorId="0" guid="{F4C08FE4-2FE2-4954-8DA7-AF3A7DEC4E09}" shapeId="0">
      <text>
        <r>
          <rPr>
            <b/>
            <sz val="9"/>
            <color indexed="81"/>
            <rFont val="Tahoma"/>
            <family val="2"/>
            <charset val="204"/>
          </rPr>
          <t>Цёвка Елена Александровна:</t>
        </r>
        <r>
          <rPr>
            <sz val="9"/>
            <color indexed="81"/>
            <rFont val="Tahoma"/>
            <family val="2"/>
            <charset val="204"/>
          </rPr>
          <t xml:space="preserve">
Уточнить. АС Бюджет: 999400,00
</t>
        </r>
      </text>
    </comment>
    <comment ref="E115" authorId="0" guid="{66B1EF05-39A0-46A1-857F-0B5D64B10C2C}" shapeId="0">
      <text>
        <r>
          <rPr>
            <b/>
            <sz val="9"/>
            <color indexed="81"/>
            <rFont val="Tahoma"/>
            <family val="2"/>
            <charset val="204"/>
          </rPr>
          <t>Цёвка Елена Александровна:</t>
        </r>
        <r>
          <rPr>
            <sz val="9"/>
            <color indexed="81"/>
            <rFont val="Tahoma"/>
            <family val="2"/>
            <charset val="204"/>
          </rPr>
          <t xml:space="preserve">
Уточнить. Ас Бюджет: 998,00</t>
        </r>
      </text>
    </comment>
    <comment ref="C117" authorId="0" guid="{B91CA8DB-D750-4BA8-A637-EF049F6D088D}" shapeId="0">
      <text>
        <r>
          <rPr>
            <b/>
            <sz val="9"/>
            <color indexed="81"/>
            <rFont val="Tahoma"/>
            <family val="2"/>
            <charset val="204"/>
          </rPr>
          <t>Цёвка Елена Александровна:</t>
        </r>
        <r>
          <rPr>
            <sz val="9"/>
            <color indexed="81"/>
            <rFont val="Tahoma"/>
            <family val="2"/>
            <charset val="204"/>
          </rPr>
          <t xml:space="preserve">
901600 - ас бюджет</t>
        </r>
      </text>
    </comment>
  </commentList>
</comments>
</file>

<file path=xl/comments5.xml><?xml version="1.0" encoding="utf-8"?>
<comments xmlns="http://schemas.openxmlformats.org/spreadsheetml/2006/main">
  <authors>
    <author>Степаненко Наталья Алексеевна</author>
    <author>Цёвка Елена Александровна</author>
    <author>Шишкина Юлия Андреева</author>
  </authors>
  <commentList>
    <comment ref="A35" authorId="0" guid="{84E2F1B6-19B4-4301-8B0C-7D6B8275B1A0}"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 софинонирвоание по всем мерпориятиям где есть</t>
        </r>
      </text>
    </comment>
    <comment ref="P35" authorId="1" guid="{96A335F3-4778-47D0-80E5-C661198A9027}" shapeId="0">
      <text>
        <r>
          <rPr>
            <b/>
            <sz val="9"/>
            <color indexed="81"/>
            <rFont val="Tahoma"/>
            <family val="2"/>
            <charset val="204"/>
          </rPr>
          <t>Цёвка Елена Александровна:</t>
        </r>
        <r>
          <rPr>
            <sz val="9"/>
            <color indexed="81"/>
            <rFont val="Tahoma"/>
            <family val="2"/>
            <charset val="204"/>
          </rPr>
          <t xml:space="preserve">
41 300,00
</t>
        </r>
      </text>
    </comment>
    <comment ref="I47" authorId="2" guid="{F57E56AD-AC69-4B74-BFF0-93960CB2042D}" shapeId="0">
      <text>
        <r>
          <rPr>
            <b/>
            <sz val="9"/>
            <color indexed="81"/>
            <rFont val="Tahoma"/>
            <family val="2"/>
            <charset val="204"/>
          </rPr>
          <t>Шишкина Юлия Андреева:</t>
        </r>
        <r>
          <rPr>
            <sz val="9"/>
            <color indexed="81"/>
            <rFont val="Tahoma"/>
            <family val="2"/>
            <charset val="204"/>
          </rPr>
          <t xml:space="preserve">
2 224,7 в АИС Бюджете, уточнить
</t>
        </r>
      </text>
    </comment>
    <comment ref="A54" authorId="1" guid="{8B920903-8E9E-4B79-BBAD-464D8907D901}" shapeId="0">
      <text>
        <r>
          <rPr>
            <b/>
            <sz val="9"/>
            <color indexed="81"/>
            <rFont val="Tahoma"/>
            <family val="2"/>
            <charset val="204"/>
          </rPr>
          <t>Цёвка Елена Александровна:</t>
        </r>
        <r>
          <rPr>
            <sz val="9"/>
            <color indexed="81"/>
            <rFont val="Tahoma"/>
            <family val="2"/>
            <charset val="204"/>
          </rPr>
          <t xml:space="preserve">
Уточнить помесячную разбивку
</t>
        </r>
      </text>
    </comment>
    <comment ref="N54" authorId="1" guid="{E1D704AF-CE15-41FC-ACEE-DEE584719BFE}" shapeId="0">
      <text>
        <r>
          <rPr>
            <b/>
            <sz val="9"/>
            <color indexed="81"/>
            <rFont val="Tahoma"/>
            <family val="2"/>
            <charset val="204"/>
          </rPr>
          <t>Цёвка Елена Александровна:</t>
        </r>
        <r>
          <rPr>
            <sz val="9"/>
            <color indexed="81"/>
            <rFont val="Tahoma"/>
            <family val="2"/>
            <charset val="204"/>
          </rPr>
          <t xml:space="preserve">
3 600,00
Уточнить
</t>
        </r>
      </text>
    </comment>
    <comment ref="P54" authorId="1" guid="{DD518993-F17C-4345-9678-F9EDA6640C76}" shapeId="0">
      <text>
        <r>
          <rPr>
            <b/>
            <sz val="9"/>
            <color indexed="81"/>
            <rFont val="Tahoma"/>
            <family val="2"/>
            <charset val="204"/>
          </rPr>
          <t>Цёвка Елена Александровна:</t>
        </r>
        <r>
          <rPr>
            <sz val="9"/>
            <color indexed="81"/>
            <rFont val="Tahoma"/>
            <family val="2"/>
            <charset val="204"/>
          </rPr>
          <t xml:space="preserve">
11 200,00
Уточнить (И в последующие месяца)
</t>
        </r>
      </text>
    </comment>
    <comment ref="A62" authorId="1" guid="{0A321EDC-5DC4-40DA-898D-59D89C0C3EC0}" shapeId="0">
      <text>
        <r>
          <rPr>
            <b/>
            <sz val="9"/>
            <color indexed="81"/>
            <rFont val="Tahoma"/>
            <family val="2"/>
            <charset val="204"/>
          </rPr>
          <t>Цёвка Елена Александровна:</t>
        </r>
        <r>
          <rPr>
            <sz val="9"/>
            <color indexed="81"/>
            <rFont val="Tahoma"/>
            <family val="2"/>
            <charset val="204"/>
          </rPr>
          <t xml:space="preserve">
Уточнить помесячную разбивку
</t>
        </r>
      </text>
    </comment>
    <comment ref="I97" authorId="2" guid="{103152A6-0CDF-42E2-8D6C-34809144046A}" shapeId="0">
      <text>
        <r>
          <rPr>
            <b/>
            <sz val="9"/>
            <color indexed="81"/>
            <rFont val="Tahoma"/>
            <family val="2"/>
            <charset val="204"/>
          </rPr>
          <t>Шишкина Юлия Андреева:</t>
        </r>
        <r>
          <rPr>
            <sz val="9"/>
            <color indexed="81"/>
            <rFont val="Tahoma"/>
            <family val="2"/>
            <charset val="204"/>
          </rPr>
          <t xml:space="preserve">
4 455,3 в АИС Бюджете, уточнить
</t>
        </r>
      </text>
    </comment>
    <comment ref="I133" authorId="2" guid="{55C1EE75-C462-493E-AE1E-60E325D4A2CC}" shapeId="0">
      <text>
        <r>
          <rPr>
            <b/>
            <sz val="9"/>
            <color indexed="81"/>
            <rFont val="Tahoma"/>
            <family val="2"/>
            <charset val="204"/>
          </rPr>
          <t>Шишкина Юлия Андреева:</t>
        </r>
        <r>
          <rPr>
            <sz val="9"/>
            <color indexed="81"/>
            <rFont val="Tahoma"/>
            <family val="2"/>
            <charset val="204"/>
          </rPr>
          <t xml:space="preserve">
3 705,292 в АИС Бюджете, уточнить
</t>
        </r>
      </text>
    </comment>
    <comment ref="I191" authorId="2" guid="{0309A6D0-C5D2-42E4-9C6C-517D9138C012}" shapeId="0">
      <text>
        <r>
          <rPr>
            <b/>
            <sz val="9"/>
            <color indexed="81"/>
            <rFont val="Tahoma"/>
            <family val="2"/>
            <charset val="204"/>
          </rPr>
          <t>Шишкина Юлия Андреева:</t>
        </r>
        <r>
          <rPr>
            <sz val="9"/>
            <color indexed="81"/>
            <rFont val="Tahoma"/>
            <family val="2"/>
            <charset val="204"/>
          </rPr>
          <t xml:space="preserve">
576,594 в АИС Бюджете, уточнить
</t>
        </r>
      </text>
    </comment>
    <comment ref="I203" authorId="2" guid="{DD744C86-1E2D-4034-98E5-1E79722483CD}" shapeId="0">
      <text>
        <r>
          <rPr>
            <b/>
            <sz val="9"/>
            <color indexed="81"/>
            <rFont val="Tahoma"/>
            <family val="2"/>
            <charset val="204"/>
          </rPr>
          <t>Шишкина Юлия Андреева:</t>
        </r>
        <r>
          <rPr>
            <sz val="9"/>
            <color indexed="81"/>
            <rFont val="Tahoma"/>
            <family val="2"/>
            <charset val="204"/>
          </rPr>
          <t xml:space="preserve">
8 452, 609 в АИС Бюджете, уточнить
</t>
        </r>
      </text>
    </comment>
  </commentList>
</comments>
</file>

<file path=xl/comments6.xml><?xml version="1.0" encoding="utf-8"?>
<comments xmlns="http://schemas.openxmlformats.org/spreadsheetml/2006/main">
  <authors>
    <author>Степаненко Наталья Алексеевна</author>
    <author>Шишкина Юлия Андреева</author>
    <author>Цёвка Елена Александровна</author>
  </authors>
  <commentList>
    <comment ref="E34" authorId="0" guid="{B9621001-91BD-4D88-9FFD-0F235CAA38DA}" shapeId="0">
      <text>
        <r>
          <rPr>
            <b/>
            <sz val="9"/>
            <color indexed="81"/>
            <rFont val="Tahoma"/>
            <family val="2"/>
            <charset val="204"/>
          </rPr>
          <t>Степаненко Наталья Алексеевна:</t>
        </r>
        <r>
          <rPr>
            <sz val="9"/>
            <color indexed="81"/>
            <rFont val="Tahoma"/>
            <family val="2"/>
            <charset val="204"/>
          </rPr>
          <t xml:space="preserve">
1503,53
</t>
        </r>
      </text>
    </comment>
    <comment ref="I34" authorId="1" guid="{A40E8DFA-2C20-465F-B19E-E152FD108D55}" shapeId="0">
      <text>
        <r>
          <rPr>
            <b/>
            <sz val="9"/>
            <color indexed="81"/>
            <rFont val="Tahoma"/>
            <family val="2"/>
            <charset val="204"/>
          </rPr>
          <t>Шишкина Юлия Андреева:</t>
        </r>
        <r>
          <rPr>
            <sz val="9"/>
            <color indexed="81"/>
            <rFont val="Tahoma"/>
            <family val="2"/>
            <charset val="204"/>
          </rPr>
          <t xml:space="preserve">
в АИС Бюджете 130,4928, уточнить
</t>
        </r>
      </text>
    </comment>
    <comment ref="B40" authorId="0" guid="{BEC797BA-0E77-42DC-B6D0-F6C47A3AECB4}" shapeId="0">
      <text>
        <r>
          <rPr>
            <b/>
            <sz val="9"/>
            <color indexed="81"/>
            <rFont val="Tahoma"/>
            <family val="2"/>
            <charset val="204"/>
          </rPr>
          <t>Степаненко Наталья Алексеевна:</t>
        </r>
        <r>
          <rPr>
            <sz val="9"/>
            <color indexed="81"/>
            <rFont val="Tahoma"/>
            <family val="2"/>
            <charset val="204"/>
          </rPr>
          <t xml:space="preserve">
162140,257
</t>
        </r>
      </text>
    </comment>
    <comment ref="C40" authorId="0" guid="{AF34A44F-2045-4F40-8C4B-2EA0F48D54D5}" shapeId="0">
      <text>
        <r>
          <rPr>
            <b/>
            <sz val="9"/>
            <color indexed="81"/>
            <rFont val="Tahoma"/>
            <family val="2"/>
            <charset val="204"/>
          </rPr>
          <t>Степаненко Наталья Алексеевна:</t>
        </r>
        <r>
          <rPr>
            <sz val="9"/>
            <color indexed="81"/>
            <rFont val="Tahoma"/>
            <family val="2"/>
            <charset val="204"/>
          </rPr>
          <t xml:space="preserve">
51906,52
</t>
        </r>
        <r>
          <rPr>
            <b/>
            <sz val="9"/>
            <color indexed="81"/>
            <rFont val="Tahoma"/>
            <family val="2"/>
            <charset val="204"/>
          </rPr>
          <t>Цёвка Елена Александровна:Январь-апрель 71982031,7
Уточнить</t>
        </r>
        <r>
          <rPr>
            <sz val="9"/>
            <color indexed="81"/>
            <rFont val="Tahoma"/>
            <family val="2"/>
            <charset val="204"/>
          </rPr>
          <t xml:space="preserve">
</t>
        </r>
      </text>
    </comment>
    <comment ref="E40" authorId="0" guid="{2FCD206A-CAC0-43E8-BFCB-403F24443A51}" shapeId="0">
      <text>
        <r>
          <rPr>
            <b/>
            <sz val="9"/>
            <color indexed="81"/>
            <rFont val="Tahoma"/>
            <family val="2"/>
            <charset val="204"/>
          </rPr>
          <t>Степаненко Наталья Алексеевна:</t>
        </r>
        <r>
          <rPr>
            <sz val="9"/>
            <color indexed="81"/>
            <rFont val="Tahoma"/>
            <family val="2"/>
            <charset val="204"/>
          </rPr>
          <t xml:space="preserve">
51906,524
</t>
        </r>
        <r>
          <rPr>
            <b/>
            <sz val="9"/>
            <color indexed="81"/>
            <rFont val="Tahoma"/>
            <family val="2"/>
            <charset val="204"/>
          </rPr>
          <t>Цёвка Елена Александровна: Январь-апрель 71 982,03
Уточнить</t>
        </r>
        <r>
          <rPr>
            <sz val="9"/>
            <color indexed="81"/>
            <rFont val="Tahoma"/>
            <family val="2"/>
            <charset val="204"/>
          </rPr>
          <t xml:space="preserve">
</t>
        </r>
      </text>
    </comment>
    <comment ref="I40" authorId="1" guid="{074DFDED-0869-4AE6-9699-6C2C8C3A1CED}" shapeId="0">
      <text>
        <r>
          <rPr>
            <b/>
            <sz val="9"/>
            <color indexed="81"/>
            <rFont val="Tahoma"/>
            <family val="2"/>
            <charset val="204"/>
          </rPr>
          <t>Шишкина Юлия Андреева:</t>
        </r>
        <r>
          <rPr>
            <sz val="9"/>
            <color indexed="81"/>
            <rFont val="Tahoma"/>
            <family val="2"/>
            <charset val="204"/>
          </rPr>
          <t xml:space="preserve">
38 397,55 в АИС Бюджете, уточнить
</t>
        </r>
      </text>
    </comment>
    <comment ref="E46" authorId="0" guid="{7E6FC455-4780-45C2-BDE7-3E4DA5D06EA3}" shapeId="0">
      <text>
        <r>
          <rPr>
            <b/>
            <sz val="9"/>
            <color indexed="81"/>
            <rFont val="Tahoma"/>
            <family val="2"/>
            <charset val="204"/>
          </rPr>
          <t>Степаненко Наталья Алексеевна:</t>
        </r>
        <r>
          <rPr>
            <sz val="9"/>
            <color indexed="81"/>
            <rFont val="Tahoma"/>
            <family val="2"/>
            <charset val="204"/>
          </rPr>
          <t xml:space="preserve">
149,37
</t>
        </r>
      </text>
    </comment>
    <comment ref="I46" authorId="1" guid="{27692C8F-59B4-48F9-A647-E46EED135E68}" shapeId="0">
      <text>
        <r>
          <rPr>
            <b/>
            <sz val="9"/>
            <color indexed="81"/>
            <rFont val="Tahoma"/>
            <family val="2"/>
            <charset val="204"/>
          </rPr>
          <t>Шишкина Юлия Андреева:</t>
        </r>
        <r>
          <rPr>
            <sz val="9"/>
            <color indexed="81"/>
            <rFont val="Tahoma"/>
            <family val="2"/>
            <charset val="204"/>
          </rPr>
          <t xml:space="preserve">
в АИС Бюджете 12,822, уточнить
</t>
        </r>
      </text>
    </comment>
    <comment ref="B57" authorId="0" guid="{8A2AD80D-A878-4347-A204-97C865C0BAD9}" shapeId="0">
      <text>
        <r>
          <rPr>
            <b/>
            <sz val="9"/>
            <color indexed="81"/>
            <rFont val="Tahoma"/>
            <family val="2"/>
            <charset val="204"/>
          </rPr>
          <t>Степаненко Наталья Алексеевна:</t>
        </r>
        <r>
          <rPr>
            <sz val="9"/>
            <color indexed="81"/>
            <rFont val="Tahoma"/>
            <family val="2"/>
            <charset val="204"/>
          </rPr>
          <t xml:space="preserve">
1940,10
</t>
        </r>
      </text>
    </comment>
    <comment ref="C57" authorId="0" guid="{236E3049-8A05-4ADF-B1E7-8DB1259F8FAD}" shapeId="0">
      <text>
        <r>
          <rPr>
            <b/>
            <sz val="9"/>
            <color indexed="81"/>
            <rFont val="Tahoma"/>
            <family val="2"/>
            <charset val="204"/>
          </rPr>
          <t>Степаненко Наталья Алексеевна:</t>
        </r>
        <r>
          <rPr>
            <sz val="9"/>
            <color indexed="81"/>
            <rFont val="Tahoma"/>
            <family val="2"/>
            <charset val="204"/>
          </rPr>
          <t xml:space="preserve">
0
</t>
        </r>
      </text>
    </comment>
    <comment ref="A58" authorId="0" guid="{68B6A8C9-0A46-41FC-8CA1-15158D13E03B}" shapeId="0">
      <text>
        <r>
          <rPr>
            <b/>
            <sz val="9"/>
            <color indexed="81"/>
            <rFont val="Tahoma"/>
            <family val="2"/>
            <charset val="204"/>
          </rPr>
          <t>Степаненко Наталья Алексеевна:</t>
        </r>
        <r>
          <rPr>
            <sz val="9"/>
            <color indexed="81"/>
            <rFont val="Tahoma"/>
            <family val="2"/>
            <charset val="204"/>
          </rPr>
          <t xml:space="preserve">
необходимо выделит ьстроку мб в части софинансирвоания согласно форме порядка по программам
</t>
        </r>
      </text>
    </comment>
    <comment ref="E58" authorId="0" guid="{36891E54-6CD6-4000-86FE-38C43F965303}" shapeId="0">
      <text>
        <r>
          <rPr>
            <b/>
            <sz val="9"/>
            <color indexed="81"/>
            <rFont val="Tahoma"/>
            <family val="2"/>
            <charset val="204"/>
          </rPr>
          <t>Степаненко Наталья Алексеевна:</t>
        </r>
        <r>
          <rPr>
            <sz val="9"/>
            <color indexed="81"/>
            <rFont val="Tahoma"/>
            <family val="2"/>
            <charset val="204"/>
          </rPr>
          <t xml:space="preserve">
404,80
</t>
        </r>
      </text>
    </comment>
    <comment ref="B70" authorId="0" guid="{14EA7C0F-17FB-4DB3-A994-CEC5B1992420}" shapeId="0">
      <text>
        <r>
          <rPr>
            <b/>
            <sz val="9"/>
            <color indexed="81"/>
            <rFont val="Tahoma"/>
            <family val="2"/>
            <charset val="204"/>
          </rPr>
          <t>Степаненко Наталья Алексеевна:</t>
        </r>
        <r>
          <rPr>
            <sz val="9"/>
            <color indexed="81"/>
            <rFont val="Tahoma"/>
            <family val="2"/>
            <charset val="204"/>
          </rPr>
          <t xml:space="preserve">
97976,88
</t>
        </r>
      </text>
    </comment>
    <comment ref="E76" authorId="0" guid="{DD2DED95-CF6A-4856-BB2F-EAAE601B493E}" shapeId="0">
      <text>
        <r>
          <rPr>
            <b/>
            <sz val="9"/>
            <color indexed="81"/>
            <rFont val="Tahoma"/>
            <family val="2"/>
            <charset val="204"/>
          </rPr>
          <t>Степаненко Наталья Алексеевна:</t>
        </r>
        <r>
          <rPr>
            <sz val="9"/>
            <color indexed="81"/>
            <rFont val="Tahoma"/>
            <family val="2"/>
            <charset val="204"/>
          </rPr>
          <t xml:space="preserve">
1900,0
</t>
        </r>
      </text>
    </comment>
    <comment ref="I76" authorId="1" guid="{34010DCB-857A-4D59-B399-1BF2A38C4B71}" shapeId="0">
      <text>
        <r>
          <rPr>
            <b/>
            <sz val="9"/>
            <color indexed="81"/>
            <rFont val="Tahoma"/>
            <family val="2"/>
            <charset val="204"/>
          </rPr>
          <t>Шишкина Юлия Андреева:</t>
        </r>
        <r>
          <rPr>
            <sz val="9"/>
            <color indexed="81"/>
            <rFont val="Tahoma"/>
            <family val="2"/>
            <charset val="204"/>
          </rPr>
          <t xml:space="preserve">
в АИС Бюджете 1 750,0, уточнить
</t>
        </r>
      </text>
    </comment>
    <comment ref="I102" authorId="1" guid="{1CBD4BE0-AF23-49CA-9E7A-F44A9903D89B}" shapeId="0">
      <text>
        <r>
          <rPr>
            <b/>
            <sz val="9"/>
            <color indexed="81"/>
            <rFont val="Tahoma"/>
            <family val="2"/>
            <charset val="204"/>
          </rPr>
          <t>Шишкина Юлия Андреева:</t>
        </r>
        <r>
          <rPr>
            <sz val="9"/>
            <color indexed="81"/>
            <rFont val="Tahoma"/>
            <family val="2"/>
            <charset val="204"/>
          </rPr>
          <t xml:space="preserve">
в АИС Бюджете 864,9 , уточнить
</t>
        </r>
      </text>
    </comment>
    <comment ref="B107" authorId="0" guid="{4AE0F3B8-CD0C-4076-8291-B84B985DB2D8}" shapeId="0">
      <text>
        <r>
          <rPr>
            <b/>
            <sz val="9"/>
            <color indexed="81"/>
            <rFont val="Tahoma"/>
            <family val="2"/>
            <charset val="204"/>
          </rPr>
          <t>Степаненко Наталья Алексеевна:</t>
        </r>
        <r>
          <rPr>
            <sz val="9"/>
            <color indexed="81"/>
            <rFont val="Tahoma"/>
            <family val="2"/>
            <charset val="204"/>
          </rPr>
          <t xml:space="preserve">
8211,7
</t>
        </r>
      </text>
    </comment>
    <comment ref="B108" authorId="0" guid="{36BB597B-4F9D-4ECF-8C12-D77FA9466A89}" shapeId="0">
      <text>
        <r>
          <rPr>
            <b/>
            <sz val="9"/>
            <color indexed="81"/>
            <rFont val="Tahoma"/>
            <family val="2"/>
            <charset val="204"/>
          </rPr>
          <t>Степаненко Наталья Алексеевна:</t>
        </r>
        <r>
          <rPr>
            <sz val="9"/>
            <color indexed="81"/>
            <rFont val="Tahoma"/>
            <family val="2"/>
            <charset val="204"/>
          </rPr>
          <t xml:space="preserve">
16 799,28
</t>
        </r>
      </text>
    </comment>
    <comment ref="E108" authorId="0" guid="{7FF99837-3859-4D36-8F5F-6FD8955E260F}" shapeId="0">
      <text>
        <r>
          <rPr>
            <b/>
            <sz val="9"/>
            <color indexed="81"/>
            <rFont val="Tahoma"/>
            <family val="2"/>
            <charset val="204"/>
          </rPr>
          <t>Степаненко Наталья Алексеевна:</t>
        </r>
        <r>
          <rPr>
            <sz val="9"/>
            <color indexed="81"/>
            <rFont val="Tahoma"/>
            <family val="2"/>
            <charset val="204"/>
          </rPr>
          <t xml:space="preserve">
5 242,85
</t>
        </r>
      </text>
    </comment>
    <comment ref="I108" authorId="1" guid="{849844D2-40D2-4166-AEA7-384F26937C2E}" shapeId="0">
      <text>
        <r>
          <rPr>
            <b/>
            <sz val="9"/>
            <color indexed="81"/>
            <rFont val="Tahoma"/>
            <family val="2"/>
            <charset val="204"/>
          </rPr>
          <t>Шишкина Юлия Андреева:</t>
        </r>
        <r>
          <rPr>
            <sz val="9"/>
            <color indexed="81"/>
            <rFont val="Tahoma"/>
            <family val="2"/>
            <charset val="204"/>
          </rPr>
          <t xml:space="preserve">
в АИС Бюджете 1 840,167, уточнить
</t>
        </r>
      </text>
    </comment>
    <comment ref="E124" authorId="0" guid="{ED85BF72-CEC9-4C6A-9254-ED3808E8C2C2}" shapeId="0">
      <text>
        <r>
          <rPr>
            <b/>
            <sz val="9"/>
            <color indexed="81"/>
            <rFont val="Tahoma"/>
            <family val="2"/>
            <charset val="204"/>
          </rPr>
          <t>Степаненко Наталья Алексеевна:</t>
        </r>
        <r>
          <rPr>
            <sz val="9"/>
            <color indexed="81"/>
            <rFont val="Tahoma"/>
            <family val="2"/>
            <charset val="204"/>
          </rPr>
          <t xml:space="preserve">
210,71
</t>
        </r>
      </text>
    </comment>
    <comment ref="E138" authorId="2" guid="{0A70F178-BAA3-4AF1-B7BC-825DAAA8DAFE}" shapeId="0">
      <text>
        <r>
          <rPr>
            <b/>
            <sz val="9"/>
            <color indexed="81"/>
            <rFont val="Tahoma"/>
            <family val="2"/>
            <charset val="204"/>
          </rPr>
          <t>Цёвка Елена Александровна:</t>
        </r>
        <r>
          <rPr>
            <sz val="9"/>
            <color indexed="81"/>
            <rFont val="Tahoma"/>
            <family val="2"/>
            <charset val="204"/>
          </rPr>
          <t xml:space="preserve">
154 745,62
</t>
        </r>
      </text>
    </comment>
  </commentList>
</comments>
</file>

<file path=xl/comments7.xml><?xml version="1.0" encoding="utf-8"?>
<comments xmlns="http://schemas.openxmlformats.org/spreadsheetml/2006/main">
  <authors>
    <author>Цёвка Елена Александровна</author>
    <author>Степаненко Наталья Алексеевна</author>
  </authors>
  <commentList>
    <comment ref="AD37" authorId="0" guid="{3157FD0A-57A9-4F7F-831A-4015A26A65F0}" shapeId="0">
      <text>
        <r>
          <rPr>
            <b/>
            <sz val="9"/>
            <color indexed="81"/>
            <rFont val="Tahoma"/>
            <family val="2"/>
            <charset val="204"/>
          </rPr>
          <t>Цёвка Елена Александровна:</t>
        </r>
        <r>
          <rPr>
            <sz val="9"/>
            <color indexed="81"/>
            <rFont val="Tahoma"/>
            <family val="2"/>
            <charset val="204"/>
          </rPr>
          <t xml:space="preserve">
АЭС Бюджет:             358 057,25
Уточнить</t>
        </r>
      </text>
    </comment>
    <comment ref="AD67" authorId="0" guid="{DA804EF4-6CBE-40CA-8E40-16DE565BC810}" shapeId="0">
      <text>
        <r>
          <rPr>
            <b/>
            <sz val="9"/>
            <color indexed="81"/>
            <rFont val="Tahoma"/>
            <family val="2"/>
            <charset val="204"/>
          </rPr>
          <t>Цёвка Елена Александровна: АЭС Бюджет: 1 686 796,57
Уточнить округления</t>
        </r>
      </text>
    </comment>
    <comment ref="AD73" authorId="0" guid="{AF3189CB-315C-4B87-B514-FB19D191C67D}" shapeId="0">
      <text>
        <r>
          <rPr>
            <b/>
            <sz val="9"/>
            <color indexed="81"/>
            <rFont val="Tahoma"/>
            <family val="2"/>
            <charset val="204"/>
          </rPr>
          <t>Цёвка Елена Александровна:</t>
        </r>
        <r>
          <rPr>
            <sz val="9"/>
            <color indexed="81"/>
            <rFont val="Tahoma"/>
            <family val="2"/>
            <charset val="204"/>
          </rPr>
          <t xml:space="preserve">
АЭС Бюджет:              23 855 290,34
Уточнить
</t>
        </r>
      </text>
    </comment>
    <comment ref="Z97" authorId="0" guid="{0CE1F846-CDF2-45C5-9BEE-E3BBCC306A14}" shapeId="0">
      <text>
        <r>
          <rPr>
            <b/>
            <sz val="9"/>
            <color indexed="81"/>
            <rFont val="Tahoma"/>
            <family val="2"/>
            <charset val="204"/>
          </rPr>
          <t>Цёвка Елена Александровна:</t>
        </r>
        <r>
          <rPr>
            <sz val="9"/>
            <color indexed="81"/>
            <rFont val="Tahoma"/>
            <family val="2"/>
            <charset val="204"/>
          </rPr>
          <t xml:space="preserve">
АЭС Бюджет: 25 066 754,85
Уточнить</t>
        </r>
      </text>
    </comment>
    <comment ref="AB97" authorId="0" guid="{E79AFA3C-DFFA-485B-AF1A-59FE509B330D}" shapeId="0">
      <text>
        <r>
          <rPr>
            <b/>
            <sz val="9"/>
            <color indexed="81"/>
            <rFont val="Tahoma"/>
            <family val="2"/>
            <charset val="204"/>
          </rPr>
          <t>Цёвка Елена Александровна:</t>
        </r>
        <r>
          <rPr>
            <sz val="9"/>
            <color indexed="81"/>
            <rFont val="Tahoma"/>
            <family val="2"/>
            <charset val="204"/>
          </rPr>
          <t xml:space="preserve">
АЭС Бюджет: 22 355 783,45
Уточнить</t>
        </r>
      </text>
    </comment>
    <comment ref="AD97" authorId="0" guid="{AC4F1AE2-090D-4461-BF6F-2044EFF9F182}" shapeId="0">
      <text>
        <r>
          <rPr>
            <b/>
            <sz val="9"/>
            <color indexed="81"/>
            <rFont val="Tahoma"/>
            <family val="2"/>
            <charset val="204"/>
          </rPr>
          <t>Цёвка Елена Александровна:</t>
        </r>
        <r>
          <rPr>
            <sz val="9"/>
            <color indexed="81"/>
            <rFont val="Tahoma"/>
            <family val="2"/>
            <charset val="204"/>
          </rPr>
          <t xml:space="preserve">
АЭС Бюджет: 21 350 058,85
Уточнить</t>
        </r>
      </text>
    </comment>
    <comment ref="A133" authorId="0" guid="{059C8F40-EB83-4B00-8727-E5FD715B5F95}" shapeId="0">
      <text>
        <r>
          <rPr>
            <b/>
            <sz val="9"/>
            <color indexed="81"/>
            <rFont val="Tahoma"/>
            <family val="2"/>
            <charset val="204"/>
          </rPr>
          <t>Цёвка Елена Александровна:</t>
        </r>
        <r>
          <rPr>
            <sz val="9"/>
            <color indexed="81"/>
            <rFont val="Tahoma"/>
            <family val="2"/>
            <charset val="204"/>
          </rPr>
          <t xml:space="preserve">
Уточнить помесячное распределения БА</t>
        </r>
      </text>
    </comment>
    <comment ref="AD133" authorId="0" guid="{FB6803B2-FFD1-45B7-A1EA-DCCBAB6AD078}" shapeId="0">
      <text>
        <r>
          <rPr>
            <b/>
            <sz val="9"/>
            <color indexed="81"/>
            <rFont val="Tahoma"/>
            <family val="2"/>
            <charset val="204"/>
          </rPr>
          <t>Цёвка Елена Александровна:</t>
        </r>
        <r>
          <rPr>
            <sz val="9"/>
            <color indexed="81"/>
            <rFont val="Tahoma"/>
            <family val="2"/>
            <charset val="204"/>
          </rPr>
          <t xml:space="preserve">
26 724 077,50
Уточнить</t>
        </r>
      </text>
    </comment>
    <comment ref="A137" authorId="0" guid="{A43AA68A-3E08-43BF-9E89-300969B8F10E}" shapeId="0">
      <text>
        <r>
          <rPr>
            <b/>
            <sz val="9"/>
            <color indexed="81"/>
            <rFont val="Tahoma"/>
            <family val="2"/>
            <charset val="204"/>
          </rPr>
          <t>Цёвка Елена Александровна:
Отсутствует?</t>
        </r>
      </text>
    </comment>
    <comment ref="AD182" authorId="1" guid="{69F5F934-6E6C-4E10-AFEF-80DCDC49901C}" shapeId="0">
      <text>
        <r>
          <rPr>
            <b/>
            <sz val="9"/>
            <color indexed="81"/>
            <rFont val="Tahoma"/>
            <family val="2"/>
            <charset val="204"/>
          </rPr>
          <t>Степаненко Наталья Алексеевна:</t>
        </r>
        <r>
          <rPr>
            <sz val="9"/>
            <color indexed="81"/>
            <rFont val="Tahoma"/>
            <family val="2"/>
            <charset val="204"/>
          </rPr>
          <t xml:space="preserve">
53,77
</t>
        </r>
      </text>
    </comment>
    <comment ref="AD330" authorId="1" guid="{60B7D6F4-D7A8-499A-B01A-CF3C92E7E7E4}" shapeId="0">
      <text>
        <r>
          <rPr>
            <b/>
            <sz val="9"/>
            <color indexed="81"/>
            <rFont val="Tahoma"/>
            <family val="2"/>
            <charset val="204"/>
          </rPr>
          <t>Степаненко Наталья Алексеевна:</t>
        </r>
        <r>
          <rPr>
            <sz val="9"/>
            <color indexed="81"/>
            <rFont val="Tahoma"/>
            <family val="2"/>
            <charset val="204"/>
          </rPr>
          <t xml:space="preserve">
9989,81</t>
        </r>
      </text>
    </comment>
    <comment ref="AB351" authorId="0" guid="{15234850-2BFC-463E-B858-D7DF1B522800}" shapeId="0">
      <text>
        <r>
          <rPr>
            <b/>
            <sz val="9"/>
            <color indexed="81"/>
            <rFont val="Tahoma"/>
            <family val="2"/>
            <charset val="204"/>
          </rPr>
          <t>Цёвка Елена Александровна:</t>
        </r>
        <r>
          <rPr>
            <sz val="9"/>
            <color indexed="81"/>
            <rFont val="Tahoma"/>
            <family val="2"/>
            <charset val="204"/>
          </rPr>
          <t xml:space="preserve">
307 949 173,78
Уточнить
</t>
        </r>
      </text>
    </comment>
    <comment ref="AD351" authorId="0" guid="{5FB53047-2114-44CB-ADC0-B00C17571BF4}" shapeId="0">
      <text>
        <r>
          <rPr>
            <b/>
            <sz val="9"/>
            <color indexed="81"/>
            <rFont val="Tahoma"/>
            <family val="2"/>
            <charset val="204"/>
          </rPr>
          <t>Цёвка Елена Александровна:</t>
        </r>
        <r>
          <rPr>
            <sz val="9"/>
            <color indexed="81"/>
            <rFont val="Tahoma"/>
            <family val="2"/>
            <charset val="204"/>
          </rPr>
          <t xml:space="preserve">
1 375 917 978,38
Уточнить
</t>
        </r>
      </text>
    </comment>
  </commentList>
</comments>
</file>

<file path=xl/comments8.xml><?xml version="1.0" encoding="utf-8"?>
<comments xmlns="http://schemas.openxmlformats.org/spreadsheetml/2006/main">
  <authors>
    <author>Степаненко Наталья Алексеевна</author>
  </authors>
  <commentList>
    <comment ref="A37" authorId="0" guid="{38B1AF44-4D3D-4EB2-89CF-60CBECAD3F82}" shapeId="0">
      <text>
        <r>
          <rPr>
            <b/>
            <sz val="9"/>
            <color indexed="81"/>
            <rFont val="Tahoma"/>
            <family val="2"/>
            <charset val="204"/>
          </rPr>
          <t>Степаненко Наталья Алексеевна:</t>
        </r>
        <r>
          <rPr>
            <sz val="9"/>
            <color indexed="81"/>
            <rFont val="Tahoma"/>
            <family val="2"/>
            <charset val="204"/>
          </rPr>
          <t xml:space="preserve">
необходимо заполнить</t>
        </r>
      </text>
    </comment>
    <comment ref="B38" authorId="0" guid="{BC32B7BE-A691-41FC-82B6-1E9869367340}" shapeId="0">
      <text>
        <r>
          <rPr>
            <b/>
            <sz val="9"/>
            <color indexed="81"/>
            <rFont val="Tahoma"/>
            <family val="2"/>
            <charset val="204"/>
          </rPr>
          <t>Степаненко Наталья Алексеевна:</t>
        </r>
        <r>
          <rPr>
            <sz val="9"/>
            <color indexed="81"/>
            <rFont val="Tahoma"/>
            <family val="2"/>
            <charset val="204"/>
          </rPr>
          <t xml:space="preserve">
356607,76
</t>
        </r>
      </text>
    </comment>
  </commentList>
</comments>
</file>

<file path=xl/sharedStrings.xml><?xml version="1.0" encoding="utf-8"?>
<sst xmlns="http://schemas.openxmlformats.org/spreadsheetml/2006/main" count="3316" uniqueCount="662">
  <si>
    <t>Отчет о ходе реализации муниципальной программы (сетевой график)</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</si>
  <si>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</si>
  <si>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</si>
  <si>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</si>
  <si>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</si>
  <si>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</si>
  <si>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</si>
  <si>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</si>
  <si>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</si>
  <si>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</si>
  <si>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</si>
  <si>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</si>
  <si>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</si>
  <si>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</si>
  <si>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</si>
  <si>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</si>
  <si>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</si>
  <si>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</si>
  <si>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</si>
  <si>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</si>
  <si>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</si>
  <si>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</si>
  <si>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</si>
  <si>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</si>
  <si>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1.1. Содействие трудоустройству граждан, в том числе граждан с инвалидностью (I, II, III, IV)</t>
  </si>
  <si>
    <t xml:space="preserve">1.1.1. Организация проведения оплачиваемых общественных работ для не занятых трудовой деятельностью и безработных граждан </t>
  </si>
  <si>
    <t>1.1.2. Содействие молодёжи в получении трудового опыта</t>
  </si>
  <si>
    <t xml:space="preserve">1.1.2.1. Организация временного трудоустройства несовершеннолетних граждан в возрасте от 14 до 18 лет в свободное от учёбы время </t>
  </si>
  <si>
    <t xml:space="preserve">1.1.2.2. Организация временного трудоустройства несовершеннолетних граждан в возрасте от 14 до 18 лет в течение учебного года </t>
  </si>
  <si>
    <t>1.1.2.3. Привлечение прочих специалистов для организации работ трудовых бригад несовершеннолетних граждан</t>
  </si>
  <si>
    <t>1.1.3.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</si>
  <si>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Всего</t>
  </si>
  <si>
    <t>бюджет автономного округа</t>
  </si>
  <si>
    <t>бюджет города Когалыма</t>
  </si>
  <si>
    <t>2.1. Безопасный труд (IV)</t>
  </si>
  <si>
    <t>Итого по подпрограмме 2</t>
  </si>
  <si>
    <t>Подпрограмма 1 «Содействие трудоустройству граждан, в том числе граждан с инвалидностью»</t>
  </si>
  <si>
    <t>Подпрограмма 2 «Улучшение условий и охраны труда в городе Когалыме»</t>
  </si>
  <si>
    <t>2.1.1. Осуществление отдельных государственных полномочий в сфере трудовых отношений и  государственного управления охраной труда в городе Когалыме</t>
  </si>
  <si>
    <t>2.1.2 Организация и проведение в городе Когалыме смотра конкурса «Оказание первой помощи пострадавшим на производстве среди работников организаций, расположенных в городе Когалыме»</t>
  </si>
  <si>
    <t xml:space="preserve"> "Содействие занятости населения города Когалыма"</t>
  </si>
  <si>
    <t>Подпрограмма 1. «Развитие сельскохозяйственного производства и деятельности по заготовке и переработке дикоросов»</t>
  </si>
  <si>
    <t>1.1.Поддержка сельскохозяйственного производства и деятельности по заготовке и переработке дикоросов (I, 1,2, 3)</t>
  </si>
  <si>
    <t>1.1.1. Поддержка животноводства, переработки и реализации продукции животноводства</t>
  </si>
  <si>
    <t xml:space="preserve">1.1.2. Поддержка растениеводства, переработки и реализации продукции растениеводства </t>
  </si>
  <si>
    <t xml:space="preserve">1.1.3. Поддержка деятельности по заготовке и переработке дикоросов </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</si>
  <si>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</si>
  <si>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 xml:space="preserve"> "Развитие агропромышленного комплекса в городе Когалыме"</t>
  </si>
  <si>
    <t xml:space="preserve"> "Безопасность жизнедеятельности населения города Когалыма"</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</si>
  <si>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</si>
  <si>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</si>
  <si>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</si>
  <si>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</si>
  <si>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Итого по подпрограмме 1</t>
  </si>
  <si>
    <t>Процессная часть</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</si>
  <si>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</si>
  <si>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</si>
  <si>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</si>
  <si>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</si>
  <si>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</si>
  <si>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</si>
  <si>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</si>
  <si>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Итого по подпрограмме 3</t>
  </si>
  <si>
    <t>Всего по муниципальной программе:</t>
  </si>
  <si>
    <t>Процессная часть в целом по муниципальной программ</t>
  </si>
  <si>
    <t>всего</t>
  </si>
  <si>
    <t>Всего по муниципальной программе</t>
  </si>
  <si>
    <t xml:space="preserve">Процессная часть в целом по муниципальной программе </t>
  </si>
  <si>
    <t>(подпись)</t>
  </si>
  <si>
    <t>Исполнитель: 
тел.</t>
  </si>
  <si>
    <t>ФИО</t>
  </si>
  <si>
    <t>Руководитель структурного подразделения</t>
  </si>
  <si>
    <t>Процессная часть по подпрограмме 1</t>
  </si>
  <si>
    <t>Процессная часть по подпрограмме 2</t>
  </si>
  <si>
    <t xml:space="preserve">иные источники финасирования </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</si>
  <si>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</si>
  <si>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Процессная часть по подпрограмме 3</t>
  </si>
  <si>
    <t xml:space="preserve"> "Управление муниципальным имуществом города Когалыма"</t>
  </si>
  <si>
    <t xml:space="preserve">Подпрограмма 1: </t>
  </si>
  <si>
    <t xml:space="preserve">1.1. Организация обеспечения формирования состава и структуры муниципального имущества города Когалыма 
(I, II, III, 1)
</t>
  </si>
  <si>
    <t xml:space="preserve">Подпрограмма 2 </t>
  </si>
  <si>
    <t>2.1. Организационно-техническое и финансовое обеспечение органов местного самоуправления города Когалыма (III)</t>
  </si>
  <si>
    <t xml:space="preserve">Подпрограмма 3. </t>
  </si>
  <si>
    <t>3.1. Реконструкция и ремонт, в том числе капитальный, объектов муниципальной собственности города Когалыма (III, 2)</t>
  </si>
  <si>
    <t>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(3)</t>
  </si>
  <si>
    <t>Итого по подпрограмме 4</t>
  </si>
  <si>
    <t xml:space="preserve">2.1.1. Расходы на обеспечение функций комитета по управлению муниципальным имуществом Администрации города Когалыма </t>
  </si>
  <si>
    <t>2.1.2. Расходы на обеспечение автотранспортом органов местного самоуправления города Когалыма и муниципальных учреждений</t>
  </si>
  <si>
    <t>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</si>
  <si>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</si>
  <si>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2.1.3. Организационно-техническое обеспечение органов местного самоуправления города Когалыма</t>
  </si>
  <si>
    <t>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</si>
  <si>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Процессная часть по подпрограмме 4</t>
  </si>
  <si>
    <t xml:space="preserve">бюджет города Когалыма </t>
  </si>
  <si>
    <t>"Профилактика правонарушений и обеспечение отдельных прав граждан в городе Когалыме"</t>
  </si>
  <si>
    <t>Подпрограмма 1: Подпрограмма 1 «Профилактика правонарушений»</t>
  </si>
  <si>
    <t xml:space="preserve">1.1.Создание условий для деятельности  народных дружин (V)
</t>
  </si>
  <si>
    <t xml:space="preserve">бюджет автономного округа </t>
  </si>
  <si>
    <t xml:space="preserve">1.2. Обеспечение функционирования и развития систем видеонаблюдения в сфере общественного порядка (I)
</t>
  </si>
  <si>
    <t xml:space="preserve">1.3. Реализация отдельных государственных полномочий, предусмотренных Законом Ханты- Мансийского автономного округа - Югры от 02.03. 2009 №5-
оз «Об административных комиссиях в Ханты- Мансийском автономном округе – Югре» (VI)
</t>
  </si>
  <si>
    <t>Процессная часть в целом по муниципальной программе</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</si>
  <si>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</si>
  <si>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федеральный бюджет </t>
  </si>
  <si>
    <t>1.5. Совершенствование информационного и методического обеспечения профилактики правонарушений, повышения правосознания граждан (I)</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</si>
  <si>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</si>
  <si>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подростков.Повышение профессионального уровня, квалификации специалистов субъектов профилактики правонарушений</t>
  </si>
  <si>
    <t>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t>
  </si>
  <si>
    <t xml:space="preserve">1.5.4. Создание, распространение, проведение конкурса социальных видеороликов и иной тематической рекламы, направленной на профилактику
правонарушений
</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</si>
  <si>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</si>
  <si>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</si>
  <si>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 xml:space="preserve">1.6.2. Организация и проведение игровой тематической программы среди детей и подростков
«Азбука дорог»
</t>
  </si>
  <si>
    <t>Подпрограмма 2 «Профилактика незаконного оборота и потребления наркотических средств и психотропных веществ, наркомании»</t>
  </si>
  <si>
    <t>2.1.Организация и проведение мероприятий с субъектами профилактики, в том числе с участием общественности (III,IV)</t>
  </si>
  <si>
    <t>2.1.1.Проведение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</si>
  <si>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</si>
  <si>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</si>
  <si>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</si>
  <si>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</si>
  <si>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</si>
  <si>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потребления наркотиков</t>
  </si>
  <si>
    <t xml:space="preserve">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
</t>
  </si>
  <si>
    <t xml:space="preserve">2.3.5. Проведение акции «Шаг навстречу»
</t>
  </si>
  <si>
    <t xml:space="preserve">2.3.6. Цикл мероприятий «Альтернатива»
</t>
  </si>
  <si>
    <t>Подпрограмма 3 «Обеспечение защиты прав потребителей»</t>
  </si>
  <si>
    <t xml:space="preserve">3.1.Информирование и консультирование в сфере защиты прав потребителей (I,II) </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</si>
  <si>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</si>
  <si>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Подпрограмма 4.</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</si>
  <si>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(VI)</t>
  </si>
  <si>
    <t>4.2. Исполнение отдельных государственных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(VI)</t>
  </si>
  <si>
    <t xml:space="preserve">1.7. Ремонт участковых пунктов полиции города Когалыма 
</t>
  </si>
  <si>
    <t xml:space="preserve">в том числе в части софинансирования </t>
  </si>
  <si>
    <t>"Укрепление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«Укрепление межнационального и межконфессионального согласия, профилактика экстремизма и терроризма в городе Когалыме»
"</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</si>
  <si>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</si>
  <si>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 xml:space="preserve">1.1.Оказание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
</t>
  </si>
  <si>
    <t xml:space="preserve">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
</t>
  </si>
  <si>
    <t xml:space="preserve">1.3.Содействие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
</t>
  </si>
  <si>
    <t>1.4. Реализация мер, направленных на социальную и культурную адаптацию мигрантов, анализ их эффективности, а также совершенствование системы мер, обеспечивающих уважительное отношение к культуре и традициям принимающего сообщества (I,1,3)</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</si>
  <si>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</si>
  <si>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</si>
  <si>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</si>
  <si>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1.5.2. 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Проведение выставок, конкурсов, акций, форумов, ярмарок, конференций городского,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</si>
  <si>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 xml:space="preserve">1.5.3.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 </t>
  </si>
  <si>
    <t xml:space="preserve">1.5.4.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а также поддержку родных языков народов России
</t>
  </si>
  <si>
    <t xml:space="preserve">бюджет автномног округа </t>
  </si>
  <si>
    <t xml:space="preserve">1.7. Издание и распространение информационных материалов, тематических словарей, разговорников для мигрантов
(I,2)
</t>
  </si>
  <si>
    <t xml:space="preserve">1.8. Привлечение средств массовой информации к формированию положительного образа мигранта, популяризация легального труда мигрантов.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</si>
  <si>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Подпрограмма 2 «Участие в профилактике экстремизма и терроризма, а также в минимизации и (или) ликвидации последствий проявлений экстремизма и терроризма на территории города Когалыма»</t>
  </si>
  <si>
    <t>2.1.Профилактика экстремизма и терроризма (I,1,3)</t>
  </si>
  <si>
    <t xml:space="preserve">2.1.1.Организация и проведение воспитательной и просветительской работы среди обучающихся в образовательных организациях города Когалыма, проведение  в учреждениях спорта, в спортивных секциях и клубах силовых единоборств информационно-разъяснительной работы, направленной на профилактику экстремизма, терроризма и недопущение конфликтных ситуаций на национальной почве </t>
  </si>
  <si>
    <t xml:space="preserve">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 </t>
  </si>
  <si>
    <t>2.1.3.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t>
  </si>
  <si>
    <t xml:space="preserve">2.1.4.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экстремистской литературы </t>
  </si>
  <si>
    <t xml:space="preserve">2.1.5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t>
  </si>
  <si>
    <t xml:space="preserve">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(I,I,3)
</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</si>
  <si>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t>
  </si>
  <si>
    <t>2.2.2. Информационное обеспечение реализации государственной национальной политики, профилактики экстремизма и терроризма.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t>
  </si>
  <si>
    <t xml:space="preserve">2.3. Мониторинг экстремистских настроений в молодежной среде 
(I,1,3)
</t>
  </si>
  <si>
    <t xml:space="preserve">2.3.1. Организация деятельности ячейки молодежного общественного движения «Кибердружина» для осуществления мониторинга сети Интернет на предмет выявления экстремизма, а также материалов с признаками терроризма </t>
  </si>
  <si>
    <t xml:space="preserve">2.4..Повышение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</si>
  <si>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</si>
  <si>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</si>
  <si>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1.6. Повышение уровня компетенций и активизации деятельности лидеров молодежных объединений в деятельности по обеспечению межнационального и межконфессионального согласия, профилактике экстремизма, продвижения лучших практик по реализации проектов в сфере государственной национальной политики(I)</t>
  </si>
  <si>
    <t>Комплексный план (сетевой график) по реализации муниципальной программы  "Культурное пространство города Когалыма"</t>
  </si>
  <si>
    <t>Основные мероприятия программы</t>
  </si>
  <si>
    <t>факт</t>
  </si>
  <si>
    <t>план</t>
  </si>
  <si>
    <t>Подпрограмма 1. "Модернизация и развитие учреждений и организаций культуры"</t>
  </si>
  <si>
    <t>Проектная часть</t>
  </si>
  <si>
    <t>П.1.1. Портфель проектов «Культура», региональный проект «Культурная среда» (II)</t>
  </si>
  <si>
    <t>федеральный бюджет</t>
  </si>
  <si>
    <t>привлеченные средства</t>
  </si>
  <si>
    <t xml:space="preserve">П.1.2. Портфель проектов «Образование», региональный проект «Успех каждого ребенка» (II)
</t>
  </si>
  <si>
    <t>1.1. Развитие библиотечного дела (II, 1)</t>
  </si>
  <si>
    <t>1.1.1. Комплектование книжного фонда города Когалыма</t>
  </si>
  <si>
    <t>в т.ч. бюджет города Когалыма в части софинансирования</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</si>
  <si>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</si>
  <si>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</si>
  <si>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</si>
  <si>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</si>
  <si>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</si>
  <si>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</si>
  <si>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</si>
  <si>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</si>
  <si>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</si>
  <si>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</si>
  <si>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</si>
  <si>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1.3.1. Развитие материально-технического состояния учреждений культуры города Когалыма/МАУ КДК "АРТ-Праздник"</t>
  </si>
  <si>
    <t>1.3.2. Развитие материально-технического состояния учреждений культуры города Когалыма /МАУ "МВЦ"</t>
  </si>
  <si>
    <t>1.3.3. Развитие материально-технического состояния учреждений культуры города Когалыма /МБУ "ЦБС"</t>
  </si>
  <si>
    <t>1.4. Развитие дополнительного образования в сфере культуры (8, 9)</t>
  </si>
  <si>
    <t xml:space="preserve">1.4.1. Обеспечение деятельности (оказание услуг дополнительного образования) </t>
  </si>
  <si>
    <t>Подпрограмма 2. "Поддержка творческих инициатив, способствующих самореализации населения"</t>
  </si>
  <si>
    <t>П.2.1. Портфель проектов «Культура», региональный проект «Творческие люди» (I)</t>
  </si>
  <si>
    <t>2.1. Сохранение нематериального и материального наследия города Когалыма и продвижение культурных проектов (I, 1)</t>
  </si>
  <si>
    <t>2.1.1. Сохранение, возрождение и развитие народных художественных промыслов и ремесел</t>
  </si>
  <si>
    <t>в том числе:</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</si>
  <si>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</si>
  <si>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</si>
  <si>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</si>
  <si>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</si>
  <si>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 Стимулирование культурного разнообразия (II, 1,4,5,6)</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</si>
  <si>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</si>
  <si>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</si>
  <si>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</si>
  <si>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2.2.4.Поддержка немуниципальных организаций (коммерческих, некоммерческих), осуществляющих деятельность в сфере культуры</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</si>
  <si>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</si>
  <si>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</si>
  <si>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3.1. Реализация единой государственной политики в сфере культуры и архивного дела (II, 2,3)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</si>
  <si>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</si>
  <si>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</si>
  <si>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 Развитие архивного дела (II, 2,3)</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</si>
  <si>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</si>
  <si>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3.3 Обеспечение хозяйственной деятельности учреждений культуры города Когалыма</t>
  </si>
  <si>
    <t>Подпрограмма 4. "Развитие туризма"</t>
  </si>
  <si>
    <t>4.1. Продвижение внутреннего и въездного туризма (II, 1,7)</t>
  </si>
  <si>
    <t>4.1.1. Создание условий для развития туризма</t>
  </si>
  <si>
    <t>4.1.2. Размещение информационного щита для продвижения туризма в городе Когалыме</t>
  </si>
  <si>
    <t>ИТОГО по программе, в том числе</t>
  </si>
  <si>
    <t>ПРОЕКТНАЯ ЧАСТЬ в целом по муниципальной программе</t>
  </si>
  <si>
    <t>ПРОЦЕССНАЯ ЧАСТЬ в целом по муниципальной программе</t>
  </si>
  <si>
    <t>Подпрограмма 1. "Повышение профессионального уровня муниципальных служащих органов местного самоуправления города Когалыма"</t>
  </si>
  <si>
    <t>иные внебюджетные источники</t>
  </si>
  <si>
    <t>Подпрограмма 2. Создание условий для развития муниципальной службы в органах местного самоуправления города Когалыма</t>
  </si>
  <si>
    <t>2.1. Цифровизация функций управления кадрами органов местного самоуправления города Когалыма, в том числе кадрового делопроизводства (4)</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</si>
  <si>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</si>
  <si>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</si>
  <si>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</si>
  <si>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2.3.2. Организация представительских мероприятий (расходов) органов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</si>
  <si>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</si>
  <si>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2.3.4.  Обеспечение расходов, связанных с командировками </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</si>
  <si>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</si>
  <si>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2.5. Обеспечение выполнения полномочий и функций, возложенных на должностных лиц и структурные подразделения Администрации города Когалыма (4)</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</si>
  <si>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</si>
  <si>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</si>
  <si>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Комплексный план (сетевой график) по реализации муниципальной программы "Развитие институтов гражданского общества города Когалыма"</t>
  </si>
  <si>
    <t>Подпрограмма 1. "Поддержка социально ориентированных некоммерческих организаций города Когалыма"</t>
  </si>
  <si>
    <t>1.1. Поддержка социально
ориентированных некоммерческих
организаций (I,II)</t>
  </si>
  <si>
    <t>1.1.2.  Предоставление субсидии некоммерческой организации, не являющейся государственным (муниципальным) учреждением, в целях финансового обеспечения затрат на выполнение функций ресурсного центра поддержки НКО</t>
  </si>
  <si>
    <t>Подпрограмма 2. "Поддержка граждан, внесших значительный вклад в развитие гражданского общества"</t>
  </si>
  <si>
    <t>2.1. Оказание поддержки гражданам удостоенным звания «Почётный гражданин города Когалыма» (VII)</t>
  </si>
  <si>
    <t>2.2 Организация и проведение городского конкурса на присуждение премии «Общественное признание» (III)</t>
  </si>
  <si>
    <t>Подпрограмма 3. "Информационная открытость деятельности Администрации города Когалыма"</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</si>
  <si>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</si>
  <si>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</si>
  <si>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Подпрограмма 4. "Создание условий для выполнения отдельными структурными подразделениями Администрации города Когалыма своих полномочий
"</t>
  </si>
  <si>
    <t>4.1. Обеспечение деятельности структурных подразделений Администрации города Когалыма (I-VI)</t>
  </si>
  <si>
    <t>4.1.1. Обеспечение деятельности сектора по социальным вопросам Администрации города Когалыма</t>
  </si>
  <si>
    <t>4.1.2. Обеспечение деятельности сектора пресс-службы Администрации города Когалыма</t>
  </si>
  <si>
    <t>4.1.3. Обеспечение деятельности управления внутренней политики Администрации города Когалыма</t>
  </si>
  <si>
    <t>Комплексный план (сетевой график) по реализации муниципальной программы  "Развитие физической культуры и спорта в городе Когалыме"</t>
  </si>
  <si>
    <t>Подпрограмма 1. "Развитие физической культуры, массового и детско-юношеского спорта"</t>
  </si>
  <si>
    <t>П.1.1. Портфель проектов «Демография», региональный проект «Спорт – норма жизни» (I)</t>
  </si>
  <si>
    <t>1.1. Мероприятия по 
развитию 
физической культуры и спорта (II,1,2,3,4,5,6)</t>
  </si>
  <si>
    <t>1.1.1. Организация и проведение спортивно массовых мероприятий</t>
  </si>
  <si>
    <t>1.1.2. Содержание муниципального автономного учреждения дополнительного образования «Спортивная школа «Дворец 
спорта»</t>
  </si>
  <si>
    <t>1.1.3. Проведение мероприятий по внедрению Всероссийского физкультурно спортивного комплекса «Готов к труду и обороне» 
в городе Когалыме</t>
  </si>
  <si>
    <t xml:space="preserve">1.1.4. Организация работы по присвоению спортивных разрядов, квалификационных 
категорий </t>
  </si>
  <si>
    <t>1.1.5. Развитие материально технической базы 
МАУ ДО «СШ «Дворец спорта»</t>
  </si>
  <si>
    <t>1.2. Обеспечение 
комфортных 
условий в учреждениях физической 
культуры и спорта (1,2,3,4,5,6)</t>
  </si>
  <si>
    <t>1.2.1. 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</si>
  <si>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(II,1,2,3,4,7,8)</t>
  </si>
  <si>
    <t>1.4. Строительство, реконструкция и ремонт (в том числе капитальный) объектов спорта (I)</t>
  </si>
  <si>
    <t>1.4.1. Строительство велосипедных и беговых дорожек на территории города Когалыма</t>
  </si>
  <si>
    <t>1.4.2. Реконструкция объекта «Лыжероллерная 
трасса»</t>
  </si>
  <si>
    <t>Подпрограмма 2. "Развитие спорта высших достижений и системы подготовки спортивного резерва"</t>
  </si>
  <si>
    <t>2.1. Организация участия спортсменов города Когалыма в соревнованиях различного уровня 
окружного и  всероссийского масштаба (II,1,2,5,6,7,8)</t>
  </si>
  <si>
    <t>2.2. Обеспечение подготовки спортивного резерва и сборных команд города Когалыма по видам спорта (II,1,4,5,6,7)</t>
  </si>
  <si>
    <t>Подпрограмма 3. "Управление развитием отрасли физической культуры и спорта"</t>
  </si>
  <si>
    <t>3.1. Содержание отдела физической культуры и спорта управления культуры и спорта Администрации города Когалыма (1)</t>
  </si>
  <si>
    <t>Подпрограмма 4. "Укрепление общественного здоровья в городе Когалыме"</t>
  </si>
  <si>
    <t>4.1. Организация и проведение физкультурно оздоровительных мероприятий (II,8)</t>
  </si>
  <si>
    <t>4.2. Реализация Плана мероприятий по снижению уровня преждевременной смертности в городе Когалыме на 2021-2025 
годы (9,10)</t>
  </si>
  <si>
    <t>4.3. Реализация информационно просветительского проекта «Грани здоровья» (10,11)</t>
  </si>
  <si>
    <t>Комплексный план (сетевой график) по реализации муниципальной программы  "Развитие образования в городе Когалыме"</t>
  </si>
  <si>
    <t>Подпрограмма 1. "Общее образование. Дополнительное образование"</t>
  </si>
  <si>
    <t>П.1.1. Портфель проектов «Образование», региональный проект «Успех каждого ребенка» (III, IV, V)</t>
  </si>
  <si>
    <t xml:space="preserve">П.1.2. Портфель проектов «Образование», региональный проект «Цифровая образовательная среда» (VII, VIII, IX, X)
</t>
  </si>
  <si>
    <t>1.1. Развитие системы дошкольного и общего образования (1, 2, 3)</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</si>
  <si>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</si>
  <si>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</si>
  <si>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Развитие системы дополнительного образования детей (III, VI, 
11, 12, 13)</t>
  </si>
  <si>
    <t>1.2.1. Развитие системы 
доступного дополнительного образования в соответствии с индивидуальными запросами населения, оснащение материально технической базы образовательных организаций</t>
  </si>
  <si>
    <t>1.2.2. Персонифицированное 
финансирование 
дополнительного 
образования детей</t>
  </si>
  <si>
    <t>1.3. Обеспечение реализации 
общеобразовательных программ в образовательных организациях, расположенных на территории города Когалыма (I, II, 4, 12)</t>
  </si>
  <si>
    <t>1.3.2. 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</si>
  <si>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1.3.3. 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
</t>
  </si>
  <si>
    <t xml:space="preserve">1.4. Организация отдыха и оздоровления детей (10, 11, 12)
</t>
  </si>
  <si>
    <t>Подпрограмма 2. "Система оценки качества образования и информационная прозрачность системы образования города Когалыма"</t>
  </si>
  <si>
    <t>2.1.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(1, 2, 3)</t>
  </si>
  <si>
    <t>2.1.1. Организация и проведение 
государственной итоговой аттестации</t>
  </si>
  <si>
    <t>Подпрограмма 3. "Молодёжь города Когалыма"</t>
  </si>
  <si>
    <t>П.3.1. Портфель проектов «Образование», региональный проект «Социальная активность» (показатель VI)</t>
  </si>
  <si>
    <t>П.3.1.1. Организация мероприятий в рамках реализации регионального проекта 
«Социальная активность»</t>
  </si>
  <si>
    <t xml:space="preserve">П.3.2. Портфель проектов «Образование», региональный проект «Патриотическое 
воспитание граждан Российской Федерации» 
(показатель 5, 6)
</t>
  </si>
  <si>
    <t>3.1. Создание условий для развития духовно-нравственных и гражданско,- военно -патриотических качеств детей и молодежи ( 5, 6, 7)</t>
  </si>
  <si>
    <t>3.2. Создание условий для разностороннего развития, самореализации и роста созидательной активности молодёжи (5, 6, 7, 14)</t>
  </si>
  <si>
    <t xml:space="preserve">3.2.3. Поддержка студентов педагогических вузов
</t>
  </si>
  <si>
    <t>3.3. Обеспечение деятельности учреждения сферы работы с молодёжью и развитие 
его материально технической базы (7, 14)</t>
  </si>
  <si>
    <t>Подпрограмма 4. "Ресурсное обеспечение в сфере образования"</t>
  </si>
  <si>
    <t xml:space="preserve">П.4.1. Портфель проектов «Образование», 
региональный проект «Современная школа» 
(показатели XI, XIII, XIV, 9)
</t>
  </si>
  <si>
    <t>П.4.1.1. Средняя общеобразовательная 
школа в г. 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t>
  </si>
  <si>
    <t>П.4.2. Портфель проектов «Демография», 
региональный проект «Содействие занятости» 
(показатели I, II)</t>
  </si>
  <si>
    <t>4.1. Финансовое обеспечение полномочий управления образования и ресурсного центра (1, 2, 3, 4, 8, 10)</t>
  </si>
  <si>
    <t>4.1.1. Финансовое и организационно 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(выполнение работ)</t>
  </si>
  <si>
    <t>4.1.2. Проведение мероприятий аппаратом управления</t>
  </si>
  <si>
    <t xml:space="preserve">4.2.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(8)
</t>
  </si>
  <si>
    <t>4.2.1. 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</si>
  <si>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</si>
  <si>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4.2.2.1. Мероприятия по организации бесплатного 
горячего питания обучающихся, получающих 
начальное общее образование в муниципальных образовательных организациях</t>
  </si>
  <si>
    <t>4.2.2.2. Организация питания обучающихся 5-11 классов (не относящиеся к льготной категории)</t>
  </si>
  <si>
    <t>4.2.2.3. Субвенции на социальную поддержку отдельных категорий обучающихся в 
муниципальных общеобразовательных 
организациях,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t>
  </si>
  <si>
    <t>4.3. Развитие материально технической базы 
образовательных организаций (XIV)</t>
  </si>
  <si>
    <t>4.3.1. Развитие инфраструктуры общего и дополнительного образования</t>
  </si>
  <si>
    <t>Комплексный план (сетевой график) по реализации муниципальной программы "Управление муниципальными финансами в городе Когалыме"</t>
  </si>
  <si>
    <t>1.1. Обеспечение деятельности Комитета финансов Администрации города Когалыма (I, II)</t>
  </si>
  <si>
    <t>1.2.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(I, II)</t>
  </si>
  <si>
    <t>Комплексный план (сетевой график) по реализации муниципальной программы  "Развитие жилищной сферы в городе Когалыме"</t>
  </si>
  <si>
    <t>Подпрограмма 1. "Содействие развитию жилищного строительства"</t>
  </si>
  <si>
    <t>П.1.1. Портфель проектов «Жилье и городская среда», региональный проект «Жилье»  (I, III, 4)</t>
  </si>
  <si>
    <t xml:space="preserve">П.1.2. Портфель проектов «Жилье и городская среда», региональный проект«Обеспечение устойчивого сокращения непригодного для проживания жилищного фонда» (II, 6)
</t>
  </si>
  <si>
    <t>1.1. Реализация полномочий в области градостроительной деятельности (I,II)</t>
  </si>
  <si>
    <t>1.2. Приобретение жилья в целях реализации полномочий органов местного самоуправления в сфере жилищных отношений (I,III,4,2,7)</t>
  </si>
  <si>
    <t>1.3.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строительства.(6)</t>
  </si>
  <si>
    <t>1.4.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t>
  </si>
  <si>
    <t>Подпрограмма 2. "Обеспечение мерами финансовой поддержки по улучшению жилищных условий отдельных категорий граждан"</t>
  </si>
  <si>
    <t>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(3,1,7)</t>
  </si>
  <si>
    <t>2.2. 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года.(3,1,7)</t>
  </si>
  <si>
    <t>2.3. Реализация полномочий по обеспечению жилыми помещениями отдельных категорий граждан (1,7)</t>
  </si>
  <si>
    <t>2.4. Предоставление субсидии участникам специальной военной операции, членам их семей, состоящим на учете в качестве нуждающихся в жилых помещениях, предоставляемых по договорам социального найма, на приобретение (строительство) жилых помещений в собственность (3)</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</si>
  <si>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</si>
  <si>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Когалыма(I-IV)</t>
  </si>
  <si>
    <t>3.2. Обеспечение деятельности управления по жилищной политике Администрации города Когалыма (I-IV)</t>
  </si>
  <si>
    <t>3.3. Обеспечение деятельности Муниципального казённого учреждения «Управление капитального строительства города Когалыма» (I-IV)</t>
  </si>
  <si>
    <t xml:space="preserve"> "Социально - экономическое развитие и инвестиции муниципального образования город Когалым" </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</si>
  <si>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</si>
  <si>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 xml:space="preserve">1.1. Реализация механизмов стратегического управления социально-экономическим развитием города Когалыма (I, 1, 2, 3) </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</si>
  <si>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</si>
  <si>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</si>
  <si>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</si>
  <si>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</si>
  <si>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</si>
  <si>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ИТОГО по подпрограмме 1</t>
  </si>
  <si>
    <t>Подпрограмма 2. «Развитие малого и среднего  предпринимательства»</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</si>
  <si>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</si>
  <si>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</si>
  <si>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П.2.1.1.1 Финансовая поддержка субъектам малого и среднего предпринимательства (впервые зарегистрированным и действующим менее 1 года), осуществляющим социально значимые (приоритетные) виды деятельности в городе Когалыме</t>
  </si>
  <si>
    <t xml:space="preserve">П.2.1.1.2 Организация и проведение мероприятий, направленных на популяризацию деятельности в сфере социального предпринимательства </t>
  </si>
  <si>
    <t>П.2.1.1.2.1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</si>
  <si>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</si>
  <si>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Дополнительные меры государственной поддержки малого и среднего предпринимательства, а также физических лиц, применяющих специальный налоговый режим «Налог на профессиональный доход» (финансовая поддержка субъектов малого и среднего предпринимательства) </t>
  </si>
  <si>
    <t>П.2.2.1.1 Возмещение части затрат на аренду (субаренду) нежилых помещений</t>
  </si>
  <si>
    <t>П.2.2.1.2 Возмещение части затрат на приобретение нового оборудования (основных средств) и лицензионных программных продуктов</t>
  </si>
  <si>
    <t>П.2.2.1.3 Возмещение части затрат на оплату коммунальных услуг нежилых помещений</t>
  </si>
  <si>
    <t>П.2.2.1.4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</si>
  <si>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П.2.2.1.5 Возмещение части затрат на аренду нежилых помещений за счет средств бюджета города Когалыма (сверх доли софинансирования)</t>
  </si>
  <si>
    <t>П.2.2.1.6 Предоставление субсидий на создание и (или) обеспечение деятельности центров молодежного инновационного творчества (сверх доли софинансирования)</t>
  </si>
  <si>
    <t>П.2.2.1.7 Возмещение части затрат на приобретение нового оборудования (основных средств), лицензионных программных продуктов (сверх доли софинансирования)</t>
  </si>
  <si>
    <t>П.2.2.1.8 Грантовая поддержка на развитие предпринимательства (бюджет города Когалыма сверх доли софинансирования)</t>
  </si>
  <si>
    <t>П.2.2.1.9 Грантовая поддержка на развитие молодежного предпринимательства (бюджет города Когалыма сверх доли софинансирования)</t>
  </si>
  <si>
    <t>П.2.2.1.10  Грантовая поддержка социального и креативного предпринимательства (бюджет города Когалыма сверх доли софинансирования)</t>
  </si>
  <si>
    <t>П.2.2.1.11 Возмещение части затрат на обязательную сертификацию произведенной продукции</t>
  </si>
  <si>
    <t xml:space="preserve">2.1. Организация мероприятий по информационно-консультационной поддержке, популяризации и пропаганде предпринимательской деятельности (6)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</si>
  <si>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</si>
  <si>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</si>
  <si>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</si>
  <si>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</si>
  <si>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Проектная часть в целом по муниципальной программе</t>
  </si>
  <si>
    <t xml:space="preserve">«Экологическая безопасность города Когалыма» </t>
  </si>
  <si>
    <t>тыс.рублей</t>
  </si>
  <si>
    <t>Наименование мероприятий  программы</t>
  </si>
  <si>
    <t>План на 2024 год</t>
  </si>
  <si>
    <t>Исполнение,%</t>
  </si>
  <si>
    <t>Подпрограмма 1 «Регулирование качества окружающей среды в городе Когалыма»</t>
  </si>
  <si>
    <t xml:space="preserve">П.1.1. Портфель проектов «Экология», региональный проект «Сохранение уникальных водных объектов» (I, II, III), всего </t>
  </si>
  <si>
    <t>иные источники финансирования</t>
  </si>
  <si>
    <t>П.1.1.1. Выполнение работ по очистке береговой линии от бытового мусора в границах города Когалыма</t>
  </si>
  <si>
    <t>1.1. Предупреждение и ликвидация несанкционированных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</si>
  <si>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</si>
  <si>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</si>
  <si>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</si>
  <si>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Проектная часть в целом по программе</t>
  </si>
  <si>
    <t>Процессная часть в целом по программе</t>
  </si>
  <si>
    <t xml:space="preserve">Отчет о ходе реализации (сетевой график)  муниципальной программы
«Развитие жилищно-коммунального комплекса в городе Когалыме» </t>
  </si>
  <si>
    <t>Основные мероприятия  программы</t>
  </si>
  <si>
    <t>План на
 2024 год, тыс.руб.</t>
  </si>
  <si>
    <t>Исполнено,%</t>
  </si>
  <si>
    <t>к плану на год</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</si>
  <si>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</si>
  <si>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(2)</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</si>
  <si>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t>
  </si>
  <si>
    <t>1.1.2 Предоставление субсидии на долевое финансовое обеспечение проведения капитального ремонта общего имущества в многоквартирных домах, расположенных на территории города Когалыма</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</si>
  <si>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</si>
  <si>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</si>
  <si>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</si>
  <si>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</si>
  <si>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t>3.1. Строительство, реконструкция и капитальный ремонт объектов коммунального комплекса (I)</t>
  </si>
  <si>
    <t xml:space="preserve">Отчет о ходе реализации (сетевой график) муниципальной программы «Развитие транспортной системы города Когалыма» </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</si>
  <si>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</si>
  <si>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</si>
  <si>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Подпрограмма 2. «Дорожное хозяйство»</t>
  </si>
  <si>
    <t>2.1. Строительство, реконструкция, капитальный ремонт и ремонт автомобильных дорог общего  пользования местного значения (II, 1)</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</si>
  <si>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</si>
  <si>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</si>
  <si>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2.1.4 Капитальный ремонт объекта "Путепровод на км 0+468 автодороги Повховское шоссе в городе Когалыме"</t>
  </si>
  <si>
    <t>2.1.5 Реконструкция участков автомобильных дорог улица Дорожников и улица Романтиков (в том числе ПИР)</t>
  </si>
  <si>
    <t>2.2. Обеспечение функционирования сети автомобильных дорог общего пользования местного значения (3, 4, 5)</t>
  </si>
  <si>
    <t>2.2.1.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</si>
  <si>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2.2.1.1. Выполнение муниципальной работы «Выполнение работ в области использования автомобильных дорог»</t>
  </si>
  <si>
    <t>2.2.1.2.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</si>
  <si>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2.2.2. Техническое обслуживание электрооборудования светофорных объектов (в том числе обеспечение электроэнергией)</t>
  </si>
  <si>
    <t xml:space="preserve">2.2.3. Приобретение, монтаж, ремонт и техническое обслуживание информационных табло </t>
  </si>
  <si>
    <t>2.2.4.  Перенос кабелей светофорного объекта, расположенного на пересечении улиц Мира - Молодежная в подземную канализацию</t>
  </si>
  <si>
    <t>2.3. "Строительство, реконструкция, капитальный ремонт, ремонт сетей наружного освещения автомобильных дорог общего пользования местного значения"</t>
  </si>
  <si>
    <t>2.3.1 Строительство сетей наружного освещения автомобильной дороги по проспекту Нефтяников (от ул.Ноябрьская до путепровода) г.Когалыма</t>
  </si>
  <si>
    <t>Подпрограмма 3. «Безопасность дорожного движения»</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</si>
  <si>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(6)</t>
  </si>
  <si>
    <t>3.1.1. Обеспечение бесперебойного функционирования системы фотовидеофиксации</t>
  </si>
  <si>
    <t xml:space="preserve"> 3.1.2 Монтаж системы автоматической фотовидеофиксации нарушений правил дорожного движения на участке автомобильной дороги от пересечения улицы Дружбы Народов - проспекта Нефтяников до путепровода автодороги Повховское шоссе в городе Когалыме</t>
  </si>
  <si>
    <t xml:space="preserve">Отчет о ходе реализации (сетевой график) муниципальной программы "Формирование комфортной городской среды в городе Когалыме" </t>
  </si>
  <si>
    <t xml:space="preserve">Наименование мероприятий программы </t>
  </si>
  <si>
    <t>План на 2024</t>
  </si>
  <si>
    <t xml:space="preserve">Проектная часть </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</si>
  <si>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</si>
  <si>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</si>
  <si>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t xml:space="preserve">Процессная часть </t>
  </si>
  <si>
    <t>1.1. Благоустройство дворовых территорий в городе Когалыме (3)</t>
  </si>
  <si>
    <t>п.п. 1.2  Основное мероприятие "Создание объектов благоустройства на территории города Когалыма" (4)</t>
  </si>
  <si>
    <t xml:space="preserve">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t>
  </si>
  <si>
    <t>Основные мероприятия
 муниципальной программы</t>
  </si>
  <si>
    <t>касса</t>
  </si>
  <si>
    <t xml:space="preserve">Всего </t>
  </si>
  <si>
    <t>1.1.1. Выполнение муниципальной работы «Уборка территории и аналогичная деятельность»</t>
  </si>
  <si>
    <t>1.1.2.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</si>
  <si>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1.1.3. Обустройство и текущее содержание объектов городского хозяйства</t>
  </si>
  <si>
    <t>федерадьный бюджет</t>
  </si>
  <si>
    <t>1.1.4. Ремонт пешеходного моста через реку ИнгуЯгун (Циркуль)</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</si>
  <si>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</si>
  <si>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</si>
  <si>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</si>
  <si>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</si>
  <si>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1.4. Реализация полномочий переданных Администрации города Когалыма в сферах жилищно-оммунального комплекса и городского хозяйства, в рамках осуществления учреждением функций заказчика (5)
</t>
  </si>
  <si>
    <t>1.6. Создание приюта для животных на территории города Когалыма (7)</t>
  </si>
  <si>
    <t>1.7. Архитектурная подсветка улиц, зданий, сооружений и жилых домов, расположенных на территории города Когалыма (9)</t>
  </si>
  <si>
    <t xml:space="preserve">Всего  </t>
  </si>
  <si>
    <t>Комплексный план (сетевой график) по реализации муниципальной программы "Развитие муниципальной службы  в городе Когалыме"</t>
  </si>
  <si>
    <t xml:space="preserve">«Развитие жилищно-коммунального комплекса в городе Когалыме» </t>
  </si>
  <si>
    <t xml:space="preserve">«Развитие транспортной системы города Когалыма» </t>
  </si>
  <si>
    <t xml:space="preserve">«Содержание объектов городского хозяйства и инженерной инфраструктуры в городе Когалыме» </t>
  </si>
  <si>
    <t xml:space="preserve"> «Содействие занятости населения города Когалыма» </t>
  </si>
  <si>
    <t xml:space="preserve"> «Развитие агропромышленного комплекса в городе Когалыме» </t>
  </si>
  <si>
    <t xml:space="preserve"> «Безопасность жизнедеятельности населения города Когалыма» </t>
  </si>
  <si>
    <t xml:space="preserve"> «Управление муниципальным имуществом города Когалыма» </t>
  </si>
  <si>
    <t xml:space="preserve"> «Культурное пространство города Когалыма» </t>
  </si>
  <si>
    <t xml:space="preserve"> «Развитие образования в городе Когалыме» </t>
  </si>
  <si>
    <t xml:space="preserve"> «Управление муниципальными финансами в городе Когалыме» </t>
  </si>
  <si>
    <t xml:space="preserve"> «Социально - экономическое развитие и инвестиции муниципального образования город Когалым» </t>
  </si>
  <si>
    <t xml:space="preserve">«Профилактика правонарушений и обеспечение отдельных прав граждан в городе Когалыме» </t>
  </si>
  <si>
    <t xml:space="preserve">«Укрепление межнационального и межконфессионального согласия, профилактика экстремизма и терроризма в городе Когалыме» </t>
  </si>
  <si>
    <t xml:space="preserve">«Развитие муниципальной службы  в городе Когалыме» </t>
  </si>
  <si>
    <t xml:space="preserve">«Развитие институтов гражданского общества города Когалыма» </t>
  </si>
  <si>
    <t xml:space="preserve">«Развитие физической культуры и спорта в городе Когалыме» </t>
  </si>
  <si>
    <t xml:space="preserve">«Развитие жилищной сферы в городе Когалыме» </t>
  </si>
  <si>
    <t xml:space="preserve">«Формирование комфортной городской среды в городе Когалыме» </t>
  </si>
  <si>
    <t>0.00</t>
  </si>
  <si>
    <t xml:space="preserve">Председатель Комитета финансов </t>
  </si>
  <si>
    <t>Администрации города Когалыма</t>
  </si>
  <si>
    <t>___________</t>
  </si>
  <si>
    <t>М.Г.Рыбачок</t>
  </si>
  <si>
    <t>Исполнитель : Главный специалист:  Грязнова Е.В. 93-678</t>
  </si>
  <si>
    <t>2.1.3. Реконструкция развязки Восточная (проспект Нефтяников, улица Ноябрьская)</t>
  </si>
  <si>
    <r>
      <rPr>
        <b/>
        <sz val="12"/>
        <rFont val="Times New Roman"/>
        <family val="1"/>
        <charset val="204"/>
      </rPr>
      <t>МКУ "УКС и ЖКК г.Когалыма":</t>
    </r>
    <r>
      <rPr>
        <sz val="12"/>
        <rFont val="Times New Roman"/>
        <family val="1"/>
        <charset val="204"/>
      </rPr>
      <t xml:space="preserve">
Заключен МК от 25.12.2023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на сумму 27 125,2 тыс.руб. (в т.ч. ТО светофорных объектов на сумму 4 675,00 тыс.руб.).
Заключен МК от 29.12.2023 с АО "Газпром энергосбыт Тюмень" на поставку электроэнергии для светофорных объектов города Когалыма на сумму 956,6 тыс.руб.
Оплата работ производится по факту на основании актов снятия показаний приборов учета за электроэнергию и документа о приемке работ по ТО и текущему ремонту светофорных объектов.</t>
    </r>
  </si>
  <si>
    <r>
      <t xml:space="preserve">МКУ "ЕДДС г.Когалыма":
</t>
    </r>
    <r>
      <rPr>
        <sz val="12"/>
        <rFont val="Times New Roman"/>
        <family val="1"/>
        <charset val="204"/>
      </rPr>
      <t>Отклонение сложилось в результате оплаты электрической энергии согласно показаний счетчиков установленных на комплексах фотовидеофиксации города Когалыма</t>
    </r>
  </si>
  <si>
    <t>Цыганкова И.А.</t>
  </si>
  <si>
    <t>тел.93-790</t>
  </si>
  <si>
    <t>Директор МКУ "УКС и ЖКК г.Когалыма"</t>
  </si>
  <si>
    <t>Начальник управления экономики Администрации г.Когалыма</t>
  </si>
  <si>
    <t>Загорская Е.Г.</t>
  </si>
  <si>
    <t>Исполнитель: Мартынова С.В, 
тел. 93785</t>
  </si>
  <si>
    <r>
      <rPr>
        <b/>
        <sz val="12"/>
        <rFont val="Times New Roman"/>
        <family val="1"/>
        <charset val="204"/>
      </rPr>
      <t>МКУ "УКС и ЖКК г.Когалыма":</t>
    </r>
    <r>
      <rPr>
        <sz val="12"/>
        <rFont val="Times New Roman"/>
        <family val="1"/>
        <charset val="204"/>
      </rPr>
      <t xml:space="preserve">
МК от 09.09.2022 №0187300013722000151 с ООО "ГеоПроектГрупп" на выполнение проектно-изыскательских работ по объекту: "Реконструкция участков автомобильных дорог улица Дорожников и улица Романтиков". Работы выполнены и оплачены в полном объеме.</t>
    </r>
  </si>
  <si>
    <r>
      <rPr>
        <b/>
        <sz val="12"/>
        <rFont val="Times New Roman"/>
        <family val="1"/>
        <charset val="204"/>
      </rPr>
      <t>МКУ "УКС и ЖКК г.Когалыма":</t>
    </r>
    <r>
      <rPr>
        <sz val="12"/>
        <rFont val="Times New Roman"/>
        <family val="1"/>
        <charset val="204"/>
      </rPr>
      <t xml:space="preserve">
МК от 29.12.2023 №1273/1-GSM с ПАО "Ростелеком" на оказание услуг подвижной связи (сим-карты на остановочных павильонах) на сумму 201,6 тыс.руб.;
МК от 06.02.2024 №11/2024 с ООО "Умный транспорт"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70,8 тыс.руб.</t>
    </r>
  </si>
  <si>
    <t>2.2.5. Проведение мониторинга дорожного движения на автомобильных дорогах местного значения</t>
  </si>
  <si>
    <t xml:space="preserve">Кадыров И.Р.  </t>
  </si>
  <si>
    <t>Ответственный за составление сетевого графика:</t>
  </si>
  <si>
    <t>Экономия по заработной плате и начислениям на оплату труда (наличие вакансий, листов временной нетрудоспособности).</t>
  </si>
  <si>
    <t xml:space="preserve">Конкурс запланирован к проведению в 4 квартале 2024 года. Премия "Общественное признание" проводится с целью признания заслуг граждан и не имеет денежного выражения. </t>
  </si>
  <si>
    <t>П.1.1. Портфель проектов "Жилье и городская среда", региональный проект "Формирование комфортной городской среды" (I, II, 1, 2)</t>
  </si>
  <si>
    <t>1.5. 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t>
  </si>
  <si>
    <t>В.И. Феоктистов</t>
  </si>
  <si>
    <t>Начальник УИДиРП</t>
  </si>
  <si>
    <t>Исполнитель: Главный специалист ОПРиРП Шамерзоева Т.Ф.
тел.: 93-756</t>
  </si>
  <si>
    <t xml:space="preserve">1.1.4. Реализация мероприятий профориентационной направленности, в том числе в рамках сотрудничества с Пермским научно-исследовательским политехническим университетом </t>
  </si>
  <si>
    <t xml:space="preserve">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заключен муниципальный контракт  от 25.03.2024 №0187300013724000019  с ИП Коневым Виктором Аалексеевичем на сумму 992 167,12 руб. Срок окончания оказания услуг 18.09.2024.</t>
  </si>
  <si>
    <t>В целях реализации мероприятия на отчетную дату ведутся (выполнены) следующие мероприятия:
1. Ведется исполнение муниципального контракта №0187200001721001483 от 14.10.2021 (эл/а) заключенного  с Обществом с ограниченной ответственностью "СИБВИТОСЕРВИС" город Сургут на выполнение проектно-изыскательских и строительно-монтажных работ по объекту:
1.1. Заключено дополнительное соглашение №3 от 22.12.2022, в рамках которого увеличена стоимость проектно-изыскательских работ до 25 239,24 тыс. руб. за счет уменьшения стоимости строительно-монтажных работ и продлены сроки выполнения работ;
1.2. Заключено дополнительное соглашение №4 от 23.12.2022, в рамках которого установлено авансирование по контракту в размере 20,833% от цены контракта, что составляет 312 405,40 тыс. руб.;
1.3. Заключено дополнительное соглашение №6 от 22.06.2023, в рамках которого продлены сроки выполнения проектно-изыскательских работ по 31.08.2023;
1.4. Заключено дополнительное соглашение №7 от 26.07.2023, в рамках которого увеличен размер авансирования по контракту до 46,7538905945082% от цены контракта, что составляет 701 105,65 тыс.  руб. (из них 312 405,40 тыс. руб. за счет лимитов бюджетных обязательств 2022 года, 388 700,25 тыс. руб. за счет лимитов бюджетных обязательств 2023 года);
1.5. Стоимость работ по контракту 1 499 566,43 тыс. руб., из них стоимость проектно-изыскательских работ 25 239,24 тыс. руб.;
1.6. Состав и сроки выполнения работ этапа 1 Контракта: выполнение проектно-изыскательских работ): с даты заключения настоящего контракта по 31 августа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1.7. Состав и сроки выполнения работ этапа 2 Контракта: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2.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3. Муниципальным заказчиком перечислен аванс в 2022 году в размере 312 405,40тыс. руб., в 2023 году - 388 700,25 тыс.  руб.;
4. Степень готовности объекта:
4.1 Проектно-изыскательские работы:
- получено положительное заключение государственной экспертизы результатов инженерных изысканий и проектной документации (без смет) №86-1-1-3-091907-2022 от 23.12.2022;
- разработана проектно-сметная документация – 100%;
- получено отрицательное заключение государственной экспертизы о проверке достоверности определения сметной стоимости объекта №86-1-2-2-013819-2024 от 27.03.2024. Требуется повторная ценовая экспертиза после устранения замечаний к сметной документации.
4.2 Строительство объекта - готовность 14%:
- получено разрешение на строительство № RU86–301–726–2023 от 10.01.2023;
- выполнены 100%: подготовительные работы, разработка котлована, свайные работы, фундаменты, бетонирование наружных стен и колонн цокольного этажа;
- ведутся работы: обратная засыпка фундаментов – 94% (10170 м3); бетонирование плиты цокольного перекрытия – 34% (421 м3); устройство щебеночного основания полов подвала – 90% (4500 м3); монтаж опалубки и армирование для цокольного перекрытия – 42% (2100 м2); монтаж тепловых сетей к объекту – 56% (400 м.п.).
5. Выполнение проектно-изыскательских работ по 1 этапу контракта ведется с нарушением сроков выполнения работ подрядной организацией, выставлено четыре претензии об уплате неустойки на общую сумму 2 153 748,85 руб.</t>
  </si>
  <si>
    <t>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</si>
  <si>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r>
      <rPr>
        <b/>
        <sz val="12"/>
        <rFont val="Times New Roman"/>
        <family val="1"/>
        <charset val="204"/>
      </rPr>
      <t>МКУ "УКС и ЖКК г.Когалыма":</t>
    </r>
    <r>
      <rPr>
        <sz val="12"/>
        <rFont val="Times New Roman"/>
        <family val="1"/>
        <charset val="204"/>
      </rPr>
      <t xml:space="preserve">
Заключен МК от 15.12.2023 №0187300013723000396  с ИП Шахбазовым Фикрет Таха оглы на выполнение работ, связанных с осуществлением регулярных перевозок на сумму 9 633,27 тыс.руб. Период оказания услуг по МК с 01.01.2024 по 31.03.2024.
Заключен МК от 25.03.2024 №0187300013724000021  с ИП Шахбазовым Фикрет Таха оглы на выполнение работ, связанных с осуществлением регулярных перевозок на сумму 30 099,182 тыс.руб. Период оказания услуг по МК с 01.04.2024 по 31.12.2024.</t>
    </r>
  </si>
  <si>
    <t xml:space="preserve">Финансирование ШКОЛЫ + д.САДЫ.    Экономия плановых ассигнований складывается,из за перечисления средств по заключенным соглашениям и фактической потребности учреждений. </t>
  </si>
  <si>
    <t>Март: Неисполнение плановых ассигнований в сумме 203,2 тыс.руб. Мероприятие будет проводиться в мае 2024 г.Заключен договор на изготовление подарочной продукции. Закупка продукции оплачена, оставшиеся ассигнования будут потрачены в мае,  после проведения мероприятия</t>
  </si>
  <si>
    <t>По результатам электронного аукциона ведется процедура заключения муниципального контракта на выполнение проектно-изыскательных работ для реконструкции объекта "Лыжероллерная трасса" в городе Когалыме.</t>
  </si>
  <si>
    <t>1. Муниципальный контракт №0187300013723000018 от 16.03.2023 на выполнение проектно-изыскательских работ на строительство объекта: "Велосипедная дорожка от комплекса зданий по улице Янтарная, дом 10 до автобусной остановки, расположенной в районе улицы Дружбы народов, 41" на сумму 965,47 тыс. руб., срок окончания выполнения работ 07.08.2023, ведется выполнение работ.
2. Муниципальный контракт №0187300013723000267 от 28.08.2023 на выполнение проектно-изыскательских работ на строительство объекта :"Велосипедная дорожка от БУ "Когалымский политехнический колледж" до Лыжной базы в г.Когалым" на сумму 1 884,23 тыс. руб., срок окончания выполнения работ 30.11.2023,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</si>
  <si>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</si>
  <si>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Исполнитель: Харченко Ольга Владимировна
тел. 9 36 49</t>
  </si>
  <si>
    <t xml:space="preserve">Перечисление средств происходит по фактической потребности учреждени, согласно предоставленных счетов по организации питания.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</si>
  <si>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и АНО "Город детства". Согласно фактически предоставленных документов.</t>
  </si>
  <si>
    <t>бюджет города Когалыма - софинансирование</t>
  </si>
  <si>
    <t xml:space="preserve">Организация отдыха и оздоровления детей.   ОБ оплата питания в пришкольных лагерях, ОБ приобретение путевок,  МБ  - софинансирование питание. Перечисление средств происходит согласно, фактической потребности.
</t>
  </si>
  <si>
    <t>Лаврентьева А.Н.</t>
  </si>
  <si>
    <t xml:space="preserve">НЕОБХОДИМО ПРОПИСАТЬ ПРИЧИНЫ ОТКЛОНЕНИЙ ПЛАНА НА 1 КВ  ОТ КАССЫ </t>
  </si>
  <si>
    <t>Сложившаяся экономия по заработной плате и начислениям на нее, в связи с наличием больничных листов.</t>
  </si>
  <si>
    <t xml:space="preserve"> В январе запланированы денежные средства на сумму 864,9 тыс. руб., израсходовано 691,6 тыс. руб. Остаток на текущую дату в размере 173,3 тыс. руб. в связи с меньшим количеством участников соревнований, фактическими расходами за проживание      В феврале произведена помесячная корректировка планов в связи с потребностью.</t>
  </si>
  <si>
    <t>В феврале запланированны денежные средства на сумму 210,7 тыс.руб., израсходованы денежные средства в размере 17,6 тыс.руб. 
Остаток на текущую дату  в размере 193,1 тыс.руб., из них: 
-на  оплату по договорам ГПХ за февраль в марте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</si>
  <si>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всего отклонения</t>
  </si>
  <si>
    <t xml:space="preserve">ПРИЧИНЫ ОТКЛОНЕНИЙ ПЛАНА ОТ КАССЫ, КАКИЕ РАБОТЫ ВЫПОЛНЕНЫ </t>
  </si>
  <si>
    <t>По стостояниюна 01.04.2024 передано на исполнение НКО финансовые средства в размере 1900 тыс. рублей. Финансовые средства на сумму 1741,1 тыс. руб. будут переданы в апреле месяце (конкурсные процедуры проведены, соглашения находятся на подписи)</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</si>
  <si>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</si>
  <si>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Неисполнение по заработной плате и начислениям по оплате труда (предоставление листов временной нетрудоспособности, выплаты денежного поощрения по результатам работы за год за фактически отработанное время)</t>
  </si>
  <si>
    <r>
      <t xml:space="preserve"> В январе денежные средства запланированы в сумме 1840,1 тыс.руб., израсходованно в размере 1177,1 тыс.руб., Остаток денежных средств 662,9  сформировался согласно фактически предоставленным документам      В феврале денежные средства запланированы в сумме 1685,25 тыс.руб., израсходованно в размере 1103,78 тыс.руб., Остаток денежных средств 1244,4  сформировался согласно фактически предоставленным документам         </t>
    </r>
    <r>
      <rPr>
        <b/>
        <sz val="9"/>
        <color rgb="FFFF0000"/>
        <rFont val="Times New Roman"/>
        <family val="1"/>
        <charset val="204"/>
      </rPr>
      <t xml:space="preserve">  В марте денежные средства запланированы в сумме 1717,44 тыс. руб., израсходовано в размере 1527,65 тыс. руб., Остаток денежных средств 1434,2 сформировался согласно фактически предоставленным документам.  (Договора заключены в феврале. Денежные средства не освоены в связи с задержкой товара поставщиком( спорт инвентаря,гимнастические маты, экипировка и т.д.)  Оконч. опл. за приобретение основных средств МБ(полусфера, турник и др.)согл.сч.270 от 26.02.2024г.,д.24ДС-35 от 28.02.2024г.            ИП Белых Владимир Сергеевич          
   -Част.оплата за приобретение основных средств МБ(гонг, лонжа)согл.сч.196 от 14.02.2024г.,д.24ДС-25 от 14.02.2024г.           ИП Белых Владимир Сергеевич 
        - Окон.оплата за приобретение основных средств МБ(груша, мешок)согл.сч.11 от 22.03.2024г.,д.24ДС-25 от 08.02.2024г.        Индивидуальный предприниматель Чурбанов Александр Иванович  
  - Окон.оплата за приобретение основных средств МБ(мешок бокс. и др.)согл.сч.14 от 22.03.2024г.,д.24ДС-47 от 21.03.2024г.         Индивидуальный предприниматель Чурбанов Александр Иванович    
</t>
    </r>
  </si>
  <si>
    <t>Исполнитель: Смекалин Д.А.
тел. 93-861</t>
  </si>
  <si>
    <t>С.С.Алексеев</t>
  </si>
  <si>
    <t>Исполнитель: Колесник Елена Николаевна
тел.93-736</t>
  </si>
  <si>
    <t>П.1.1.1. Развитие системы выявления, поддержки, сопровождения и стимулирования одаренных детей в различных сферах деятельности (03 01 11,12)</t>
  </si>
  <si>
    <t xml:space="preserve">1.3.1.1. Иной межбюджетный трансферт, имеющий целевое назначение на обеспечение выплат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основного общего и среднего общего образования, в том числе адаптированные основные общеобразовательные программы (03 01 59)
</t>
  </si>
  <si>
    <t>1.3.1.3. Субвенции для обеспечения 
государственных гарантий на получение образования и осуществления переданных органам местного самоуправления муниципальных образований Ханты Мансийского автономного округа - Югры отдельных государственных полномочий в области образования в рамках основного мероприятия "Обеспечение реализации основных и дополнительных общеобразовательных программ в образовательных организациях, расположенных на территории Ханты Мансийского автономного округа – Югры" подпрограммы "Общее образование. Дополнительное образование детей" государственной программы "Развитие образования" * (53,54,55)</t>
  </si>
  <si>
    <t>1.3. 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</si>
  <si>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1.4.1. 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 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(03 01 61,62,63,64,65,69)</t>
  </si>
  <si>
    <t>А.В. Ковальчук</t>
  </si>
  <si>
    <t>Хамадуллина А.О.
93-758</t>
  </si>
  <si>
    <t>В соответсвии с фактически оказанными услугами</t>
  </si>
  <si>
    <r>
      <rPr>
        <b/>
        <sz val="12"/>
        <rFont val="Times New Roman"/>
        <family val="1"/>
        <charset val="204"/>
      </rPr>
      <t>МКУ "УКС и ЖКК г.Когалыма":</t>
    </r>
    <r>
      <rPr>
        <sz val="12"/>
        <rFont val="Times New Roman"/>
        <family val="1"/>
        <charset val="204"/>
      </rPr>
      <t xml:space="preserve">
Бюджетные ассигнования перераспределены на мероприятие по ремонту автомобильных дорог (в процессе выполнения работ технологических «окон» потребовалось меньше, чем предусмотрено проектом)</t>
    </r>
  </si>
  <si>
    <r>
      <rPr>
        <b/>
        <sz val="12"/>
        <rFont val="Times New Roman"/>
        <family val="1"/>
        <charset val="204"/>
      </rPr>
      <t>МКУ "УКС и ЖКК г.Когалыма":</t>
    </r>
    <r>
      <rPr>
        <sz val="12"/>
        <rFont val="Times New Roman"/>
        <family val="1"/>
        <charset val="204"/>
      </rPr>
      <t xml:space="preserve">
МК от 08.04.2024 №0187300013724000041 на выполнение работ по монтажу системы автоматической фотовидеофиксации нарушений правил дорожного движения на участке автомобильной дороги от пересечения улицы Дружбы Народов - проспекта Нефтяников до путепровода автодороги Повховское шоссе в городе Когалыме на сумму 2 964,187 тыс.руб.</t>
    </r>
  </si>
  <si>
    <t xml:space="preserve">3.1.2. Организация и проведение городского конкурса среди общеобразовательных организаций на лучшую подготовку граждан РФ к военной службе (03 01 83)
</t>
  </si>
  <si>
    <t>3.1.1. Организация мероприятий 
по развитию духовно -нравственных и 
гражданско-патриотических качеств (03 01 82,81)
молодёжи и детей</t>
  </si>
  <si>
    <t>3.3.1. Финансовое и организационное 
сопровождение по исполнению МАУ «МКЦ «Феникс» муниципального задания, укрепление 
материально-технической базы учреждения 03 01 А1</t>
  </si>
  <si>
    <t xml:space="preserve"> В январе запланированы денежные средства на сумму 130,5,8 тыс. руб., израсходованы денежные средства в размере 28,4 тыс. руб. 
Остаток на текущую дату в размере 102,1 тыс. руб., из них: 
-оплата ГПХ за январь будет произведена в феврале 2024г.
- мед. услуги в связи с фактическими расходами.
В феврале запланированы денежные средства на сумму 1130,4 тыс. руб., израсходованы денежные средства в размере 141,2 тыс. руб. 
Остаток на текущую дату в размере 1091,3 тыс. руб., из них: 
-оплата ГПХ за февраль будет произведена в марте 2024г.
- мед. услуги в связи с фактическими расходами.
-на сумму 224,5 заключен договор на приобретение  кубков и дипломов.денежные средства будут освоены в марте.
 В марте запланированы денежные средства на сумму 242,6, тыс. руб., израсходованы денежные средства в размере 295,3 тыс. руб. 
Остаток на текущую дату в размере 1038,6 тыс. руб., из них: 
-оплата ГПХ за март будет произведена в апреле 2024г.
- мед. услуги в связи с фактическими расходами.
В апреле запланированы денежные средства на сумму 169,0, тыс. руб., израсходованы денежные средства в размере 333,9 тыс. руб. 
Остаток на текущую дату в размере 873,7 тыс. руб., из них: 
-оплата ГПХ за апрель будет произведена в мае 2024г.
- мед. услуги в связи с фактическими расходами.
</t>
  </si>
  <si>
    <t xml:space="preserve"> В январе запланированы денежгые средства на сумму 22467,9 тыс.руб., израсходованы денежные средства в размере 7535,2 тыс.руб. Остаток на текущую дату в размере 14932,7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феврале запланированы денежгые средства на сумму 15159,5 тыс.руб., израсходованы денежные средства в размере 13602,3 тыс.руб. Остаток на текущую дату в размере 16489,9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    В марте запланированы денежные средства на сумму 14292,7 тыс. руб., израсходованы денежные средства в размере 13188,3 тыс. руб. Остаток на текущую дату в размере 1104,4тыс.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В апреле запланированы денежные средства на сумму 20075,5 тыс. руб., израсходованы денежные средства в размере 11509,9 тыс. руб. Остаток на текущую дату в размере 26146,3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 охране объектов, в связи с проведением закупочной процедуры ; 
-по налогам и сборам. </t>
  </si>
  <si>
    <t xml:space="preserve"> В январе запланированы денежные средства на сумму 12,8 тыс. руб.
Остаток на текущую дату в размере 12,8 тыс. руб., из них: 
--оплата ГПХ за январь будет произведена в феврале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марте запланированы денежные средства на сумму 123,7 тыс. руб.
Остаток на текущую дату в размере 118,5 тыс. руб., из них: 
--оплата ГПХ за март будет произведена в апреле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В апреле запланированы денежные средства на сумму 12,82 тыс. руб.
Остаток на текущую дату в размере 78,8 тыс. руб., из них: 
--оплата ГПХ за апрель будет произведена в мае 2024г.
- мед услуги в связи с фактическими расходами;
-приобретение наградной атрибутики и поощрительных призов для награждения спортсменов согласно фактическим расходам
</t>
  </si>
  <si>
    <t xml:space="preserve">В марте денежные средства запланированы в сумме 404,8 тыс. руб.,  Договора в стадии согласования. Денежные средства будут освоены в апреле. (Договор  ИП Чурбанов № 24-ДС-62 поставка расходников для картингов.) В апреле денежные средства не запланированы. Сумма 314,8 запланирована на приобретение шин, расходных материалов для картинга и гимнастических ковриков.  Договор по картингу заключен. Оплата будет произведена после поставки. (согласно договора поставка до 20.0.5.2024г.) На приобретение гимнастических ковриков проходит котировка.
</t>
  </si>
  <si>
    <t xml:space="preserve"> В апреле денежные средства запланированы в сумме 1378,05 тыс. руб., израсходовано в размере 1566,40 тыс. руб., Остаток денежных средств 1335,9 сформировался согласно фактически предоставленным документам. (Оплата за услуги оказанные в апреле по медицинскому сопровождению медсестры тренировочного процесса будет произведена в мае, согл. акта окзанных услуг.</t>
  </si>
  <si>
    <t>4.3.2. Капитальный ремонт здания МАОУ СОШ №7 (03 01 У2)</t>
  </si>
  <si>
    <t xml:space="preserve">Остаток плановых ассигнований сcоставил: 57,75 тыс. руб. в том числе:
1) по местному бюджету - 33,98 тыс. руб. 
-15,83 тыс. руб: оплата труда гражданского персонала (работники приняты не в запланированные даты и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- 18,15 тыс. руб. - возмещение работникам, связанных с прохождением первичного медосмотра. Остаток средств в связи с тпрохожденеим первичного медосмотра ранее.
2) по бюджету ХМАО-Югры - 23,77 тыс. руб.: оплата труда гражданского персонала  (работники приняты не в запланированные даты, отработали не полный месяц) и налоги с заработной платы работников (НДФЛ и страховые взносы будут перечислены в апреле 2024 года (в соответствии со сроками установленными в Налоговом Кодексе РФ)).         </t>
  </si>
  <si>
    <t xml:space="preserve">Остаток плановых ассигнований сcоставил: 533,35 тыс. руб. в том числе:
1) по местному бюджету - 533,35 тыс. руб.  (приобретение спец.одежды). В связи с  проведением котировки и поиском наиболее выгодного предложения.
</t>
  </si>
  <si>
    <t xml:space="preserve">Остаток плановых ассигнований сcоставил: 304,24 тыс. рублей, в том числе:
1) по местному бюджету - 304,24 тыс. руб. (налоги с заработной платы работников). НДФЛ и страховые взносы будут перечислены в мае 2024 года (в соответствии со сроками установленными в Налоговом Кодексе РФ).               
 </t>
  </si>
  <si>
    <t>Остаток плановых ассигнований составил: 54,74 тыс. рублей в том числе:
1) по местному бюджету -54,74 тыс. руб. (приобретение мягкого инвентаря и прочих мат.запасов).  В связи с поиском наиболее выгодного предложения.</t>
  </si>
  <si>
    <t>Остаток плановых ассигнований по бюджету автономного округа в сумме 503,42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Специалистами отдела по труду и занятости: рассмотрено 310 устных и 1 письменное обращений, поступивших от организаций и работников касающихся охраны труда,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</si>
  <si>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r>
      <rPr>
        <b/>
        <sz val="12"/>
        <rFont val="Times New Roman"/>
        <family val="1"/>
        <charset val="204"/>
      </rPr>
      <t>МКУ "УКС и ЖКК г.Когалыма":</t>
    </r>
    <r>
      <rPr>
        <sz val="12"/>
        <rFont val="Times New Roman"/>
        <family val="1"/>
        <charset val="204"/>
      </rPr>
      <t xml:space="preserve">
Заключен МК от 08.04.2024 №23/2024 с ООО "ДорГИС"на оказание услуг по проведению мониторинга дорожного движения на автомобильных дорогах местного значения муниципального образования город Когалым на сумму 500,00 тыс.руб.</t>
    </r>
  </si>
  <si>
    <t>2.2.6. Обустройство пешеходных переходов города Когалыма объектами дорожной инфраструктуры</t>
  </si>
  <si>
    <t>МКУ "УКС и ЖКК г.Когалыма", МБУ "КСАТ"</t>
  </si>
  <si>
    <t xml:space="preserve"> </t>
  </si>
  <si>
    <t>ПК. 1.1. Реализация инициативного проекта "развитие и популяризация зимних видов спорта в г. Когалыме"</t>
  </si>
  <si>
    <t>3.1.1 Строительство, реконструкция, капитальный ремонт объектов инженерной инфраструктуры на территории города Когалыма (в том числе ПИР)</t>
  </si>
  <si>
    <t>п.п. 3.1.2 «Магистральные инженерные сети водоснабжения и канализации жилых комплексов «Философский камень» и «ЛУКОЙЛ» в городе Когалыме»</t>
  </si>
  <si>
    <t>бюджет Ханты-Мансийского автономного округа - Югры</t>
  </si>
  <si>
    <t>Отклонение сложилось в результате заключения контрактов на меньшую стоимость в результате закупочных процедур по 44 - ФЗ РФ</t>
  </si>
  <si>
    <t>1.1.1.  Организация и проведение конкурса социально значимых проектов среди социально ориентированных некоммерческих организаций города Когалыма</t>
  </si>
  <si>
    <t>Март: Неисполнение плановых ассигнований в сумме 203,2. Мероприятие будет проводится в мае 2024 г. Закупка продукции оплачена сейчас, оставшиеся ассигнования будут потрачены в мае, после завершения мероприятия Апрель: остаток ассигнований в сумме 176,0 тыс.руб. Мероприятие будет проводится в мае 2024 года. Май: Исполнение плановых ассигнований в полном объеме</t>
  </si>
  <si>
    <t>п.п 1.1. "Реализация инициативного проэкта "Литературный сквер"</t>
  </si>
  <si>
    <t>п.п. 1.2  Объект "Архитектурная композиция "Термометр", наружное освещение сквера</t>
  </si>
  <si>
    <t>п.п. 1.2  Объект благоустройства "Этностойбище коренных народов ХМАО -Югры "Вонг-Лунг" (лесной дух) в г.Когалыме"</t>
  </si>
  <si>
    <t>15.00</t>
  </si>
  <si>
    <t>п.п. 1.2  Строительство объекта благоустройства "Экотропа в городе Когалыме"</t>
  </si>
  <si>
    <t>п.п. 1.2  Строительство объекта благоустройства "Сквер по Солнечному проезду в городе Когалыме"</t>
  </si>
  <si>
    <t>Муниципальный контракт № 0187300013724000097 от 27.05.2024 г. на выполнение работ по ремонту объектов благоустройства дворовой территории по адресу: город Когалым, улица Степана Повха, дом 16
-цена контракта 8 749,79 тыс.руб.;
-срок выполнения работ: 15.10.2024 г.;
-ведется выполнение работ.</t>
  </si>
  <si>
    <t>3.1.2. Обеспечение деятельности муниципального казенного учреждения «Редакция газеты «Когалымский вестник»</t>
  </si>
  <si>
    <t>окружной бюджет</t>
  </si>
  <si>
    <t>Остаток плана на 01.06.2024г. составляет 55211,18 руб. Услуги связи (фактические расходы на услуги связи (м/г) сложились меньше, чем было запланировано).Приобретение маркированной продукции, канцтоваров (бумага) по факту поставки товара.</t>
  </si>
  <si>
    <t>Заключен муниципальный контракт от 11.03.2024 №0187300013724000011 с ИП Исмаиловым Араз Казанфар оглы на выполнение работ по ремонту участкового пункта полиции, расположенного по адресу: г.Когалым, ул.Дружбы Народов, д.8 на сумму 591 978,93 рублей. 
Работы по контракту выполнены и оплачены в полном объеме.</t>
  </si>
  <si>
    <t>1206.11</t>
  </si>
  <si>
    <r>
      <t xml:space="preserve">МКУ "УКС и ЖКК г.Когалыма":
</t>
    </r>
    <r>
      <rPr>
        <sz val="12"/>
        <rFont val="Times New Roman"/>
        <family val="1"/>
        <charset val="204"/>
      </rPr>
      <t xml:space="preserve"> В соответствии с постановлением Администрации города Когалыма от 29.05.2024 №1026 перераспределены ПА на установку светофорных объектов в районе лыжной базы "Снежинка" и в районе парка Победы в сумме 2 333,75 тыс.руб., а также на обустройство объектов дорожной инфраструктуры в сумме 1 113,110 тыс.руб. (отв. исполнитель МБУ "КСАТ").
МК от 28.06.2024 №45/2024 на выполнение работ по разработке проекта на перенос кабелей светофорного объекта, расположенного на пересечении улиц Мира-Молодежная в подземную канализацию в городе Когалыме на сумму 275,0 тыс.руб.</t>
    </r>
  </si>
  <si>
    <r>
      <rPr>
        <b/>
        <sz val="12"/>
        <rFont val="Times New Roman"/>
        <family val="1"/>
        <charset val="204"/>
      </rPr>
      <t>МКУ "УКС и ЖКК г.Когалыма":</t>
    </r>
    <r>
      <rPr>
        <sz val="12"/>
        <rFont val="Times New Roman"/>
        <family val="1"/>
        <charset val="204"/>
      </rPr>
      <t xml:space="preserve">
МК от 15.04.2024 №0187300013724000046 на выполнение работ по сторительству сетей наружного освещения автомобильной дороги по проспекту Нефтяников (от улицы Ноябрьская до путепровода) на сумму 3 732,16 тыс.руб.
В соответствии с решением Думы г.Когалыма от 19.06.2024 №410-ГД экономия плановых ассигнований по итогам электронного аукциона в сумме 3 105,1 тыс.руб. перераспределена на другие мероприятия в рамках муниципальных программ города Когалыма.</t>
    </r>
  </si>
  <si>
    <t xml:space="preserve"> 3.1.3. Перенос кабелей системы автоматической фотовидеофиксации нарушений правил дорожного движения города Когалыма в подземную канализацию на улице Мира</t>
  </si>
  <si>
    <r>
      <rPr>
        <b/>
        <sz val="12"/>
        <rFont val="Times New Roman"/>
        <family val="1"/>
        <charset val="204"/>
      </rPr>
      <t>МКУ "УКС и ЖКК г.Когалыма":</t>
    </r>
    <r>
      <rPr>
        <sz val="12"/>
        <rFont val="Times New Roman"/>
        <family val="1"/>
        <charset val="204"/>
      </rPr>
      <t xml:space="preserve">
На основании решения Думы г.Когалыма от 19.06.2024 №410-ГД выделены плановые ассигнования  в сумме 3 922,9 тыс.руб. на перенос кабелей системы автоматической фотовидеофиксации нарушений ПДД г.Когалыма в подземную канализацию на ул.Мира.</t>
    </r>
  </si>
  <si>
    <t>Заключно соглашение о предоставление из  бюджета города Когалыма Югорскому фонду капитального ремонта многоквартирных домов субсидии на долевое финансирование обеспечение  проведения капитального ремонта общего имущества в многоквартирных домах, расположенных на территории города Когалыма № 31/МС от 06.05.2024 года;</t>
  </si>
  <si>
    <t>-сумма соглашения: 2 958 026,73</t>
  </si>
  <si>
    <t>-сроки предоставления : с 06.05.2024 по 31.12.2024 г.</t>
  </si>
  <si>
    <t>На отчетную дату ведется исполнение следующих контрактов:
1. Муниципальный контаркт № 5К/2023 от 20.11.2023 на выполнение работ по объекту: "Реконструкция участка ВЛ 35кВ ПП-35кВ "Аэропорт "ПС №35"
-сроки выполнения работ 14.02.2024;
-цена контракта 43 988,590 тыс.руб; в 2023 году перечислен аванс в размере 30% от цены контракта, что составило 13 196,58 тыс.руб;
- срок окончания работ 30.06.2024г. ( Дополнительное соглашение № 3 от 22.05.2024)</t>
  </si>
  <si>
    <t>2. Муниципальный контракт № Т2/23/0013-ДТП от 18.12.2023 на осуществление технологического присоединения к электрическим сетям Этнодеревни в городе Когалыме.
-срок выполнения работ по 25.12.2024;
-цена контракта 8697,74 тыс.руб; по условиям которого произведено авансирование 10%, что составляет 869,774 тыс.руб.
В адрес филиала АО "Россети Тюмень"  направлено письмо от 18.03.2024 №69-Исх-820 о расторжении договора.
 Технологическое присоединение объекта включено в инвестиционную программу АО "ЮТЭК-Региональные сети".</t>
  </si>
  <si>
    <t xml:space="preserve">3. Контракт № 1229-23 от 29.12.2023 (функции заказчика переданы 02.02.2024г.) на выполнение проектно изыскательских работ для строительства объекта: "Котельная по улице Сибирская и магистральные сети теплоснабжения в городе Когалыме"
-срок выполнения работ 30.10.2024 г.;
-цена контракта 22 602,62 тыс.руб;
-ведется выполнение работ.
Неисполнение сетевого графика из-за нарушения сроков выполнения работ и начатой процедуры расторжения договора.
В соответствии с решением Думы города Когалыма от 19.06.2024 №410-ГД:
- выделены плановые ассигнования в размере 107,6 тыс. руб. на технологическое присоединение для электроснабжения объекта: "Котельная по улице Сибирской и магистральные тепловые сети в городе Когалыме" 
-закрыты плановые ассигнования по соглашению с ПАО "Лукойл" в размере 149,46 тыс.руб.
</t>
  </si>
  <si>
    <t>п.п 3.1.3 Разработка топливно-энергетического баланса города Когалыма за 2023 год и актуализация прогнозного баланса  до 2030 года</t>
  </si>
  <si>
    <t>Оплата б/л за счет работодателя.</t>
  </si>
  <si>
    <t>Компенсация стоимости путевок на санаторно - курортное лечение.</t>
  </si>
  <si>
    <t xml:space="preserve">1.1.1. Развитие системы выявления, поддержки, сопровождения и стимулирования одаренных 
детей в различных сферах деятельности 03 01 </t>
  </si>
  <si>
    <t>1.3.1.4. Субвенции на выплату компенсации части родительской платы за присмотр и уход за детьми в образовательных организациях, реализующих образовательные программы дошкольного образования в рамках основного мероприятия "Финансовое обеспечение полномочий исполнительного органа государственной власти Ханты-Мансийского автономного округа –Югры по исполнению публичных обязательств перед физическими лицами" подпрограммы "Ресурсное обеспечение в сфере образования, науки и молодежной политики" государственной программы "Развитие образования"  (сады и уо) (020105)</t>
  </si>
  <si>
    <t>1.4.2. Организации культурно 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 (66,67,68)</t>
  </si>
  <si>
    <t>3.2.1. Организация мероприятий, проектов по повышению уровня потенциала и вовлечению молодёжи в творческую деятельность (91,92)</t>
  </si>
  <si>
    <t xml:space="preserve">3.2.2. Организация мероприятий, проектов по вовлечению молодежи в добровольческую 
деятельность (03 01 93)
</t>
  </si>
  <si>
    <t xml:space="preserve">3.2.4. 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 (03 01 95)
</t>
  </si>
  <si>
    <t xml:space="preserve">3.3.2. Обеспечение хозяйственного обслуживания и надлежащего состояния учреждения молодежной политики (03 01 А2)
</t>
  </si>
  <si>
    <t>4.1.3. Финансовое и организационно методическое сопровождение по исполнению МАУ «Информационно ресурсный центр города 
Когалыма» муниципального задания на 
оказание муниципальных услуг (выполнение работ), оснащение материально технической базы 
организации (03 01 И3)</t>
  </si>
  <si>
    <t>1.3.1.2. Реализация полномочий органов местного самоуправления в сфере 
общего образования (51,52</t>
  </si>
  <si>
    <t>Муниципальный контракт № 0187300013724000090 от 24.05.2024  на выполнение работ на выполнение работ по строительству объекта благоустройства "Литературный сквер в городе Когалыме" 
-цена контракта 19 001,24 тыс.руб.;
-перечислен аванс в сумме 9 120,54 тыс.руб. (48%)
-срок выполнения работ: 16.08.2024 г.;
-ведется выполнение работ.</t>
  </si>
  <si>
    <t>Финансовая поддержка предоставлена 3 субъектам предпринимательской деятельности. На оставшийся объем финансирования объявлен дополнительный приём заявок (срок приёма с 09.07 по 19.07.2024).</t>
  </si>
  <si>
    <t>17 субъектов предпринимательской деятельности стали получателями финансовой поддержки по данному мероприятию</t>
  </si>
  <si>
    <t>8 субъектов предпринимательской деятельности стали получателями финансовой поддержки по данному мероприятию</t>
  </si>
  <si>
    <t>9 субъектов предпринимательской деятельности стали получателями финансовой поддержки по данному мероприятию</t>
  </si>
  <si>
    <t>16 субъектов предпринимательской деятельности стали получателями финансовой поддержки по данному мероприятию</t>
  </si>
  <si>
    <t>1.Муниципальный контракт №0187300013724000020 от 25.03.2024 на выполнение работ по строительству объекта благоустройства "Этнодеревня в городе Когалыме" 3 этап:
- цена контракта 21 952,37 тыс.рублей;
- срок выполнения работ: 01.08.2024 г.
- внесены изменения в существенные условия контракта, в части установления аванса в размере 45% от цены контракта, перечислен аванс в сумме 9 878, 57 тыс.руб. (45%),                                                                                                               2.На основании решения Думы города Когалыма от 19.06.2024 № 410-ГД перераспределения экономии ПА сложившейся по результатам проведения электронного аукциона в сумме - 35,8 тыс.руб.</t>
  </si>
  <si>
    <t>1.Муниципальный контракт № 0187300013724000088 от 24.05.2024 на выполнение проектно-изыскательских работ для строительства объекта благоустройства "Экотропа в городе Когалыме".
- цена контракта: 799,07 тыс.руб.;
- срок выполнения работ: 01.08.2024 г.
- ведется выполнение работ.                                                                                          2.На основании решения Думы города Когалыма от 19.06.2024 № 410-ГД перераспределение экономии ПА, сложившейся по результатам проведения электронного аукциона в сумме - 757,9 тыс.руб.</t>
  </si>
  <si>
    <t xml:space="preserve">Предоставление неисключительных прав на использование программного обеспечения по защите информации
«Компонент Device Control программного комплекса «Кибер Протего» (с дополнительной лицензией Компонента Search Server программного комплекса «Кибер Протего» на 116 рабочих мест
</t>
  </si>
  <si>
    <t>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t>
  </si>
  <si>
    <t xml:space="preserve">ПРИЧИНЫ ОТКЛОНЕНИЙ НЕОБХОДИМО ПРОПИСАТЬ (Неисполнение в связи с изменением порядка финансирования МБТ и перечислением средств  по фактической потребности)       
20,31 тыс. рублей (ФБ)
31,70 тыс. рублей (ОБ)
0,54 тыс. рублей (МБ) </t>
  </si>
  <si>
    <t>Страхование народных дружинников согласно выставленного счета на основании заключенного контракта</t>
  </si>
  <si>
    <t>Сложилась экономия 15,68 тыс.рублей согласно заключенного контракта</t>
  </si>
  <si>
    <t>Сложилась экономия 15,86 тыс.рублей согласно заключенного контракта</t>
  </si>
  <si>
    <t>План на 01.08.2024</t>
  </si>
  <si>
    <t>Профинансировано на 01.08.2024</t>
  </si>
  <si>
    <t>Кассовый расход на 01.08.2024</t>
  </si>
  <si>
    <r>
      <rPr>
        <b/>
        <sz val="12"/>
        <rFont val="Times New Roman"/>
        <family val="1"/>
        <charset val="204"/>
      </rPr>
      <t>МКУ "УКС и ЖКК г.Когалыма":</t>
    </r>
    <r>
      <rPr>
        <sz val="12"/>
        <rFont val="Times New Roman"/>
        <family val="1"/>
        <charset val="204"/>
      </rPr>
      <t xml:space="preserve">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54 339,0 тыс.руб. на ремонт автомобильных дорог г.Когалыма, в т.ч.:
- на участок улицы Дружбы Народов (от кольцевого пересечения улиц Дружбы Народов-Береговая до моста через реку Ингуягун на км 2+289 автодороги улица Дружбы Народов), 0,15 км, в сумме 4 716,0 тыс.руб.;
- на участок улицы Повховское шоссе (подходы к Путепроводу), 0,75 км, в сумме 29 670,0 тыс.руб.;
- на участок улицы проспект Нефтяников (поворот на ПТП), 0,27 км, в сумме 6 765,0 тыс.руб.;
- на участок улицы Романтиков (участок от улицы Береговая до улицы Нефтяников), 0,40 км, в сумме 13 188,0 тыс.руб.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 Услуги по МК оказаны и оплачены в полном объеме. Заключен МК от 27.05.2024 №35/2024 на оказание услуг по проведению негосударственной экспертизы проверки достоверности сметной стоимости ремонта автомобильных дорог города Когалыма (Шмидта, Бакинская) на сумму 26,0 тыс.руб.
Закючены МК на выполнение работ по ремонту автомобильных дорог города Когалыма :  
- участок ул. Проспект Нефтяников (поворот на ПТП) на сумму 7 324,12 тыс.руб.;
- участок ул. Романтиков, ул.Береговая до Нефтяников на сумму 19 418,912 тыс.руб.;
- участок ул.Повховское шоссе (подходы к Путепроводу) на сумму 39 883,29 тыс.руб.;
- ул. Бакинская на сумму 35 845,129 тыс.руб.;
- ул. Шмидта на сумму 18 345,151 тыс.руб.
В соответствии с решением Думы г.Когалыма от 19.06.2024 №410-ГД плановые ассигнования:
- в сумме 1 856,8 тыс.руб. перераспределены на п.п.2.2.4.  Перенос кабелей светофорного объекта, расположенного на пересечении улиц Мира - Молодежная в подземную канализацию;
- в сумме 72 927,0 тыс.руб. скорректированы с мероприятия п.п.2.1.3 Реконструкция развязки Восточной (проспект Нефтяников, улица Ноябрьская).</t>
    </r>
  </si>
  <si>
    <r>
      <rPr>
        <b/>
        <sz val="12"/>
        <rFont val="Times New Roman"/>
        <family val="1"/>
        <charset val="204"/>
      </rPr>
      <t>МКУ "УКС и ЖКК г.Когалыма":</t>
    </r>
    <r>
      <rPr>
        <sz val="12"/>
        <rFont val="Times New Roman"/>
        <family val="1"/>
        <charset val="204"/>
      </rPr>
      <t xml:space="preserve">
 В соответствии с решением Думы г.Когалыма от 19.06.2024 №410-ГД на данное мероприятие дополнительно перераспределены плановые ассигнования в сумме 767,9 тыс.руб.
Заключены МК на оказание услуг по проведению лабораторных исследований материалов, применяемых при ремонте автомобильных дорог, в том числе проведение инженерно-геодезических измерений:
- от 10.07.2024 №52/2024 на сумму 227,83 тыс.руб. (на участках автодорог: по проспекту Нефтяников (в районе поворота на ПТП), по ул. Романтиков (от ул.Береговая до ул.Нефтяников), по ул. Дружбы Народов (от кольцевого пересечения улиц Дружбы Народов-Береговая до моста через реку Ингуягун на км 2+289 автодороги улица Дружбы Народов);
- от 24.07.2024 №56/2024 на сумму 265,525 тыс.руб. (на участке автодороги Повховское шоссе, подходы к Путепроводу);
- от 24.07.2024 №57/2024 на сумму 170,885 тыс.руб. (на участке автодороги по ул.Шмидта);
- от 24.07.2024 №58/2024 на сумму 323,325 тыс.руб. (на участке автодороги по ул.Бакинская).</t>
    </r>
  </si>
  <si>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2024 году на сумму 180,0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
В соответствии с решением Думы г.Когалыма от 19.06.2024 №410-ГД:
-  скоррректированы плановые ассигнования в сумме 72 927,0 тыс.руб. на мероприятие п.п.2.1.1. Ремонт, в том числе капитальный, автомобильных дорог общего пользования местного значения (в том числе проезды и устройство ливневой канализации);
- выделены плановые ассигнования в сумме 1 227,2 тыс .руб. на оказание услуг по лабораторному сопровождению СМР по объекту Реконструкция развязки Восточной (проспект Нефтяников, улица Ноябрьская).
Заключен МК от 23.07.2024 №0187300013724000170 на оказание услуг по осуществлению лабораторного и инструментального контроля качества работ на объекте: Реконструкция развязки Восточной (проспект Нефтяников, улица Ноябрьская) в городе Когалыме  на сумму 1 227,2 тыс.руб.</t>
    </r>
  </si>
  <si>
    <t xml:space="preserve"> Заключен МК от 08.07.2024 №0187300013724000139 на выполнение работ по установке светофорных объектов в районе пешеходных пееходов по улице Сибирской в городе Когалыме на сумму 2 109,79 тыс.руб.</t>
  </si>
  <si>
    <t xml:space="preserve">Неисполнение плановых ассигнований в размере 2 807,87 тыс. рублей по заработной плате и начислениям на выплаты по оплате труда, в связи с наличием вакансий, предоставлением листов нетрудоспособности </t>
  </si>
  <si>
    <t>Подпрограмма 3.«Создание условий для обеспечения качественными коммунальными услугами».</t>
  </si>
  <si>
    <t xml:space="preserve">Муниципальный контракт № 0187200001724001244 от 08.07.2024  на строительство объекта: "Магистральные инженерные сети водоснабжения и канализации жилых комплексов "Философский камень" и "ЛУКОЙЛ" в городе Когалыме"
-сроки выполнения работ 25.11.2024;
-цена контракта 80 607,12 тыс.руб; по условиям которого произведено авансирование 10%, что составляет 8 060,71 тыс.руб.
-ведется выполнение работ.
</t>
  </si>
  <si>
    <t>Муниципальный контракт № 49/2024 от 01.07.2024 на оказание услуг по разработке топливно-энергетического баланса города Когалыма за 2023 год и актуализация прогнозного баланса на период до 2030 года.
-срок выполнения работ 01.09.2024 г.;
-цена контракта 118,0  тыс.руб;
-ведется оказание услуг.</t>
  </si>
  <si>
    <r>
      <t xml:space="preserve">Остаток плана на </t>
    </r>
    <r>
      <rPr>
        <b/>
        <sz val="12"/>
        <rFont val="Times New Roman"/>
        <family val="1"/>
        <charset val="204"/>
      </rPr>
      <t xml:space="preserve">01.08.2024г. </t>
    </r>
    <r>
      <rPr>
        <sz val="12"/>
        <rFont val="Times New Roman"/>
        <family val="1"/>
        <charset val="204"/>
      </rPr>
      <t xml:space="preserve">составляет </t>
    </r>
    <r>
      <rPr>
        <b/>
        <sz val="12"/>
        <rFont val="Times New Roman"/>
        <family val="1"/>
        <charset val="204"/>
      </rPr>
      <t>9203,93 тыс.руб.</t>
    </r>
    <r>
      <rPr>
        <sz val="12"/>
        <rFont val="Times New Roman"/>
        <family val="1"/>
        <charset val="204"/>
      </rPr>
      <t>, в том числе:                                                                                                                                                                                                                                                                                                                          1) 1639,15 тыс.руб. - оплата труда гражданского персонала и начисления на них (выплата премии по итогам работы за 2023 год за фактически отработанное время, наличие вакансий), оплата листа по временной нетрудоспособности за счет работодателя за первые три дня по факту), проезд в отпуск и обратно;
2) 411,65 тыс.руб. - в связи с фактическими расходами на услуги связи;
3) 1113,25 тыс.руб. -  в связи с фактическими расходами на оплату коммунальных услуг согласно показаниям приборов учета;
4) 1801,24 тыс.руб. - в связи с фактическими расходами (замена расходных материалов) на оплату услуг: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t>
    </r>
    <r>
      <rPr>
        <sz val="12"/>
        <color rgb="FFFF0000"/>
        <rFont val="Times New Roman"/>
        <family val="1"/>
        <charset val="204"/>
      </rPr>
      <t xml:space="preserve">
</t>
    </r>
    <r>
      <rPr>
        <sz val="12"/>
        <rFont val="Times New Roman"/>
        <family val="1"/>
        <charset val="204"/>
      </rPr>
      <t>5) 58,87 тыс.руб. - предоставление права использования системы "Контур-Экстерн", тех.поддержка программного обеспечения "Кибер Бэкап", согласно коммерчеческих предложений заключено на меньшую сумму, чем было запланировано. Оплата за установку и настройку программно-аппаратного комплекса VipNet IDS NS1000 3.х. будет осуществлено по факту поставки оборудования.
6) 652,53 руб. - по факту начисления налога на имущество;
7) 3527,24 руб. - оплата оборудования, оргтехники, расходных материалок оргтехнике по факту поставки товара.</t>
    </r>
  </si>
  <si>
    <t>"1.Муниципальный контракт №0187300013724000066 от 26.04.2024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2 864,95 тыс.руб;
-срок завершения работ:19.08.2024
2. Муниципальный контракт № 41/2024 от 13.06.2024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591,21 тыс.руб;
-срок завершения работ: 12.08.2024.
3. Муниципальный контракт № 42/2024 от 13.06.2024 на выполнение работ по замене декоративной панели на оконных блоках в здании Администрации города Когалыма, расположенном по адресу улица Дружбы Народов, 7
-цена контракта: 194,95 тыс.руб;
-срок завершения работ: 12.08.2024.
4. Муниципальный контракт № 0187300013724000144 от 22.07.2024 на выполнение работ по частичному ремонту кровли здания Администрации города Когалыма, расположенного по адресу: город Когалым, улица Дружбы Народов, дом 7.
-цена контракта: 5 068,83 тыс.руб;
-срок завершения работ:01.10.2024.
"1. Муниципальный контракт №0187300013724000031 от 29.03.2024 на выполнение работ по разработке проектно-сметной документации для выполнения капитального ремонта здания МАУ «Молодёжный комплексный центр «Феникс» в городе Когалыме», расположенного по улице Сибирская, 11:
- цена контракта 2 791,29 тыс.руб.;
- срок завершения работ 29.11.2024 г.;
2.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1058,9 тыс.руб. - бюджет города Когалыма.
"1.Контракт 4/Р от 28.04.2023 на выполнение ремонтных работ:
- цена контракта 99 266,00 тыс. руб.;
- перечислен аванс в сумме 29 779,80 тыс. руб. (30%);
- срок завершения выполнения работ 15.02.2024 г.
- работы выполнены и оплачены в полном объеме.
2. Контракт 14/Р от 05.10.2023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-цена контракта 2 976,00 тыс.руб; (произведена оплата за фактически выполненные работы в 2023 году 2 137,97 тыс.руб)
-срок завершения выполненных работ:15.02.2024 г.
-работы выполнены и оплачены в полном объеме.
3. Контракт № 4/Р от 18.06.2024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 цена контракта 50 000,0 тыс. руб.;
- выплачен аванс в сумме 15 000,0 тыс. руб. (30%) 
- срок завершения выполнения работ 31.10.2024 г.
"1..Муниципальный контракт №16/2024 от 07.03.2024 на выполнение работ по разработке проектной документации на установку коммерческих узлов учёта тепловой энергии на объекте ""Комплекс зданий, находящихся в муниципальной собственности"" по адресу г. Когалым ул. Янтарная, 10:
- цена контракта 125,99 тыс.руб;
- работы выполнены и оплачены в полном объеме.
2. Муниципальный контракт № 0187300013724000055 от 19.04.2024 на выполнение работ по капитальному ремонту АИТП в комплексе зданий, находящихся в муниципальной собственности по адресу: город Когалым, улица Янтарная, 10;
-цена контракта 6 559,57 тыс.руб;
-начало работ: 17.06.2024
-срок окончания работ: 21.10.2024.
"1.Муниципальный контракт № 43/2024 от 25.06.2024 на выполнение работ по ремонту жилого помещения, расположенного по адресу: город Когалым, улица Дорожников, дом 2, квартира 22
- цена контракта 435,90 тыс.руб.;
- срок завершения работ 26.08.2024 г.;
2. Муниципальный контракт № 0187300013724000146 от 19.07.2024 на выполнение работ по ремонту жилого помещения, находящегося в муниципальной собственности, расположенном по адресу: город Когалым, улица Таллинская, дом 17, квартира 46;
- цена контракта 814,00 тыс.руб.;
- срок завершения работ 01.10.2024 г.;
3. Муниципальный контракт № 0187300013724000147 от 19.07.2024 на выполнение работ по ремонту жилого помещения, находящегося в муниципальной собственности, расположенном по адресу: город Когалым, улица Привокзальная, дом 3, квартира 14;
- цена контракта 749,00 тыс.руб.;
- срок завершения работ 01.10.2024 г.;
4. Муниципальный контракт № 0187300013724000149 от 19.07.2024 на выполнение работ по ремонту квартир №2, №6, находящихся в муниципальной собственности, расположенных по адресу: город Когалым, улица Олимпийская, дом 3;
- цена контракта 1 070,00 тыс.руб.;
- срок завершения работ 01.10.2024 г.;
5. Муниципальный контракт № 0187300013724000152 от 19.07.2024 на выполнение работ по ремонту жилого помещения, находящегося в муниципальной собственности, расположенном по адресу: город Когалым, улица Нефтяников, дом 9, квартира 4;
- цена контракта 940,00 тыс.руб.;
- срок завершения работ 01.10.2024 г.;
6. Муниципальный контракт № 0187300013724000148 от 19.07.2024 на выполнение работ по ремонту жилого помещения, находящегося в муниципальной собственности, расположенном по адресу: город Когалым, улица Мира, дом 14, квартира 46 ;
- цена контракта 739,00 тыс.руб.;
- срок завершения работ 01.10.2024 г.;
7. Муниципальный контракт №  0187300013724000145 от 19.07.2024 на выполнение работ по ремонту жилого помещения, находящегося в муниципальной собственности, расположенном по адресу: город Когалым, улица Ленинградская, дом 17, квартира 50; 
- цена контракта 775,94,00 тыс.руб.;
- срок завершения работ 01.10.2024 г.;</t>
  </si>
  <si>
    <t>Отклонение от плана составляет 6643,7тыс.руб. в том числе:
1. 2889,1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895,7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970,8 тыс.руб.  -неисполнение субсидии по статье начисления на оплату труда возникло в связи с оплатой страховых взносов в августе 2024г.
4.  28,3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45,1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614,7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80.5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212,4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230,1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212,1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125,2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182,9 тыс.руб. неисполнение субсидии по статье  оплата земельного и  транспортного налога, оплата будет произведена согласно декларации
13. 58,1 тыс. руб. неисполнение по статье расходов  пособий по уходу за ребенком инвалидом, оплата  произведена по факту предоставленных документов
14. 48,7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49,0 тыс.рублей неисполнение по статье расходов  социальные компенсации персоналу в натуральной форме, оплата будет произведена по факту предоставленных документов</t>
  </si>
  <si>
    <t>1.1.   Создание, содержание, ремонт, в том числе капитальный объектов городского хозяйства города Когалыма» (I,4,6,8,12)</t>
  </si>
  <si>
    <t xml:space="preserve">1.5. Организация мероприятий при осуществлении деятельности по обращению с животными без владельцев (7,10) </t>
  </si>
  <si>
    <t>1.8 Обследование и снос зданий, сооружений, расположенных на территории города Когалыма (11)</t>
  </si>
  <si>
    <t xml:space="preserve">Отклонение от плана составляет 15870,3 тыс.руб. в том числе:
1. 6541,9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1657,2 тыс.руб.  -неисполнение субсидии по статье начисления на оплату труда возникло в связи с оплатой страховых взносов в июле 2024г.
3. 11,82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1577,98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289,3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7214,51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4 Оплата за оказание услуг по содержанию цветников будет произведена по факту выставленных документов к оплате
7. 197,15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1197,56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будет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25,98 тыс. руб. - неисполнение по статье расходов прочие расходы  оплата налога на имущество будет произведена в феврале, в связи со сдачей декларации в апреле 2024г.
10. 0,06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11. 0,35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46,1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292,14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15. 1228,95 тыс. руб. неисполнение субсидии по статье  расходов на приобретение основных средств, оплата будет произведена по факту поставки товара
</t>
  </si>
  <si>
    <t xml:space="preserve">     На оказание услуг по очистке и вывозу снегу с территории города Когалыма в 2024-2025 годах заключены МК:
- №0187300013723000349 от 17.10.2023 с ООО "РУСАВТО" на сумму 17 272,25 тыс.руб. Работы выполнены на сумму 8 277,66 тыс.руб. МК расторгнут по соглашению Сторон;
- №0187300013723000351 от 23.10.2023 с ООО "ТФК КИТ" на сумму 14 154,87 тыс.руб.;
- №0187300013723000352 от 23.10.2023 с ООО "ТФК КИТ"на сумму 18 932,41 тыс.руб.;
- №0187300013723000353 от 23.10.2023  с ООО "РУСАВТО" на сумму 14 968,32 тыс.руб. Работы выполнены на сумму 7027,97 тыс.руб. МК расторгнут по соглашению Сторон.
     Работы ведутся. Оплата производится по факту выполненных работ.
     В соответствии с постановлением Администрации г.Когалыма от 22.05.2024 №975 перераспределена экономия плановых ассигнований с ремонта пешеходного моста через реку Ингу-Ягун по адресу: город Когалым, район Административного здания блока «С» в сумме 599,9 тыс.руб.
     На основании решения Думы г.Когалыма от 19.06.2024 выделены дополнительные плановые ассигнования в сумме 6324,7 тыс.руб.</t>
  </si>
  <si>
    <t xml:space="preserve">     Заключены МК:
- №0187300013723000393 от 15.12.2023 с ИП Сагидовым М.С.  на сумму 1 159,686 тыс.руб. на оказание услуг по содержанию площадок для выгула животных. Период оказания услуг с 01.01.2024 по 31.12.2025.
- №0187300013723000397 от 15.12.2023 с ИП Сагидовым М.С.  на сумму 540,565 тыс.руб. на оказание услуг по содержанию мест (площадок) накопления твердых комунальных отходов. Период оказания услуг с 01.01.2024 по 31.12.2024;
- №7/2024 от 01.02.2024 с ИП Скляр Л.П. на сумму 302,5 тыс.руб.на оказание услуг по содержанию специальных урн (дог-боксов). Период оказания услуг с 01.01.2024 по 31.12.2024;
- №0187300013724000013 от 11.03.2024 на сумму 1 977,23 тыс.руб. с ИП Козер С.А. на выполнение работ по ремонту тротуара от административного здания ООО "АИК" вдоль улицы Мира в г.Когалыме;
- №0187300013724000023 от 26.03.2024 на сумму 708,63 тыс.руб. на выполнение работ по ремонту тротуаров в городе Когалыме;
- №20/2024 от 27.03.2024 с ООО "Экотехсервис"на сумму 594,00 тыс.руб. на оказание услуг по откачке дождевых вод;
- №21/2024 от 28.03.2024 с ИП Никулиной Н.Э. на сумму 391,17 тыс.руб. на поставку флагов;
- №0187300013724000036 от 05.04.2024 с ИП Козер С.А. на сумму 1 396,89 тыс.руб. на выполнение работ по обустройству тротуара от жилого дома по улице Молодежная, дом 26 до жилого дома по улице Ленинградская, дом 8 в городе Когалыме;
- №0187300013724000034 от 15.04.2024 с ООО "Юграпромэнерго" на сумму 6 152,24 тыс.руб. на выполнение работ по ремонту тротуаров в городе Когалыме (вдоль ул. Ленинградская 1, 9,17,19);
- №0187300013724000067 от 02.05.2024 с ООО "АКВАСТРОЙ-СЕРВИС" на выполнение работ по обустройству ливневой канализации в районе детской поликлиники и инфекционного отделения БУ "Когалымской городской больницы" города Когалыма на сумму 1 377,743 тыс.руб.;
- №30/2024 от 02.05.2024 с ООО "Сантехсервис" на оказание услуг по расконсервации и запуску фонтана (ул. Мира) на сумму 71,078 тыс.руб.;
- №ЮЭ86КО1700000345 от 02.05.2024 с АО "Югра-Экология" на оказание услуг по обращению с твердыми коммунальными отходами (общественные территории при проведении меропрятий) на сумму 78,799 тыс.руб.; 
- №0187300013724000093 от 20.05.2024 с ООО "АКВАСТРОЙ-СЕРВИС" на выполнение работ по обустройству ливневой канализации в районе МАОУ "Средняя школа №5" по улице Прибалтийская в городе Когалыме на сумму 698,495 тыс.руб.;
- №37/2024 от 29.05.2024 на разработку проектно-сметной документации системы видеонаблюдения на объекте "Зона отдыха по улице Сибирская в городе Когалыме" на сумму 478,975 руб.;
-№38/2024 от 29.05.2024 на оказание услуг по обслуживанию и консервации фонтана на сумму 547,849 тыс.руб.;
- №2024.622681 от 30.05.2024 Поставка хозяйственных товаров на сумму 83,96 тыс.руб.
     В соответствии с постановлением Администрации г.Когалыма  от 22.05.2024 №975 перераспределена экономия плановых ассигнований на откачку талых вод на территории города Когалыма в сумме 599,5 тыс.руб.
     На основании решения Думы г.Когалыма от 19.06.2024 №410-ГД на реализацию данного мероприятия муниципальной программы дополнительно выделено и перераспределено 27 103,5 тыс.руб.
     Неполное освоение плановых ассигнований обусловлено: 
- сроками оказания услуг по расконсервации и запуску фонтана по ул.Мира и их оплаты (в соответствии с условиями муниципального контракта срок оплаты оказанных услуг на основании акта до 05.07.2024), 
- оплатой за откачку дождевых вод по факту на основании акта сдачи-приемки оказанных услуг (в связи с отсутствием дождливых дней в мае 2024 года услуга по откачке вод не была востребована).</t>
  </si>
  <si>
    <t xml:space="preserve">     В соответствии с МК от 15.12.2023 №119/2023 на сумму 576,312 тыс.руб. ведутся работы по ремонту сетей наружного освещения пешеходного моста через реку Ингу-Ягун по адресу: г.Когалым, район Административного здания блока "С".
     Заключены МК:
- №0187300013724000068 от 02.05.2024 с ИП Бикбовым А.А. на выполнение работ по покраске конструкций Пешеходного моста через реку Ингу-Ягун по адресу: город Когалым, район Административного здания блока "С" на сумму 2 499,999 руб.;
- №0187300013724000069 от 08.05.2024 с ООО "Ягуар" на выполнение работ по ремонту Пешеходного моста через реку Ингу-Ягун по адресу: город Когалым, район Административного здания блока «С» на сумму 7 808,982 руб.      
   </t>
  </si>
  <si>
    <t xml:space="preserve">     Выполняются работы по энергосбережению и повышению энергетической эффективности при эксплуатации объектов наружного (уличного) освещения в городе Когалыме в соответствии с МК от 14.07.2020 №0187300013720000073 на сумму 51 159,4 тыс.руб. Оплата производится на основании Акта о достигнутой экономии энергетических ресурсов.
     Завершение работ по контракту - октябрь 2026 года.</t>
  </si>
  <si>
    <t xml:space="preserve">     Заключены муниципальные контракты:
- №0187300013723000407 от 25.12.2023 на выполнение работ по оперативному, тех.обслуживанию и текущему ремонту эл/оборудования сетей НО и светофорных объектов г.Когалыма с АО "ЮТЭК-Когалым" на сумму 27 125,2 тыс.руб.;
- №ЭС1902000062/24 от 29.12.2023 на поставку эл/энергии для наружного освещения г.Когалыма с АО "Газпром энергосбыт Тюмень" на сумму 20 523,8 тыс.руб. 
- №0187300013724000059 от 19.04.2024 на выполнение работ по ремонту(замене) оборудования сетей наружного освещения на территории города Когалыма (ул. Прибалтийская, д.20/1, ул. Дружбы Народов, д. 43) на сумму 785,02 тыс.руб.
     Ежемесячная оплата электроэнергии и ТО сетей НО производятся на основании выставленных счетов и актов оказанных услуг (выполненных работ).    
     В соответствии с приказом КФ от 11.06.2024 №55-О экономия плановых ассигнований в сумме 242,1 тыс.руб. перераспределена  на промывку сетей ливневой канализации.
     На основании решения Думы города Когалыма от 19.06.2024 №410-ГД выделены ПА в сумме 266,1 тыс.руб. на выполнение работ по разработке проектно-сметной документации для строительства сетей НО по ул.Бакинская в районе парковки для автоприцепов .</t>
  </si>
  <si>
    <t xml:space="preserve">     С ООО "Ритуал" заключены муниципальные контракты с периодом оказания услуг с 01.01.2024 по 31.12.2025:
- №0187300013723000388 от 04.12.2023 на оказание услуг по перевозке умерших с места летального исхода на сумму 2 390,386 тыс.руб.;
- №0187300013723000392 от 15.12.2023 на оказание услуг по содержанию городского кладбища на территории города Когалыма на сумму 2 901,36 тыс.руб.
     На 2024 год с ООО "Ритуал" заключено соглашение №1-32-КО от 09.01.2024 о предоставлении из бюджета г.Когалыма субсидии на возмещение части затрат в связи с оказанием ритуальных услуг на сумму 1 517,24 тыс.руб.
     Оплата производится за фактически оказанные услуги на основании актов.
     Заключен МК №0187300013724000086 от  20.05.2024 на оказание услуг по инвентаризации мест захоронений (кладбищ), расположенных на территории города Когалыма на сумму 388,444 тыс.руб.
     В соответствии с решением Думы г.Когалыма от 19.06.2024 №410-ГД перераспределена экономия ПА по результатам проведения эл.аукциона на инвентаризацию кладбищ и мест захоронения на территории г.Когалыма на предоставление субсидии на возмещение части затрат в связи с осуществлением деятельности по обращению с животными без владельцев на территории города Когалыма в сумме 808,9 тыс.руб. и содержание объекта "Этногдеревня в г.Когалыме" в сумме 29,6 тыс.руб.</t>
  </si>
  <si>
    <t xml:space="preserve">     На оказание услуг по обращению с животными без владельцев на территории г.Когалыма заключены МК с ИП Скляр Л.П.:
     - № 115/2023 от 15.12.2023 (услуги на сумму 582,6 тыс.руб. оказаны в период с 15.12.2023 по 21.01.2024). Услуги по МК выполнены и оплачены в полном объеме.;
     - № 6/2024 от 25.01.2024  на сумму 600,00 тыс.руб.     Услуги по МК выполнены и оплачены в полном объеме.
     - №13/2024/13 от 01.03.2024 на сумму 600,00 тыс.руб. Услуги по МК выполнены и оплачены в полном объеме.
     - №26/2024 от 11.04.2024 на сумму 582,59 тыс.руб.       Услуги по МК выполнены и оплачены в полном объеме.
     - №48/2024 от 01.07.2024 на сумму 600,00 тыс.руб.       Услуги по МК выполнены и оплачены в полном объеме.
     - №55/2024 от 24.07.2024 на сумму 600,00 тыс.руб.
     Заключены МК с Абабий О.Н. на оказание услуг по подготовке животного к проведению ветеринарных мероприятий с послеоперационным уходом на территории города Когалыма:
      - №8/2024 от 01.02.2024  на сумму 99,9 тыс.руб. Услуги по МК выполнены и оплачены в полном объеме.
     - 13/2024/14 от 01.03.2024 на сумму 99,9 тыс.руб. Услуги по МК выполнены и оплачены в полном объеме.     
     Неполное освоение плановых ассигнований обусловлено несвоевременным предоставлением документов на возмещение части затрат в связи с осуществлением деятельности по обращению с животными без владельцев на территории города Когалыма.
     В соответствии с решением Думы г.Когалыма от 19.06.2024 №410-ГД на организацию мероприятий при осуществлении деятельности по обращению с животными без владельцев перераспределена экономия ПА по результатам проведения эл.аукциона на инвентаризацию кладбищ и мест захоронения на территории г.Когалыма в сумме 808,9 тыс.руб. и дополнительно выделено 1 021,00 тыс.руб.</t>
  </si>
  <si>
    <t xml:space="preserve">     Заключены МК:
     -№4/2024 от 25.01.2024 на выполнение работ по устройству будок в вольерах с 1го-4й ряд на территории "Приют для животных в городе Когалыме" по адресу: город Когалым, улица Повховское шоссе, 2 на сумму 416,479 тыс.руб.; 
     - №5/2024 от 25.01.2024 на выполнение работ по устройству будок в вольерах с 5го-6й ряд на территории "Приют для животных в городе Когалыме" по адресу: город Когалым, улица Повховское шоссе, 2 на сумму 208,239 тыс.руб.;
     - №24/2024 от 08.04.2024 на выполнение отделочных, сантехнических и электромонтажных работ в сооружениях, находящихся в зоне содержания животных на объекте "Приют для животных в городе Когалыме", расположенном по адресу: город Когалым, улица Повховское шоссе, 2 на сумму 461,812 тыс.руб.
     Работы по МК выполнены и оплачены в полном объеме.
     На основании решения Думы г.Когалыма от 19.06.2024 №410-ГД выделены плановые ассигнования в сумме 606,1 тыс.руб. на работы по заглублению ограждения территории "Приют для животных в городе Когалыме" в землю.
     Заключен МК №44/2024 от 25.06.2024 на выполнение работ по заглублению ограждения на объекте "Приют для животных в городе Когалыме", расположенном по адресу: город Когалым, улица Повховское шоссе, 2 на сумму 598,136 тыс.руб.
     Работы по МК выполнены и оплачены в полном объеме.</t>
  </si>
  <si>
    <t xml:space="preserve">     На основании постановления Администрации г.Когалыма от 13.02.2024 №295 выделены плановые ассигнования в сумме 6871,9 тыс.руб., в том числе:
- на архитектурную подсветку путепровода автодороги Повховское шоссе г.Когалыма в сумме 4 109,1 тыс.руб.; 
- на архитектурную подсветку пешеходного моста "Циркуль" в сумме 2 762,8 тыс.руб.
     Заключен МК от 22.04.2024 №0187300013724000064 на выполнение работ по монтажу архитектурной подсветки пешеходного моста через реку Ингу-Ягун по адресу: город Когалым, район Административного здания блока «С» на сумму 699,051 тыс.руб.
     В соответствии с приказом КФ от 11.06.2024 №55-О экономия ПА в сумме 2 063,7 тыс.руб. перераспределена на промывку ливневой канализации вдоль автодороги по ул.Мира (от ул.Степана Повха до ул.Прибалтийская).
     Заключен МК от 17.06.2024 №0187300013724000113 на выполнение работ по монтажу архитектурной подсветки объекта "Путепровод на км 0+468 автодороги Повховское шоссе в городе Когалыме" на сумму 2 461,244 тыс.руб.
     Экономия плановых ассигнований в сумме 924,2 тыс.руб. перераспределена на другие мероприятия в рамках муниципальной программы на основании приказа КФ Администрации г.Когалыма от 22.07.2024 №64-О.</t>
  </si>
  <si>
    <t xml:space="preserve">          В соответствии с приказом КФ от 11.06.2024 №55-О в рамках муниципальной программы перераспределена экономия ПА в сумме 600,0 тыс.руб. на демонтаж и утилизацию непригодного для эксплуатации здания "Котельная №2", расположенного по адресу: г.Когалым, ул.Нефтяников, 15 (письмо от 13.05.2024 №69-Исх-1492) (земельный участок предназначен для жилищного строительства). 
     Заключен МК от 13.06.2024 №40/2024 на выполнение работ по сносу объекта капитального строительства "Котельная № 2(СУ-951)", расположенного по адресу: Тюменская область, Ханты-Мансийский автономный округ-Югра, город Когалым, улица Нефтяников, д. № 15 на сумму 600,0 тыс.руб. Работы по контракту выполнены и приняты 31.07.2024. Оплата по контракту будет произведена в августе. 
    Согласно постановлению Администрации г.Когалыма от 22.07.2024 №1354 на проведение обследования и оценки тех.состояния дома №11 по ул.Заречная г.Когалыма перераспределено 70,00 тыс.руб.
   </t>
  </si>
  <si>
    <r>
      <t xml:space="preserve">МБУ "КСАТ":
</t>
    </r>
    <r>
      <rPr>
        <sz val="12"/>
        <rFont val="Times New Roman"/>
        <family val="1"/>
        <charset val="204"/>
      </rPr>
      <t>Неисполнение субсидии по статье арендная плата 332,79 тыс. руб. за пользование имуществом возникло, в связи с тем, что оплата произведена согласно графика платежей.</t>
    </r>
  </si>
  <si>
    <r>
      <rPr>
        <b/>
        <sz val="12"/>
        <rFont val="Times New Roman"/>
        <family val="1"/>
        <charset val="204"/>
      </rPr>
      <t>МБУ"КСАТ":</t>
    </r>
    <r>
      <rPr>
        <sz val="12"/>
        <rFont val="Times New Roman"/>
        <family val="1"/>
        <charset val="204"/>
      </rPr>
      <t xml:space="preserve">
Отклонение от плана составляет 19977,59 тыс. руб. в том числе:
1. 8558,77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2233,84 тыс. руб.  -неисполнение субсидии по статье начисления на оплату труда возникло в связи с оплатой страховых взносов в августе 2024 г.
3. 41,08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156,17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554,40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907,11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208,37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3224,48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1772,07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1057,41 тыс. руб. - неисполнение по статье расходов прочие расходы  оплата налога на имущество будет произведена в феврале, в связи со сдачей декларации транспортного налога (согласно декларации)
11. 33,31тыс. руб. неисполнение по статье расходов  пособий по уходу за ребенком инвалидом, оплата  произведена по факту предоставленных документов
12.  829,07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265,63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97,5 тыс.руб неисполнение по статье расходов на приобретение основных средств, оплата будет произведена по факту поставки товара</t>
    </r>
  </si>
  <si>
    <t>Кассовый расход на  01.08.2024</t>
  </si>
  <si>
    <t xml:space="preserve">  привлеченные  средства</t>
  </si>
  <si>
    <t>П.1.1.1.2. Объект благоустройства  "Парк Первопроходцев в городе Когалыме"</t>
  </si>
  <si>
    <t>Размещение электронного аукциона на строительство обьекта возможно после завершения ПСД и получения положительного заключения экспертизы, ожидаемый срок 3 декада августа 2024.</t>
  </si>
  <si>
    <t xml:space="preserve">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3.Контракт № 5 от 25.07.2024 (переданы функции заказчика 29.07.2024) на выполнение работ по устройству основания, инженерных сетей для объекта "Архитектурная композиция "Термометр"в городе Когалыме" и благоустройству прилегающей территории в рамках реализациимероприятия "Благоустройство городских территорий"
- цена контракта 15 133,18  тыс.руб.; 
- срок выполнения работ: 30.08.2024 г.
</t>
  </si>
  <si>
    <t>1. Муниципальный контракт № 12/2024 от 12.02.2024 на выполнение инженерных изысканий для объекта благоустройства "Этностойбище коренных народов ХМАО-Югры "Вонт-Лунг" (лесной дух) в г. Когалыме"
-цена контракта 594,1 тыс.руб.;
-срок выполнения работ: 29.02.2024 г.
-работы выполнены и оплачены в полном объеме.
2. Муниципальный контракт №15/2024 от 07.03.2024 на выполнение работ по разработке проектно-сметной документации на строительство объекта благоустройства "Этностойбище коренных народов ХМАО-Югры "Вонт-Корт" (лесное стойбище) в г. Когалыме:
- цена контракта 597,01 тыс.руб.;
- срок выполнения работ: 31.05.2024 г. 
3.  Муниципальный контракт №36/2024 от 27.05.2024 на оказание услуг по проведению негосударственной экспертизы сметной документации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 цена контракта 15,0 тыс.руб.;
- срок выполнения работ: 25.06.2024г.;
-услуги оказаны и оплачены в полном объеме.
4. Муниципальный контракт № 0187300013724000129 от 24.06.2024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-цена контракта 13 699,46 тыс.руб.;
-срок выполнения работ: 20.09.2024г.
5. Муниципальный контракт № 0187300013724000169 от 23.07.2024 на  выполнение работ по строительству объекта благоустройства "Этностойбище коренных народов ХМАО-Югры "Вонт-Корт (лесное стойбище) в городе Когалыме".
- цена контракта 5 367,06 тыс.руб.;
- срок выполнения работ: 01.11.2024г.</t>
  </si>
  <si>
    <t xml:space="preserve">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                                                                Муниципальный контракт № 51/2024 от 01.07.2024 на выполнение инженерных изысканий для объекта благоустройства "Сквер по проезду Солнечный  в городе Когалыме"
- цена контракта:278,97  тыс.руб.;
- срок выполнения работ: 10.07.2024 г.
- работы выполнены и оплачены в полном объеме                                                                                      </t>
  </si>
  <si>
    <t xml:space="preserve">1.1.3.  Предоставление субсидии некоммерческой организации, не являющейся государственным (муниципальным) учреждением, в целях финансового обеспечения затрат в связи с организацией и проведением общественно значимых мероприятий по укреплению межнпационального мира и согласия </t>
  </si>
  <si>
    <t>1.1.4.Постановление об утверждении порядка предоставления из бюджета города Когалыма субсидий территориальным общественным самоуправлениям города Когалыма на осуществление собственных инициатив по вопросам местного значения</t>
  </si>
  <si>
    <t xml:space="preserve">4 субъекта предпринимательской деятельности стали получателями финансовой поддержки по данному мероприятию.
На оставшийся объем финансирования (504 724 руб)  объявлен дополнительный приём заявок </t>
  </si>
  <si>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500 тыс. рублей каждый для реализацииследующих проектв:
- ИП Богдановой О.В. «Туристический центр «Йети»;
- ИП Дёмина О. Н. «Логопедический центр «Кубик» 
</t>
  </si>
  <si>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300 тыс. рублей каждый для реализацииследующих проектв:
- ИП Фаритов Р.Ф. «Проведение интеллектуально-развлекательных игр»;
- ИП Зырянов М. И.
«Прокат детских электромобилей»
</t>
  </si>
  <si>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гранта в размере 600 тыс. рублей для реализации следующего  проека:
- ИП Голуб К.А. «Собственное производство одежды. Создание и реализация бренда в г. Когалыме"
</t>
  </si>
  <si>
    <t xml:space="preserve">1 субъект предпринимательской деятельности стал получателем финансовой поддержки по данному мероприятию.
На оставшийся объем финансирования (85 600 руб)  объявлен дополнительный приём заявок </t>
  </si>
  <si>
    <t>Отклонение по п. 4.1. составляет 1301,03 тыс.руб.</t>
  </si>
  <si>
    <t>Расхождение фактических расходов  от плановых по  п.4.1.1. составляет 929,05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</si>
  <si>
    <t>Разница фактических расходов по п.4.1.2. от плановых составляет  222,43 тыс.руб.Расхождение фактических расходов  от плановых сложилось по причине неисполнения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</si>
  <si>
    <t>Расхождение фактических расходов по п.4.1.3. от плановых составляет  149,48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</si>
  <si>
    <t>Расхождение фактических показателей от запланированных составляет по данному пункту -1461,46 тыс.руб.</t>
  </si>
  <si>
    <t>Расхождение плановых средств по п.3.1.1. от фактических расходов составляет 205,90 тыс.руб. сложилось ввиду оплаты, согласно счетов по  фактически оказаному объему услуг.</t>
  </si>
  <si>
    <t xml:space="preserve">Расхождение плановых от фактических показателей по пункту 3.1.2.в размере  1255,56 тыс.руб. образовалось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</si>
  <si>
    <t>Заявочный этап запланирован к проведению в сентябре 2024 года на сервисе Единый личный кабинет активитста (ЕЛКА).</t>
  </si>
  <si>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Реализация образовательного проекта "Школа  актива НКО":   - 30.01.2024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-37 , март-30, апрель- 40, май - 49, июнь -22 , июль -28 (ВСЕГО- 231).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-22-28.06.2024 специалист РЦ Беседин С.Н. приял участие в Форуме уральской молодежи «Утро»;
- 07.07.2024 специалисты РЦ приняли участие в мероприятии «Иван Купала» с мастер-классом по изготовлению славянских оберегов,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t>
  </si>
  <si>
    <t>Отклонеие  сложилось в результате оплаты электрической  энергии согласно показаниям счетчиков по факту.</t>
  </si>
  <si>
    <t>В соответствии в решением Думы г.Когалыма от 17.01.2024 №362-ГД выделены плановые ассигнования в сумме 10,8 тыс.руб. на услуги связи для фотоловушек, в целях выявления с помощью фотофиксации лиц, допустивших несанкционированный сброс отходов в непредназначенных для этого местах, в том числе с автомобильного транспорта.
В процессе использования фотоловушек выявлена разрядка батарей при низкой температуре воздуха. Контракт на услуги связи для фотоловушек будет заключен при наступлении благоприятных погодных условий.
Заключен муниципальный контракт №32/2024 от 03.05.2024 с ПАО "Ростелеком" на услуги связи для фотоловушек на сумму 1,89 тыс.руб. Оплата за оказанные услуги производится на основании акта оказанных услуг и счета.</t>
  </si>
  <si>
    <t xml:space="preserve">План на 01.08.2024 </t>
  </si>
  <si>
    <t xml:space="preserve">Профинансировано на 01.08.2024 </t>
  </si>
  <si>
    <t xml:space="preserve">Кассовый расход на 01.08.2024  </t>
  </si>
  <si>
    <t xml:space="preserve">1. В 2024 муниципальной программой «Развитие агропромышленного комплекса в городе Когалыме» предусмотрены мероприятия по предоставлению сельскохозяйственным товаропроизводителям субсидий на содержание маточного поголовья сельскохозяйственных животных за счёт субвенций из бюджета ХМАО – Югры, в рамках реализации переданных муниципальным образованиям государственных полномочий по поддержке сельскохозяйственного производства в соответствии с Законом ХМАО – Югры от 16.12.2010 №228-оз «О наделении органов местного самоуправления муниципальных образований Ханты-Мансийского автономного округа - Югры отдельными государственными полномочиями в сфере поддержки сельскохозяйственного производства и деятельности по заготовке и переработке дикоросов». 
Порядками предоставления субсидий на поддержку сельскохозяйственного производства и деятельности по заготовке и переработке дикоросов, утвержденными постановлением Администрации города Когалыма от 15.03.2021 №500 предусмотрены следующие сроки подачи заявок:
- на субсидию на содержание маточного поголовья сельскохозяйственных животных по 06 мая.
заявка от Главы КФХ Шиманского В.М. на предоставление субсидии на содержание маточного поголовья сельскохозяйственных животных (за исключением личных подсобных хозяйств) принята 06.05.2024 г. через АИС «АПК». Список получателей субсидии на содержание маточного поголовья сельскохозяйственных животных за 2024 год утвержден постановлением Администрации города Когалыма №992 от 24 мая 2024;
2. На основании Постановления Администрации города Когалыма от 24.05.20243 № 992 плановые асигнования в сумме 240,0 тыс.руб. доведены до получателя.
3. 6,5 тыс.руб. доведены до сотрудника, осуществляющего администрирование.
</t>
  </si>
  <si>
    <t>1. На основании Постановления Администрации города Когалыма от 23.05.2024 № 986 плановые асигнования в сумме 360,0 тыс.руб. доведены до получателя.
2. На основании Постановления Администрации города Когалыма от 16.07.2024 № 1324 плановые асигнования в сумме 270,0 тыс.руб. доведены до получателя.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</si>
</sst>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0\ _₽"/>
    <numFmt numFmtId="168" formatCode="#,##0.00\ _₽"/>
    <numFmt numFmtId="169" formatCode="#,##0.00_ ;[Red]\-#,##0.00\ "/>
    <numFmt numFmtId="170" formatCode="_(* #,##0.00_);_(* \(#,##0.00\);_(* &quot;-&quot;??_);_(@_)"/>
    <numFmt numFmtId="171" formatCode="#,##0.0"/>
    <numFmt numFmtId="172" formatCode="#,##0.00_р_."/>
    <numFmt numFmtId="173" formatCode="0.0%"/>
    <numFmt numFmtId="174" formatCode="#,##0.00_ ;\-#,##0.00\ "/>
    <numFmt numFmtId="175" formatCode="0.000"/>
    <numFmt numFmtId="176" formatCode="0.0"/>
    <numFmt numFmtId="177" formatCode="#,##0.000"/>
    <numFmt numFmtId="178" formatCode="_(* #,##0.000_);_(* \(#,##0.000\);_(* &quot;-&quot;??_);_(@_)"/>
  </numFmts>
  <fonts count="8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name val="Times New Roman"/>
      <family val="1"/>
      <charset val="204"/>
    </font>
    <font>
      <sz val="11"/>
      <color rgb="FFFF0000"/>
      <name val="Calibri"/>
      <family val="2"/>
      <scheme val="minor"/>
    </font>
    <font>
      <sz val="11"/>
      <name val="Calibri"/>
      <family val="2"/>
      <scheme val="minor"/>
    </font>
    <font>
      <b/>
      <sz val="14"/>
      <color rgb="FFFF0000"/>
      <name val="Times New Roman"/>
      <family val="1"/>
      <charset val="204"/>
    </font>
    <font>
      <i/>
      <sz val="14"/>
      <name val="Times New Roman"/>
      <family val="1"/>
      <charset val="204"/>
    </font>
    <font>
      <b/>
      <sz val="11"/>
      <color theme="1"/>
      <name val="Calibri"/>
      <family val="2"/>
      <charset val="204"/>
      <scheme val="minor"/>
    </font>
    <font>
      <b/>
      <sz val="14"/>
      <color theme="1"/>
      <name val="Times New Roman"/>
      <family val="1"/>
      <charset val="204"/>
    </font>
    <font>
      <sz val="18"/>
      <name val="Times New Roman"/>
      <family val="1"/>
      <charset val="204"/>
    </font>
    <font>
      <b/>
      <sz val="16"/>
      <name val="Times New Roman"/>
      <family val="1"/>
      <charset val="204"/>
    </font>
    <font>
      <sz val="16"/>
      <name val="Times New Roman"/>
      <family val="1"/>
      <charset val="204"/>
    </font>
    <font>
      <b/>
      <sz val="9"/>
      <name val="Times New Roman"/>
      <family val="1"/>
      <charset val="204"/>
    </font>
    <font>
      <b/>
      <sz val="13"/>
      <name val="Times New Roman"/>
      <family val="1"/>
      <charset val="204"/>
    </font>
    <font>
      <b/>
      <sz val="11"/>
      <name val="Calibri"/>
      <family val="2"/>
      <scheme val="minor"/>
    </font>
    <font>
      <sz val="13"/>
      <name val="Times New Roman"/>
      <family val="1"/>
      <charset val="204"/>
    </font>
    <font>
      <sz val="9"/>
      <name val="Times New Roman"/>
      <family val="1"/>
      <charset val="204"/>
    </font>
    <font>
      <b/>
      <sz val="12"/>
      <name val="Times New Roman"/>
      <family val="1"/>
      <charset val="204"/>
    </font>
    <font>
      <b/>
      <sz val="8"/>
      <name val="Times New Roman"/>
      <family val="1"/>
      <charset val="204"/>
    </font>
    <font>
      <sz val="12"/>
      <color rgb="FFFF0000"/>
      <name val="Times New Roman"/>
      <family val="1"/>
      <charset val="204"/>
    </font>
    <font>
      <sz val="16"/>
      <color rgb="FFFF0000"/>
      <name val="Times New Roman"/>
      <family val="1"/>
      <charset val="204"/>
    </font>
    <font>
      <b/>
      <sz val="16"/>
      <color rgb="FFFF0000"/>
      <name val="Times New Roman"/>
      <family val="1"/>
      <charset val="204"/>
    </font>
    <font>
      <b/>
      <sz val="20"/>
      <name val="Times New Roman"/>
      <family val="1"/>
      <charset val="204"/>
    </font>
    <font>
      <b/>
      <sz val="18"/>
      <name val="Times New Roman"/>
      <family val="1"/>
      <charset val="204"/>
    </font>
    <font>
      <sz val="11"/>
      <name val="Times New Roman"/>
      <family val="1"/>
      <charset val="204"/>
    </font>
    <font>
      <sz val="10"/>
      <name val="Times New Roman"/>
      <family val="1"/>
      <charset val="204"/>
    </font>
    <font>
      <sz val="13"/>
      <color rgb="FFFF0000"/>
      <name val="Times New Roman"/>
      <family val="1"/>
      <charset val="204"/>
    </font>
    <font>
      <b/>
      <sz val="12"/>
      <color indexed="8"/>
      <name val="Times New Roman"/>
      <family val="1"/>
      <charset val="204"/>
    </font>
    <font>
      <sz val="12"/>
      <color indexed="8"/>
      <name val="Times New Roman"/>
      <family val="1"/>
      <charset val="204"/>
    </font>
    <font>
      <sz val="12"/>
      <color theme="1"/>
      <name val="Times New Roman"/>
      <family val="1"/>
      <charset val="204"/>
    </font>
    <font>
      <b/>
      <sz val="12"/>
      <color rgb="FFFF0000"/>
      <name val="Times New Roman"/>
      <family val="1"/>
      <charset val="204"/>
    </font>
    <font>
      <sz val="12"/>
      <color rgb="FFFF0000"/>
      <name val="Calibri"/>
      <family val="2"/>
      <charset val="204"/>
      <scheme val="minor"/>
    </font>
    <font>
      <b/>
      <sz val="12"/>
      <color rgb="FFFF0000"/>
      <name val="Calibri"/>
      <family val="2"/>
      <charset val="204"/>
      <scheme val="minor"/>
    </font>
    <font>
      <sz val="12"/>
      <color theme="1"/>
      <name val="Calibri"/>
      <family val="2"/>
      <charset val="204"/>
      <scheme val="minor"/>
    </font>
    <font>
      <sz val="12"/>
      <name val="Calibri"/>
      <family val="2"/>
      <charset val="204"/>
      <scheme val="minor"/>
    </font>
    <font>
      <i/>
      <sz val="12"/>
      <name val="Times New Roman"/>
      <family val="1"/>
      <charset val="204"/>
    </font>
    <font>
      <sz val="11"/>
      <name val="Calibri"/>
      <family val="2"/>
      <charset val="204"/>
      <scheme val="minor"/>
    </font>
    <font>
      <u/>
      <sz val="11"/>
      <color theme="10"/>
      <name val="Calibri"/>
      <family val="2"/>
      <scheme val="minor"/>
    </font>
    <font>
      <u/>
      <sz val="14"/>
      <name val="Times New Roman"/>
      <family val="1"/>
      <charset val="204"/>
    </font>
    <font>
      <sz val="12"/>
      <color theme="0"/>
      <name val="Times New Roman"/>
      <family val="1"/>
      <charset val="204"/>
    </font>
    <font>
      <sz val="8"/>
      <name val="Times New Roman"/>
      <family val="1"/>
      <charset val="204"/>
    </font>
    <font>
      <sz val="13"/>
      <color theme="1"/>
      <name val="Times New Roman"/>
      <family val="1"/>
      <charset val="204"/>
    </font>
    <font>
      <sz val="16"/>
      <color rgb="FFFF0000"/>
      <name val="Calibri"/>
      <family val="2"/>
      <scheme val="minor"/>
    </font>
    <font>
      <b/>
      <sz val="16"/>
      <color rgb="FFFF0000"/>
      <name val="Calibri"/>
      <family val="2"/>
      <charset val="204"/>
      <scheme val="minor"/>
    </font>
    <font>
      <sz val="11"/>
      <color theme="1"/>
      <name val="Times New Roman"/>
      <family val="1"/>
      <charset val="204"/>
    </font>
    <font>
      <sz val="8"/>
      <color theme="1"/>
      <name val="Times New Roman"/>
      <family val="1"/>
      <charset val="204"/>
    </font>
    <font>
      <sz val="14"/>
      <color theme="1"/>
      <name val="Times New Roman"/>
      <family val="1"/>
      <charset val="204"/>
    </font>
    <font>
      <b/>
      <sz val="14"/>
      <color rgb="FF7030A0"/>
      <name val="Times New Roman"/>
      <family val="1"/>
      <charset val="204"/>
    </font>
    <font>
      <sz val="14"/>
      <color theme="1"/>
      <name val="Calibri"/>
      <family val="2"/>
      <scheme val="minor"/>
    </font>
    <font>
      <sz val="13"/>
      <name val="Times New Roman"/>
      <family val="1"/>
      <charset val="204"/>
    </font>
    <font>
      <sz val="8"/>
      <color theme="1"/>
      <name val="Times New Roman"/>
      <family val="1"/>
      <charset val="204"/>
    </font>
    <font>
      <sz val="14"/>
      <color rgb="FFC00000"/>
      <name val="Times New Roman"/>
      <family val="1"/>
      <charset val="204"/>
    </font>
    <font>
      <b/>
      <sz val="14"/>
      <color rgb="FFC00000"/>
      <name val="Times New Roman"/>
      <family val="1"/>
      <charset val="204"/>
    </font>
    <font>
      <b/>
      <sz val="12"/>
      <color rgb="FFC00000"/>
      <name val="Times New Roman"/>
      <family val="1"/>
      <charset val="204"/>
    </font>
    <font>
      <b/>
      <sz val="14"/>
      <color rgb="FFFF0000"/>
      <name val="Calibri"/>
      <family val="2"/>
      <charset val="204"/>
      <scheme val="minor"/>
    </font>
    <font>
      <sz val="18"/>
      <color theme="1"/>
      <name val="Calibri"/>
      <family val="2"/>
      <scheme val="minor"/>
    </font>
    <font>
      <sz val="16"/>
      <color theme="1"/>
      <name val="Calibri"/>
      <family val="2"/>
      <charset val="204"/>
      <scheme val="minor"/>
    </font>
    <font>
      <sz val="14"/>
      <name val="Calibri"/>
      <family val="2"/>
      <charset val="204"/>
      <scheme val="minor"/>
    </font>
    <font>
      <sz val="12"/>
      <color theme="1"/>
      <name val="Calibri"/>
      <family val="2"/>
      <scheme val="minor"/>
    </font>
    <font>
      <sz val="9"/>
      <color theme="1"/>
      <name val="Times New Roman"/>
      <family val="1"/>
      <charset val="204"/>
    </font>
    <font>
      <sz val="18"/>
      <color theme="1"/>
      <name val="Times New Roman"/>
      <family val="1"/>
      <charset val="204"/>
    </font>
    <font>
      <b/>
      <sz val="9"/>
      <color rgb="FFFF0000"/>
      <name val="Times New Roman"/>
      <family val="1"/>
      <charset val="204"/>
    </font>
    <font>
      <b/>
      <sz val="15"/>
      <color rgb="FF7030A0"/>
      <name val="Times New Roman"/>
      <family val="1"/>
      <charset val="204"/>
    </font>
    <font>
      <b/>
      <sz val="15"/>
      <color rgb="FF7030A0"/>
      <name val="Calibri"/>
      <family val="2"/>
      <scheme val="minor"/>
    </font>
    <font>
      <sz val="14"/>
      <name val="Times New Roman"/>
      <family val="1"/>
      <charset val="204"/>
    </font>
    <font>
      <sz val="11"/>
      <color theme="1"/>
      <name val="Times New Roman"/>
      <family val="1"/>
      <charset val="204"/>
    </font>
    <font>
      <i/>
      <sz val="14"/>
      <color theme="1"/>
      <name val="Times New Roman"/>
      <family val="1"/>
      <charset val="204"/>
    </font>
    <font>
      <sz val="14"/>
      <color theme="1"/>
      <name val="Times New Roman"/>
      <family val="1"/>
      <charset val="204"/>
    </font>
    <font>
      <sz val="14"/>
      <name val="Times New Roman"/>
      <family val="1"/>
      <charset val="204"/>
    </font>
    <font>
      <sz val="20"/>
      <name val="Calibri"/>
      <family val="2"/>
      <scheme val="minor"/>
    </font>
    <font>
      <sz val="14"/>
      <name val="Times New Roman"/>
      <family val="1"/>
      <charset val="204"/>
    </font>
    <font>
      <sz val="10"/>
      <name val="Arial"/>
      <family val="2"/>
      <charset val="204"/>
    </font>
    <font>
      <sz val="12"/>
      <name val="Times New Roman"/>
      <family val="1"/>
      <charset val="204"/>
    </font>
    <font>
      <sz val="14"/>
      <color theme="1"/>
      <name val="Times New Roman"/>
      <family val="1"/>
      <charset val="204"/>
    </font>
    <font>
      <sz val="9"/>
      <color indexed="81"/>
      <name val="Tahoma"/>
      <family val="2"/>
      <charset val="204"/>
    </font>
    <font>
      <b/>
      <sz val="9"/>
      <color indexed="81"/>
      <name val="Tahoma"/>
      <family val="2"/>
      <charset val="204"/>
    </font>
    <font>
      <sz val="10"/>
      <color theme="1"/>
      <name val="Times New Roman"/>
      <family val="1"/>
      <charset val="204"/>
    </font>
    <font>
      <b/>
      <sz val="14"/>
      <color theme="0"/>
      <name val="Times New Roman"/>
      <family val="1"/>
      <charset val="204"/>
    </font>
  </fonts>
  <fills count="27">
    <fill>
      <patternFill patternType="none"/>
    </fill>
    <fill>
      <patternFill patternType="gray125"/>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ABF3CC"/>
        <bgColor indexed="64"/>
      </patternFill>
    </fill>
    <fill>
      <patternFill patternType="solid">
        <fgColor rgb="FF66FFCC"/>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6CF4C0"/>
        <bgColor indexed="64"/>
      </patternFill>
    </fill>
    <fill>
      <patternFill patternType="solid">
        <fgColor rgb="FF6CF8CD"/>
        <bgColor indexed="64"/>
      </patternFill>
    </fill>
    <fill>
      <patternFill patternType="solid">
        <fgColor rgb="FFFFC000"/>
        <bgColor indexed="64"/>
      </patternFill>
    </fill>
    <fill>
      <patternFill patternType="solid">
        <fgColor rgb="FFFBFBFB"/>
        <bgColor indexed="64"/>
      </patternFill>
    </fill>
    <fill>
      <patternFill patternType="solid">
        <fgColor theme="4" tint="0.79998168889431442"/>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58">
    <xf numFmtId="0" fontId="0" fillId="0" borderId="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0" fontId="11" fillId="0" borderId="0"/>
    <xf numFmtId="164" fontId="11" fillId="0" borderId="0" applyFont="0" applyFill="0" applyBorder="0" applyAlignment="0" applyProtection="0"/>
    <xf numFmtId="0" fontId="6" fillId="0" borderId="0"/>
    <xf numFmtId="0" fontId="11" fillId="0" borderId="0"/>
    <xf numFmtId="164" fontId="7" fillId="0" borderId="0" applyFont="0" applyFill="0" applyBorder="0" applyAlignment="0" applyProtection="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9" fontId="11" fillId="0" borderId="0" applyFont="0" applyFill="0" applyBorder="0" applyAlignment="0" applyProtection="0"/>
    <xf numFmtId="164" fontId="11" fillId="0" borderId="0" applyFont="0" applyFill="0" applyBorder="0" applyAlignment="0" applyProtection="0"/>
    <xf numFmtId="0" fontId="5" fillId="0" borderId="0"/>
    <xf numFmtId="170" fontId="11" fillId="0" borderId="0" applyFont="0" applyFill="0" applyBorder="0" applyAlignment="0" applyProtection="0"/>
    <xf numFmtId="0" fontId="5" fillId="0" borderId="0"/>
    <xf numFmtId="0" fontId="5" fillId="0" borderId="0"/>
    <xf numFmtId="0" fontId="48" fillId="0" borderId="0" applyNumberFormat="0" applyFill="0" applyBorder="0" applyAlignment="0" applyProtection="0"/>
    <xf numFmtId="0" fontId="11" fillId="0" borderId="0"/>
    <xf numFmtId="0" fontId="4" fillId="0" borderId="0"/>
    <xf numFmtId="164" fontId="4"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1224">
    <xf numFmtId="0" fontId="0" fillId="0" borderId="0" xfId="0"/>
    <xf numFmtId="165" fontId="9" fillId="0" borderId="1" xfId="0" applyNumberFormat="1" applyFont="1" applyBorder="1" applyAlignment="1">
      <alignment horizontal="right" vertical="center" wrapText="1"/>
    </xf>
    <xf numFmtId="166" fontId="9" fillId="0" borderId="9" xfId="0" applyNumberFormat="1" applyFont="1" applyBorder="1" applyAlignment="1">
      <alignment horizontal="center" vertical="top" wrapText="1"/>
    </xf>
    <xf numFmtId="0" fontId="8" fillId="0" borderId="9" xfId="0" applyFont="1" applyBorder="1" applyAlignment="1">
      <alignment horizontal="center" vertical="center" wrapText="1"/>
    </xf>
    <xf numFmtId="14" fontId="8" fillId="0" borderId="9"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xf numFmtId="0" fontId="9" fillId="0" borderId="9" xfId="0" applyFont="1" applyBorder="1" applyAlignment="1">
      <alignment horizontal="left" wrapText="1"/>
    </xf>
    <xf numFmtId="0" fontId="9" fillId="0" borderId="9" xfId="0" applyFont="1" applyBorder="1" applyAlignment="1">
      <alignment horizontal="left" vertical="center" wrapText="1"/>
    </xf>
    <xf numFmtId="0" fontId="9" fillId="0" borderId="0" xfId="0" applyFont="1" applyAlignment="1">
      <alignment wrapText="1"/>
    </xf>
    <xf numFmtId="0" fontId="15" fillId="0" borderId="0" xfId="0" applyFont="1"/>
    <xf numFmtId="0" fontId="8" fillId="0" borderId="9" xfId="0" applyFont="1" applyBorder="1" applyAlignment="1">
      <alignment horizontal="left" wrapText="1"/>
    </xf>
    <xf numFmtId="0" fontId="8" fillId="0" borderId="9" xfId="4" applyFont="1" applyBorder="1" applyAlignment="1">
      <alignment horizontal="justify" wrapText="1"/>
    </xf>
    <xf numFmtId="0" fontId="9" fillId="0" borderId="9" xfId="4" applyFont="1" applyBorder="1" applyAlignment="1">
      <alignment horizontal="justify" wrapText="1"/>
    </xf>
    <xf numFmtId="0" fontId="9" fillId="0" borderId="9" xfId="4" applyFont="1" applyBorder="1" applyAlignment="1">
      <alignment horizontal="left" wrapText="1"/>
    </xf>
    <xf numFmtId="0" fontId="9" fillId="0" borderId="9" xfId="4" applyFont="1" applyBorder="1" applyAlignment="1">
      <alignment horizontal="left" vertical="top" wrapText="1"/>
    </xf>
    <xf numFmtId="0" fontId="9" fillId="0" borderId="0" xfId="0" applyFont="1" applyAlignment="1">
      <alignment horizontal="left" wrapText="1"/>
    </xf>
    <xf numFmtId="4" fontId="9" fillId="0" borderId="9" xfId="4" applyNumberFormat="1" applyFont="1" applyBorder="1" applyAlignment="1">
      <alignment horizontal="left" wrapText="1"/>
    </xf>
    <xf numFmtId="0" fontId="8" fillId="0" borderId="9" xfId="4" applyFont="1" applyBorder="1" applyAlignment="1">
      <alignment horizontal="justify" vertical="top" wrapText="1"/>
    </xf>
    <xf numFmtId="0" fontId="8" fillId="0" borderId="9" xfId="4" applyFont="1" applyBorder="1" applyAlignment="1">
      <alignment horizontal="left" vertical="top" wrapText="1"/>
    </xf>
    <xf numFmtId="0" fontId="13" fillId="0" borderId="0" xfId="0" applyFont="1" applyAlignment="1">
      <alignment horizontal="center" vertical="top" wrapText="1"/>
    </xf>
    <xf numFmtId="166" fontId="9" fillId="0" borderId="9" xfId="0" applyNumberFormat="1" applyFont="1" applyBorder="1" applyAlignment="1">
      <alignment vertical="center" wrapText="1"/>
    </xf>
    <xf numFmtId="0" fontId="13" fillId="0" borderId="0" xfId="0" applyFont="1" applyAlignment="1">
      <alignment vertical="top" wrapText="1"/>
    </xf>
    <xf numFmtId="0" fontId="9" fillId="0" borderId="0" xfId="0" applyFont="1" applyAlignment="1">
      <alignment horizontal="center" wrapText="1"/>
    </xf>
    <xf numFmtId="0" fontId="8" fillId="0" borderId="8" xfId="0" applyFont="1" applyBorder="1" applyAlignment="1">
      <alignment horizontal="left" vertical="center" wrapText="1"/>
    </xf>
    <xf numFmtId="0" fontId="9" fillId="0" borderId="0" xfId="0" applyFont="1" applyAlignment="1">
      <alignment horizontal="left" vertical="top" wrapText="1"/>
    </xf>
    <xf numFmtId="0" fontId="9" fillId="0" borderId="1" xfId="0" applyFont="1" applyBorder="1" applyAlignment="1">
      <alignment horizontal="center" wrapText="1"/>
    </xf>
    <xf numFmtId="0" fontId="0" fillId="0" borderId="9" xfId="0" applyBorder="1"/>
    <xf numFmtId="0" fontId="9" fillId="2" borderId="9" xfId="0" applyFont="1" applyFill="1" applyBorder="1" applyAlignment="1">
      <alignment horizontal="left" wrapText="1"/>
    </xf>
    <xf numFmtId="0" fontId="12" fillId="0" borderId="9" xfId="0" applyFont="1" applyBorder="1"/>
    <xf numFmtId="164" fontId="9" fillId="0" borderId="9" xfId="1" applyFont="1" applyFill="1" applyBorder="1" applyAlignment="1">
      <alignment vertical="center" wrapText="1"/>
    </xf>
    <xf numFmtId="164" fontId="12" fillId="0" borderId="9" xfId="1" applyFont="1" applyBorder="1"/>
    <xf numFmtId="164" fontId="12" fillId="0" borderId="9" xfId="1" applyFont="1" applyFill="1" applyBorder="1"/>
    <xf numFmtId="0" fontId="12" fillId="0" borderId="0" xfId="0" applyFont="1"/>
    <xf numFmtId="166" fontId="9" fillId="2" borderId="10" xfId="0" applyNumberFormat="1" applyFont="1" applyFill="1" applyBorder="1" applyAlignment="1">
      <alignment vertical="center" wrapText="1"/>
    </xf>
    <xf numFmtId="164" fontId="10" fillId="0" borderId="9" xfId="1" applyFont="1" applyFill="1" applyBorder="1"/>
    <xf numFmtId="166" fontId="9" fillId="0" borderId="10" xfId="0" applyNumberFormat="1" applyFont="1" applyBorder="1" applyAlignment="1">
      <alignment horizontal="left" vertical="center" wrapText="1"/>
    </xf>
    <xf numFmtId="0" fontId="8" fillId="0" borderId="9" xfId="0" applyFont="1" applyBorder="1" applyAlignment="1">
      <alignment horizontal="left" vertical="center" wrapText="1"/>
    </xf>
    <xf numFmtId="0" fontId="8" fillId="0" borderId="11" xfId="4" applyFont="1" applyBorder="1" applyAlignment="1">
      <alignment horizontal="left"/>
    </xf>
    <xf numFmtId="164" fontId="12" fillId="0" borderId="11" xfId="1" applyFont="1" applyFill="1" applyBorder="1" applyAlignment="1">
      <alignment horizontal="left"/>
    </xf>
    <xf numFmtId="164" fontId="12" fillId="0" borderId="12" xfId="1" applyFont="1" applyFill="1" applyBorder="1" applyAlignment="1">
      <alignment horizontal="left"/>
    </xf>
    <xf numFmtId="164" fontId="12" fillId="0" borderId="9" xfId="0" applyNumberFormat="1" applyFont="1" applyBorder="1"/>
    <xf numFmtId="0" fontId="8" fillId="3" borderId="10" xfId="4" applyFont="1" applyFill="1" applyBorder="1" applyAlignment="1">
      <alignment horizontal="left"/>
    </xf>
    <xf numFmtId="0" fontId="8" fillId="3" borderId="9" xfId="4" applyFont="1" applyFill="1" applyBorder="1" applyAlignment="1">
      <alignment vertical="center"/>
    </xf>
    <xf numFmtId="0" fontId="9" fillId="0" borderId="0" xfId="0" applyFont="1" applyAlignment="1">
      <alignment horizontal="left" vertical="center" wrapText="1"/>
    </xf>
    <xf numFmtId="164" fontId="12" fillId="0" borderId="9" xfId="1" applyFont="1" applyFill="1" applyBorder="1" applyAlignment="1"/>
    <xf numFmtId="0" fontId="0" fillId="4" borderId="0" xfId="0" applyFill="1"/>
    <xf numFmtId="164" fontId="9" fillId="0" borderId="9" xfId="1" applyFont="1" applyFill="1" applyBorder="1"/>
    <xf numFmtId="0" fontId="9" fillId="2" borderId="9" xfId="4" applyFont="1" applyFill="1" applyBorder="1" applyAlignment="1">
      <alignment horizontal="justify" wrapText="1"/>
    </xf>
    <xf numFmtId="166" fontId="9" fillId="2" borderId="9" xfId="0" applyNumberFormat="1" applyFont="1" applyFill="1" applyBorder="1" applyAlignment="1">
      <alignment horizontal="center" vertical="center" wrapText="1"/>
    </xf>
    <xf numFmtId="0" fontId="9" fillId="2" borderId="9" xfId="4" applyFont="1" applyFill="1" applyBorder="1" applyAlignment="1">
      <alignment horizontal="left" vertical="top" wrapText="1"/>
    </xf>
    <xf numFmtId="0" fontId="9" fillId="2" borderId="9" xfId="4" applyFont="1" applyFill="1" applyBorder="1" applyAlignment="1">
      <alignment wrapText="1"/>
    </xf>
    <xf numFmtId="0" fontId="9" fillId="0" borderId="9" xfId="4" applyFont="1" applyBorder="1" applyAlignment="1">
      <alignment horizontal="left" vertical="center" wrapText="1"/>
    </xf>
    <xf numFmtId="0" fontId="10" fillId="0" borderId="9" xfId="0" applyFont="1" applyBorder="1"/>
    <xf numFmtId="0" fontId="8" fillId="3" borderId="9" xfId="4" applyFont="1" applyFill="1" applyBorder="1" applyAlignment="1">
      <alignment horizontal="left" wrapText="1"/>
    </xf>
    <xf numFmtId="0" fontId="9" fillId="2" borderId="9" xfId="4" applyFont="1" applyFill="1" applyBorder="1" applyAlignment="1">
      <alignment horizontal="left" vertical="center" wrapText="1"/>
    </xf>
    <xf numFmtId="0" fontId="8" fillId="5" borderId="9" xfId="4" applyFont="1" applyFill="1" applyBorder="1" applyAlignment="1">
      <alignment horizontal="left" vertical="top" wrapText="1"/>
    </xf>
    <xf numFmtId="0" fontId="8" fillId="2" borderId="9" xfId="4" applyFont="1" applyFill="1" applyBorder="1" applyAlignment="1">
      <alignment horizontal="left" vertical="top" wrapText="1"/>
    </xf>
    <xf numFmtId="164" fontId="9" fillId="0" borderId="9" xfId="0" applyNumberFormat="1" applyFont="1" applyBorder="1"/>
    <xf numFmtId="0" fontId="16" fillId="0" borderId="8" xfId="0" applyFont="1" applyBorder="1" applyAlignment="1">
      <alignment horizontal="left" vertical="center" wrapText="1"/>
    </xf>
    <xf numFmtId="0" fontId="10" fillId="2" borderId="9" xfId="4" applyFont="1" applyFill="1" applyBorder="1" applyAlignment="1">
      <alignment horizontal="left" vertical="center" wrapText="1"/>
    </xf>
    <xf numFmtId="0" fontId="10" fillId="0" borderId="0" xfId="0" applyFont="1"/>
    <xf numFmtId="0" fontId="14" fillId="0" borderId="0" xfId="0" applyFont="1"/>
    <xf numFmtId="166" fontId="10" fillId="2" borderId="9" xfId="0" applyNumberFormat="1" applyFont="1" applyFill="1" applyBorder="1" applyAlignment="1">
      <alignment horizontal="left" vertical="center" wrapText="1"/>
    </xf>
    <xf numFmtId="166" fontId="9" fillId="0" borderId="9" xfId="0" applyNumberFormat="1" applyFont="1" applyBorder="1" applyAlignment="1">
      <alignment horizontal="left" vertical="center" wrapText="1"/>
    </xf>
    <xf numFmtId="164" fontId="12" fillId="0" borderId="0" xfId="1" applyFont="1" applyFill="1"/>
    <xf numFmtId="166" fontId="9" fillId="2" borderId="9" xfId="0" applyNumberFormat="1" applyFont="1" applyFill="1" applyBorder="1" applyAlignment="1">
      <alignment horizontal="left" vertical="center" wrapText="1"/>
    </xf>
    <xf numFmtId="0" fontId="8" fillId="2" borderId="9" xfId="0" applyFont="1" applyFill="1" applyBorder="1" applyAlignment="1">
      <alignment horizontal="left" wrapText="1"/>
    </xf>
    <xf numFmtId="0" fontId="9" fillId="6" borderId="9" xfId="4" applyFont="1" applyFill="1" applyBorder="1" applyAlignment="1">
      <alignment horizontal="left" vertical="top" wrapText="1"/>
    </xf>
    <xf numFmtId="0" fontId="9" fillId="6" borderId="9" xfId="4" applyFont="1" applyFill="1" applyBorder="1" applyAlignment="1">
      <alignment wrapText="1"/>
    </xf>
    <xf numFmtId="4" fontId="9" fillId="2" borderId="9" xfId="4" applyNumberFormat="1" applyFont="1" applyFill="1" applyBorder="1" applyAlignment="1">
      <alignment horizontal="left" wrapText="1"/>
    </xf>
    <xf numFmtId="164" fontId="0" fillId="0" borderId="0" xfId="0" applyNumberFormat="1"/>
    <xf numFmtId="0" fontId="9" fillId="0" borderId="9" xfId="4" applyFont="1" applyBorder="1" applyAlignment="1">
      <alignment wrapText="1"/>
    </xf>
    <xf numFmtId="4" fontId="17" fillId="0" borderId="9" xfId="4" applyNumberFormat="1" applyFont="1" applyBorder="1" applyAlignment="1">
      <alignment horizontal="left" wrapText="1"/>
    </xf>
    <xf numFmtId="0" fontId="17" fillId="0" borderId="0" xfId="0" applyFont="1" applyAlignment="1">
      <alignment wrapText="1"/>
    </xf>
    <xf numFmtId="0" fontId="17" fillId="0" borderId="9" xfId="0" applyFont="1" applyBorder="1" applyAlignment="1">
      <alignment wrapText="1"/>
    </xf>
    <xf numFmtId="164" fontId="14" fillId="0" borderId="0" xfId="0" applyNumberFormat="1" applyFont="1"/>
    <xf numFmtId="4" fontId="9" fillId="0" borderId="9" xfId="4" applyNumberFormat="1" applyFont="1" applyBorder="1" applyAlignment="1">
      <alignment horizontal="left" vertical="top" wrapText="1"/>
    </xf>
    <xf numFmtId="4" fontId="9" fillId="2" borderId="9" xfId="4" applyNumberFormat="1" applyFont="1" applyFill="1" applyBorder="1" applyAlignment="1">
      <alignment horizontal="left" vertical="top" wrapText="1"/>
    </xf>
    <xf numFmtId="0" fontId="8" fillId="0" borderId="8" xfId="0" applyFont="1" applyBorder="1" applyAlignment="1">
      <alignment horizontal="left" vertical="top" wrapText="1"/>
    </xf>
    <xf numFmtId="166" fontId="9" fillId="2" borderId="9" xfId="0" applyNumberFormat="1" applyFont="1" applyFill="1" applyBorder="1" applyAlignment="1">
      <alignment horizontal="left" vertical="top" wrapText="1"/>
    </xf>
    <xf numFmtId="166" fontId="9" fillId="0" borderId="9" xfId="0" applyNumberFormat="1" applyFont="1" applyBorder="1" applyAlignment="1">
      <alignment horizontal="left" vertical="top" wrapText="1"/>
    </xf>
    <xf numFmtId="0" fontId="9" fillId="0" borderId="9" xfId="4" applyFont="1" applyBorder="1" applyAlignment="1">
      <alignment horizontal="justify" vertical="top" wrapText="1"/>
    </xf>
    <xf numFmtId="0" fontId="9" fillId="2" borderId="9" xfId="4" applyFont="1" applyFill="1" applyBorder="1" applyAlignment="1">
      <alignment horizontal="justify" vertical="top" wrapText="1"/>
    </xf>
    <xf numFmtId="4" fontId="17" fillId="0" borderId="9" xfId="4" applyNumberFormat="1" applyFont="1" applyBorder="1" applyAlignment="1">
      <alignment horizontal="left" vertical="top" wrapText="1"/>
    </xf>
    <xf numFmtId="0" fontId="9" fillId="2" borderId="9" xfId="4" applyFont="1" applyFill="1" applyBorder="1" applyAlignment="1">
      <alignment vertical="top" wrapText="1"/>
    </xf>
    <xf numFmtId="0" fontId="9" fillId="0" borderId="9" xfId="4" applyFont="1" applyBorder="1" applyAlignment="1">
      <alignment vertical="top" wrapText="1"/>
    </xf>
    <xf numFmtId="0" fontId="9" fillId="2" borderId="9" xfId="0" applyFont="1" applyFill="1" applyBorder="1" applyAlignment="1">
      <alignment horizontal="left" vertical="top" wrapText="1"/>
    </xf>
    <xf numFmtId="0" fontId="9" fillId="0" borderId="9" xfId="0" applyFont="1" applyBorder="1" applyAlignment="1">
      <alignment horizontal="left" vertical="top" wrapText="1"/>
    </xf>
    <xf numFmtId="0" fontId="14" fillId="0" borderId="0" xfId="0" applyFont="1" applyAlignment="1">
      <alignment vertical="top"/>
    </xf>
    <xf numFmtId="0" fontId="9" fillId="0" borderId="9" xfId="0" applyFont="1" applyBorder="1"/>
    <xf numFmtId="0" fontId="8" fillId="3" borderId="9" xfId="4" applyFont="1" applyFill="1" applyBorder="1" applyAlignment="1">
      <alignment horizontal="left" vertical="top" wrapText="1"/>
    </xf>
    <xf numFmtId="0" fontId="17" fillId="0" borderId="0" xfId="0" applyFont="1" applyAlignment="1">
      <alignment vertical="top" wrapText="1"/>
    </xf>
    <xf numFmtId="0" fontId="17" fillId="0" borderId="9" xfId="0" applyFont="1" applyBorder="1" applyAlignment="1">
      <alignment vertical="top" wrapText="1"/>
    </xf>
    <xf numFmtId="0" fontId="15" fillId="0" borderId="9" xfId="0" applyFont="1" applyBorder="1"/>
    <xf numFmtId="165" fontId="8" fillId="0" borderId="9" xfId="0" applyNumberFormat="1" applyFont="1" applyBorder="1" applyAlignment="1">
      <alignment horizontal="center" vertical="center" wrapText="1"/>
    </xf>
    <xf numFmtId="165" fontId="9" fillId="0" borderId="9" xfId="0" applyNumberFormat="1" applyFont="1" applyBorder="1" applyAlignment="1">
      <alignment horizontal="center" vertical="center" wrapText="1"/>
    </xf>
    <xf numFmtId="0" fontId="19" fillId="0" borderId="0" xfId="0" applyFont="1"/>
    <xf numFmtId="0" fontId="8" fillId="8" borderId="9" xfId="0" applyFont="1" applyFill="1" applyBorder="1" applyAlignment="1">
      <alignment horizontal="left" vertical="top" wrapText="1"/>
    </xf>
    <xf numFmtId="2" fontId="9" fillId="8" borderId="9" xfId="0" applyNumberFormat="1" applyFont="1" applyFill="1" applyBorder="1" applyAlignment="1">
      <alignment horizontal="right" wrapText="1"/>
    </xf>
    <xf numFmtId="2" fontId="10" fillId="8" borderId="9" xfId="0" applyNumberFormat="1" applyFont="1" applyFill="1" applyBorder="1" applyAlignment="1">
      <alignment horizontal="right" wrapText="1"/>
    </xf>
    <xf numFmtId="0" fontId="12" fillId="8" borderId="9" xfId="0" applyFont="1" applyFill="1" applyBorder="1"/>
    <xf numFmtId="2" fontId="12" fillId="0" borderId="0" xfId="0" applyNumberFormat="1" applyFont="1"/>
    <xf numFmtId="167" fontId="8" fillId="8" borderId="9" xfId="0" applyNumberFormat="1" applyFont="1" applyFill="1" applyBorder="1" applyAlignment="1">
      <alignment horizontal="left" wrapText="1"/>
    </xf>
    <xf numFmtId="168" fontId="8" fillId="8" borderId="9" xfId="0" applyNumberFormat="1" applyFont="1" applyFill="1" applyBorder="1" applyAlignment="1">
      <alignment horizontal="right" wrapText="1"/>
    </xf>
    <xf numFmtId="168" fontId="8" fillId="8" borderId="9" xfId="0" applyNumberFormat="1" applyFont="1" applyFill="1" applyBorder="1" applyAlignment="1">
      <alignment vertical="center" wrapText="1"/>
    </xf>
    <xf numFmtId="167" fontId="9" fillId="8" borderId="9" xfId="0" applyNumberFormat="1" applyFont="1" applyFill="1" applyBorder="1" applyAlignment="1">
      <alignment horizontal="left" wrapText="1"/>
    </xf>
    <xf numFmtId="168" fontId="9" fillId="8" borderId="9" xfId="0" applyNumberFormat="1" applyFont="1" applyFill="1" applyBorder="1" applyAlignment="1">
      <alignment horizontal="right" wrapText="1"/>
    </xf>
    <xf numFmtId="167" fontId="9" fillId="9" borderId="9" xfId="0" applyNumberFormat="1" applyFont="1" applyFill="1" applyBorder="1" applyAlignment="1">
      <alignment horizontal="left" vertical="top" wrapText="1"/>
    </xf>
    <xf numFmtId="168" fontId="9" fillId="9" borderId="9" xfId="0" applyNumberFormat="1" applyFont="1" applyFill="1" applyBorder="1" applyAlignment="1">
      <alignment horizontal="right" wrapText="1"/>
    </xf>
    <xf numFmtId="168" fontId="10" fillId="9" borderId="9" xfId="0" applyNumberFormat="1" applyFont="1" applyFill="1" applyBorder="1" applyAlignment="1">
      <alignment horizontal="right" wrapText="1"/>
    </xf>
    <xf numFmtId="4" fontId="12" fillId="0" borderId="9" xfId="0" applyNumberFormat="1" applyFont="1" applyBorder="1"/>
    <xf numFmtId="167" fontId="8" fillId="0" borderId="9" xfId="0" applyNumberFormat="1" applyFont="1" applyBorder="1" applyAlignment="1">
      <alignment horizontal="left" wrapText="1"/>
    </xf>
    <xf numFmtId="168" fontId="8" fillId="0" borderId="9" xfId="0" applyNumberFormat="1" applyFont="1" applyBorder="1" applyAlignment="1">
      <alignment horizontal="right" wrapText="1"/>
    </xf>
    <xf numFmtId="168" fontId="8" fillId="0" borderId="9" xfId="0" applyNumberFormat="1" applyFont="1" applyBorder="1" applyAlignment="1">
      <alignment wrapText="1"/>
    </xf>
    <xf numFmtId="167" fontId="9" fillId="0" borderId="9" xfId="0" applyNumberFormat="1" applyFont="1" applyBorder="1" applyAlignment="1">
      <alignment horizontal="left" wrapText="1"/>
    </xf>
    <xf numFmtId="168" fontId="9" fillId="0" borderId="9" xfId="0" applyNumberFormat="1" applyFont="1" applyBorder="1" applyAlignment="1">
      <alignment horizontal="right" wrapText="1"/>
    </xf>
    <xf numFmtId="169" fontId="9" fillId="0" borderId="9" xfId="0" applyNumberFormat="1" applyFont="1" applyBorder="1" applyAlignment="1">
      <alignment horizontal="right"/>
    </xf>
    <xf numFmtId="169" fontId="9" fillId="0" borderId="9" xfId="0" applyNumberFormat="1" applyFont="1" applyBorder="1"/>
    <xf numFmtId="168" fontId="9" fillId="10" borderId="9" xfId="0" applyNumberFormat="1" applyFont="1" applyFill="1" applyBorder="1" applyAlignment="1">
      <alignment horizontal="right" wrapText="1"/>
    </xf>
    <xf numFmtId="167" fontId="9" fillId="0" borderId="9" xfId="0" applyNumberFormat="1" applyFont="1" applyBorder="1" applyAlignment="1">
      <alignment horizontal="left" vertical="center" wrapText="1"/>
    </xf>
    <xf numFmtId="168" fontId="16" fillId="0" borderId="9" xfId="0" applyNumberFormat="1" applyFont="1" applyBorder="1" applyAlignment="1">
      <alignment horizontal="right" wrapText="1"/>
    </xf>
    <xf numFmtId="167" fontId="9" fillId="0" borderId="9" xfId="0" applyNumberFormat="1" applyFont="1" applyBorder="1" applyAlignment="1">
      <alignment horizontal="left" vertical="top" wrapText="1"/>
    </xf>
    <xf numFmtId="168" fontId="10" fillId="0" borderId="9" xfId="0" applyNumberFormat="1" applyFont="1" applyBorder="1" applyAlignment="1">
      <alignment horizontal="right" wrapText="1"/>
    </xf>
    <xf numFmtId="167" fontId="8" fillId="8" borderId="9" xfId="0" applyNumberFormat="1" applyFont="1" applyFill="1" applyBorder="1" applyAlignment="1">
      <alignment horizontal="left" vertical="top" wrapText="1"/>
    </xf>
    <xf numFmtId="168" fontId="16" fillId="8" borderId="9" xfId="0" applyNumberFormat="1" applyFont="1" applyFill="1" applyBorder="1" applyAlignment="1">
      <alignment horizontal="right" wrapText="1"/>
    </xf>
    <xf numFmtId="167" fontId="8" fillId="9" borderId="9" xfId="0" applyNumberFormat="1" applyFont="1" applyFill="1" applyBorder="1" applyAlignment="1">
      <alignment horizontal="left" wrapText="1"/>
    </xf>
    <xf numFmtId="167" fontId="9" fillId="9" borderId="9" xfId="0" applyNumberFormat="1" applyFont="1" applyFill="1" applyBorder="1" applyAlignment="1">
      <alignment horizontal="left" wrapText="1"/>
    </xf>
    <xf numFmtId="168" fontId="8" fillId="8" borderId="9" xfId="0" applyNumberFormat="1" applyFont="1" applyFill="1" applyBorder="1" applyAlignment="1">
      <alignment horizontal="left" wrapText="1"/>
    </xf>
    <xf numFmtId="168" fontId="9" fillId="8" borderId="9" xfId="0" applyNumberFormat="1" applyFont="1" applyFill="1" applyBorder="1" applyAlignment="1">
      <alignment horizontal="left" wrapText="1"/>
    </xf>
    <xf numFmtId="168" fontId="8" fillId="9" borderId="9" xfId="0" applyNumberFormat="1" applyFont="1" applyFill="1" applyBorder="1" applyAlignment="1">
      <alignment horizontal="right" wrapText="1"/>
    </xf>
    <xf numFmtId="168" fontId="16" fillId="9" borderId="9" xfId="0" applyNumberFormat="1" applyFont="1" applyFill="1" applyBorder="1" applyAlignment="1">
      <alignment horizontal="right" wrapText="1"/>
    </xf>
    <xf numFmtId="167" fontId="9" fillId="8" borderId="9" xfId="0" applyNumberFormat="1" applyFont="1" applyFill="1" applyBorder="1" applyAlignment="1">
      <alignment horizontal="right" wrapText="1"/>
    </xf>
    <xf numFmtId="167" fontId="10" fillId="8" borderId="9" xfId="0" applyNumberFormat="1" applyFont="1" applyFill="1" applyBorder="1" applyAlignment="1">
      <alignment horizontal="right" wrapText="1"/>
    </xf>
    <xf numFmtId="168" fontId="9" fillId="0" borderId="9" xfId="0" applyNumberFormat="1" applyFont="1" applyBorder="1" applyAlignment="1">
      <alignment horizontal="right" vertical="center" wrapText="1"/>
    </xf>
    <xf numFmtId="168" fontId="10" fillId="0" borderId="9" xfId="0" applyNumberFormat="1" applyFont="1" applyBorder="1" applyAlignment="1">
      <alignment horizontal="right" vertical="center" wrapText="1"/>
    </xf>
    <xf numFmtId="168" fontId="10" fillId="8" borderId="9" xfId="0" applyNumberFormat="1" applyFont="1" applyFill="1" applyBorder="1" applyAlignment="1">
      <alignment horizontal="right" wrapText="1"/>
    </xf>
    <xf numFmtId="4" fontId="9" fillId="0" borderId="9" xfId="0" applyNumberFormat="1" applyFont="1" applyBorder="1"/>
    <xf numFmtId="167" fontId="8" fillId="8" borderId="9" xfId="0" applyNumberFormat="1" applyFont="1" applyFill="1" applyBorder="1" applyAlignment="1">
      <alignment horizontal="left" vertical="center" wrapText="1"/>
    </xf>
    <xf numFmtId="167" fontId="8" fillId="8" borderId="9" xfId="0" applyNumberFormat="1" applyFont="1" applyFill="1" applyBorder="1" applyAlignment="1">
      <alignment horizontal="right" wrapText="1"/>
    </xf>
    <xf numFmtId="167" fontId="16" fillId="8" borderId="9" xfId="0" applyNumberFormat="1" applyFont="1" applyFill="1" applyBorder="1" applyAlignment="1">
      <alignment horizontal="right" wrapText="1"/>
    </xf>
    <xf numFmtId="4" fontId="8" fillId="8" borderId="9" xfId="0" applyNumberFormat="1" applyFont="1" applyFill="1" applyBorder="1"/>
    <xf numFmtId="0" fontId="8" fillId="8" borderId="9" xfId="0" applyFont="1" applyFill="1" applyBorder="1"/>
    <xf numFmtId="168" fontId="9" fillId="8" borderId="9" xfId="0" applyNumberFormat="1" applyFont="1" applyFill="1" applyBorder="1" applyAlignment="1">
      <alignment vertical="center" wrapText="1"/>
    </xf>
    <xf numFmtId="168" fontId="10" fillId="8" borderId="9" xfId="0" applyNumberFormat="1" applyFont="1" applyFill="1" applyBorder="1" applyAlignment="1">
      <alignment vertical="center" wrapText="1"/>
    </xf>
    <xf numFmtId="0" fontId="8" fillId="8" borderId="9" xfId="0" applyFont="1" applyFill="1" applyBorder="1" applyAlignment="1">
      <alignment horizontal="left" wrapText="1"/>
    </xf>
    <xf numFmtId="0" fontId="9" fillId="8" borderId="9" xfId="0" applyFont="1" applyFill="1" applyBorder="1" applyAlignment="1">
      <alignment horizontal="left" wrapText="1"/>
    </xf>
    <xf numFmtId="0" fontId="9" fillId="9" borderId="9" xfId="0" applyFont="1" applyFill="1" applyBorder="1" applyAlignment="1">
      <alignment horizontal="left" wrapText="1"/>
    </xf>
    <xf numFmtId="167" fontId="8" fillId="11" borderId="9" xfId="0" applyNumberFormat="1" applyFont="1" applyFill="1" applyBorder="1" applyAlignment="1">
      <alignment horizontal="left" wrapText="1"/>
    </xf>
    <xf numFmtId="168" fontId="8" fillId="11" borderId="9" xfId="0" applyNumberFormat="1" applyFont="1" applyFill="1" applyBorder="1" applyAlignment="1">
      <alignment horizontal="right" wrapText="1"/>
    </xf>
    <xf numFmtId="167" fontId="9" fillId="12" borderId="9" xfId="0" applyNumberFormat="1" applyFont="1" applyFill="1" applyBorder="1" applyAlignment="1">
      <alignment horizontal="left" wrapText="1"/>
    </xf>
    <xf numFmtId="168" fontId="9" fillId="12" borderId="9" xfId="0" applyNumberFormat="1" applyFont="1" applyFill="1" applyBorder="1" applyAlignment="1">
      <alignment horizontal="right" wrapText="1"/>
    </xf>
    <xf numFmtId="167" fontId="9" fillId="12" borderId="9" xfId="0" applyNumberFormat="1" applyFont="1" applyFill="1" applyBorder="1" applyAlignment="1">
      <alignment horizontal="left" vertical="center" wrapText="1"/>
    </xf>
    <xf numFmtId="167" fontId="8" fillId="10" borderId="9" xfId="0" applyNumberFormat="1" applyFont="1" applyFill="1" applyBorder="1" applyAlignment="1">
      <alignment horizontal="left" vertical="top" wrapText="1"/>
    </xf>
    <xf numFmtId="168" fontId="8" fillId="10" borderId="9" xfId="0" applyNumberFormat="1" applyFont="1" applyFill="1" applyBorder="1" applyAlignment="1">
      <alignment horizontal="right" wrapText="1"/>
    </xf>
    <xf numFmtId="4" fontId="12" fillId="0" borderId="0" xfId="0" applyNumberFormat="1" applyFont="1"/>
    <xf numFmtId="0" fontId="12" fillId="0" borderId="0" xfId="0" applyFont="1" applyAlignment="1">
      <alignment horizontal="right"/>
    </xf>
    <xf numFmtId="0" fontId="20" fillId="0" borderId="0" xfId="4" applyFont="1" applyAlignment="1">
      <alignment horizontal="center" vertical="center" wrapText="1"/>
    </xf>
    <xf numFmtId="0" fontId="13" fillId="0" borderId="0" xfId="4" applyFont="1" applyAlignment="1">
      <alignment vertical="center" wrapText="1"/>
    </xf>
    <xf numFmtId="0" fontId="9" fillId="0" borderId="0" xfId="0" applyFont="1"/>
    <xf numFmtId="165" fontId="21" fillId="0" borderId="0" xfId="4" applyNumberFormat="1" applyFont="1" applyAlignment="1">
      <alignment horizontal="center" vertical="center" wrapText="1"/>
    </xf>
    <xf numFmtId="0" fontId="13" fillId="0" borderId="0" xfId="4" applyFont="1" applyAlignment="1">
      <alignment horizontal="center" vertical="center" wrapText="1"/>
    </xf>
    <xf numFmtId="0" fontId="9" fillId="0" borderId="0" xfId="0" applyFont="1" applyAlignment="1">
      <alignment horizontal="center" vertical="center"/>
    </xf>
    <xf numFmtId="0" fontId="15" fillId="0" borderId="0" xfId="0" applyFont="1" applyAlignment="1">
      <alignment horizontal="center" vertical="center"/>
    </xf>
    <xf numFmtId="165" fontId="21" fillId="9" borderId="0" xfId="4" applyNumberFormat="1" applyFont="1" applyFill="1" applyAlignment="1">
      <alignment horizontal="center" vertical="center" wrapText="1"/>
    </xf>
    <xf numFmtId="165" fontId="22" fillId="0" borderId="0" xfId="4" applyNumberFormat="1" applyFont="1" applyAlignment="1">
      <alignment horizontal="center" vertical="center" wrapText="1"/>
    </xf>
    <xf numFmtId="0" fontId="22" fillId="0" borderId="0" xfId="4" applyFont="1" applyAlignment="1">
      <alignment horizontal="right" vertical="center" wrapText="1"/>
    </xf>
    <xf numFmtId="166" fontId="9" fillId="0" borderId="10" xfId="0" applyNumberFormat="1" applyFont="1" applyBorder="1" applyAlignment="1">
      <alignment horizontal="center" vertical="center" wrapText="1"/>
    </xf>
    <xf numFmtId="0" fontId="8" fillId="0" borderId="0" xfId="0" applyFont="1"/>
    <xf numFmtId="0" fontId="8" fillId="8" borderId="9" xfId="4" applyFont="1" applyFill="1" applyBorder="1" applyAlignment="1">
      <alignment horizontal="left" vertical="center" wrapText="1"/>
    </xf>
    <xf numFmtId="4" fontId="8" fillId="8" borderId="9" xfId="4" applyNumberFormat="1" applyFont="1" applyFill="1" applyBorder="1" applyAlignment="1">
      <alignment horizontal="center" vertical="center" wrapText="1"/>
    </xf>
    <xf numFmtId="4" fontId="8" fillId="8" borderId="10" xfId="4" applyNumberFormat="1" applyFont="1" applyFill="1" applyBorder="1" applyAlignment="1">
      <alignment horizontal="center" vertical="center" wrapText="1"/>
    </xf>
    <xf numFmtId="4" fontId="8" fillId="8" borderId="10" xfId="4" applyNumberFormat="1" applyFont="1" applyFill="1" applyBorder="1" applyAlignment="1" applyProtection="1">
      <alignment horizontal="center" vertical="center" wrapText="1"/>
      <protection hidden="1"/>
    </xf>
    <xf numFmtId="4" fontId="8" fillId="8" borderId="9" xfId="4" applyNumberFormat="1" applyFont="1" applyFill="1" applyBorder="1" applyAlignment="1" applyProtection="1">
      <alignment horizontal="center" vertical="center" wrapText="1"/>
      <protection hidden="1"/>
    </xf>
    <xf numFmtId="0" fontId="23" fillId="8" borderId="9" xfId="4" applyFont="1" applyFill="1" applyBorder="1" applyAlignment="1">
      <alignment vertical="center" wrapText="1"/>
    </xf>
    <xf numFmtId="4" fontId="9" fillId="0" borderId="0" xfId="0" applyNumberFormat="1" applyFont="1"/>
    <xf numFmtId="0" fontId="24" fillId="8" borderId="9" xfId="4" applyFont="1" applyFill="1" applyBorder="1" applyAlignment="1">
      <alignment horizontal="left" vertical="center" wrapText="1"/>
    </xf>
    <xf numFmtId="0" fontId="25" fillId="0" borderId="0" xfId="0" applyFont="1"/>
    <xf numFmtId="0" fontId="26" fillId="8" borderId="9" xfId="4" applyFont="1" applyFill="1" applyBorder="1" applyAlignment="1">
      <alignment horizontal="left" vertical="center" wrapText="1"/>
    </xf>
    <xf numFmtId="4" fontId="9" fillId="8" borderId="9" xfId="4" applyNumberFormat="1" applyFont="1" applyFill="1" applyBorder="1" applyAlignment="1">
      <alignment horizontal="center" vertical="center" wrapText="1"/>
    </xf>
    <xf numFmtId="4" fontId="9" fillId="8" borderId="10" xfId="4" applyNumberFormat="1" applyFont="1" applyFill="1" applyBorder="1" applyAlignment="1">
      <alignment horizontal="center" vertical="center" wrapText="1"/>
    </xf>
    <xf numFmtId="4" fontId="9" fillId="8" borderId="10" xfId="4" applyNumberFormat="1" applyFont="1" applyFill="1" applyBorder="1" applyAlignment="1" applyProtection="1">
      <alignment horizontal="center" vertical="center" wrapText="1"/>
      <protection hidden="1"/>
    </xf>
    <xf numFmtId="0" fontId="27" fillId="8" borderId="9" xfId="4" applyFont="1" applyFill="1" applyBorder="1" applyAlignment="1">
      <alignment vertical="center" wrapText="1"/>
    </xf>
    <xf numFmtId="4" fontId="9" fillId="8" borderId="9" xfId="4" applyNumberFormat="1" applyFont="1" applyFill="1" applyBorder="1" applyAlignment="1" applyProtection="1">
      <alignment horizontal="center" vertical="center" wrapText="1"/>
      <protection hidden="1"/>
    </xf>
    <xf numFmtId="0" fontId="8" fillId="8" borderId="9" xfId="4" applyFont="1" applyFill="1" applyBorder="1" applyAlignment="1">
      <alignment horizontal="justify" vertical="center" wrapText="1"/>
    </xf>
    <xf numFmtId="4" fontId="9" fillId="8" borderId="12" xfId="4" applyNumberFormat="1" applyFont="1" applyFill="1" applyBorder="1" applyAlignment="1">
      <alignment horizontal="center" vertical="center" wrapText="1"/>
    </xf>
    <xf numFmtId="0" fontId="28" fillId="8" borderId="9" xfId="4" applyFont="1" applyFill="1" applyBorder="1" applyAlignment="1">
      <alignment vertical="center" wrapText="1"/>
    </xf>
    <xf numFmtId="0" fontId="8" fillId="8" borderId="9" xfId="4" applyFont="1" applyFill="1" applyBorder="1" applyAlignment="1">
      <alignment horizontal="justify" wrapText="1"/>
    </xf>
    <xf numFmtId="0" fontId="23" fillId="8" borderId="9" xfId="4" applyFont="1" applyFill="1" applyBorder="1" applyAlignment="1">
      <alignment horizontal="center" vertical="center" wrapText="1"/>
    </xf>
    <xf numFmtId="0" fontId="27" fillId="8" borderId="9" xfId="4" applyFont="1" applyFill="1" applyBorder="1" applyAlignment="1">
      <alignment horizontal="center" vertical="center" wrapText="1"/>
    </xf>
    <xf numFmtId="0" fontId="9" fillId="9" borderId="9" xfId="4" applyFont="1" applyFill="1" applyBorder="1" applyAlignment="1">
      <alignment horizontal="left" wrapText="1"/>
    </xf>
    <xf numFmtId="4" fontId="9" fillId="9" borderId="9" xfId="4" applyNumberFormat="1" applyFont="1" applyFill="1" applyBorder="1" applyAlignment="1">
      <alignment horizontal="center" vertical="center" wrapText="1"/>
    </xf>
    <xf numFmtId="4" fontId="9" fillId="9" borderId="10" xfId="4" applyNumberFormat="1" applyFont="1" applyFill="1" applyBorder="1" applyAlignment="1" applyProtection="1">
      <alignment horizontal="center" vertical="center" wrapText="1"/>
      <protection hidden="1"/>
    </xf>
    <xf numFmtId="4" fontId="9" fillId="0" borderId="9" xfId="4" applyNumberFormat="1" applyFont="1" applyBorder="1" applyAlignment="1">
      <alignment horizontal="center" vertical="center" wrapText="1"/>
    </xf>
    <xf numFmtId="4" fontId="9" fillId="9" borderId="9" xfId="4" applyNumberFormat="1" applyFont="1" applyFill="1" applyBorder="1" applyAlignment="1" applyProtection="1">
      <alignment horizontal="center" vertical="center" wrapText="1"/>
      <protection hidden="1"/>
    </xf>
    <xf numFmtId="0" fontId="23" fillId="0" borderId="9" xfId="4" applyFont="1" applyBorder="1" applyAlignment="1">
      <alignment vertical="center" wrapText="1"/>
    </xf>
    <xf numFmtId="0" fontId="8" fillId="9" borderId="9" xfId="4" applyFont="1" applyFill="1" applyBorder="1" applyAlignment="1">
      <alignment horizontal="justify" wrapText="1"/>
    </xf>
    <xf numFmtId="4" fontId="8" fillId="9" borderId="9" xfId="4" applyNumberFormat="1" applyFont="1" applyFill="1" applyBorder="1" applyAlignment="1">
      <alignment horizontal="center" vertical="center" wrapText="1"/>
    </xf>
    <xf numFmtId="4" fontId="8" fillId="0" borderId="9" xfId="4" applyNumberFormat="1" applyFont="1" applyBorder="1" applyAlignment="1">
      <alignment horizontal="center" vertical="center" wrapText="1"/>
    </xf>
    <xf numFmtId="0" fontId="26" fillId="9" borderId="9" xfId="4" applyFont="1" applyFill="1" applyBorder="1" applyAlignment="1">
      <alignment horizontal="left" vertical="center" wrapText="1"/>
    </xf>
    <xf numFmtId="0" fontId="9" fillId="9" borderId="9" xfId="4" applyFont="1" applyFill="1" applyBorder="1" applyAlignment="1">
      <alignment horizontal="left" vertical="top" wrapText="1"/>
    </xf>
    <xf numFmtId="0" fontId="29" fillId="9" borderId="9" xfId="4" applyFont="1" applyFill="1" applyBorder="1" applyAlignment="1">
      <alignment vertical="center" wrapText="1"/>
    </xf>
    <xf numFmtId="0" fontId="8" fillId="8" borderId="9" xfId="4" applyFont="1" applyFill="1" applyBorder="1" applyAlignment="1">
      <alignment horizontal="left" vertical="top" wrapText="1"/>
    </xf>
    <xf numFmtId="0" fontId="23" fillId="8" borderId="9" xfId="4" applyFont="1" applyFill="1" applyBorder="1" applyAlignment="1">
      <alignment vertical="top" wrapText="1" shrinkToFit="1"/>
    </xf>
    <xf numFmtId="0" fontId="27" fillId="8" borderId="9" xfId="4" applyFont="1" applyFill="1" applyBorder="1" applyAlignment="1">
      <alignment vertical="top" wrapText="1" shrinkToFit="1"/>
    </xf>
    <xf numFmtId="49" fontId="8" fillId="8" borderId="9" xfId="4" applyNumberFormat="1" applyFont="1" applyFill="1" applyBorder="1" applyAlignment="1">
      <alignment horizontal="justify" wrapText="1"/>
    </xf>
    <xf numFmtId="4" fontId="8" fillId="11" borderId="9" xfId="4" applyNumberFormat="1" applyFont="1" applyFill="1" applyBorder="1" applyAlignment="1">
      <alignment horizontal="center" vertical="center" wrapText="1"/>
    </xf>
    <xf numFmtId="4" fontId="23" fillId="11" borderId="9" xfId="4" applyNumberFormat="1" applyFont="1" applyFill="1" applyBorder="1" applyAlignment="1">
      <alignment horizontal="center" vertical="center" wrapText="1"/>
    </xf>
    <xf numFmtId="4" fontId="8" fillId="12" borderId="9" xfId="4" applyNumberFormat="1" applyFont="1" applyFill="1" applyBorder="1" applyAlignment="1">
      <alignment horizontal="center" vertical="center" wrapText="1"/>
    </xf>
    <xf numFmtId="4" fontId="23" fillId="12" borderId="9" xfId="4" applyNumberFormat="1" applyFont="1" applyFill="1" applyBorder="1" applyAlignment="1">
      <alignment horizontal="center" vertical="center" wrapText="1"/>
    </xf>
    <xf numFmtId="0" fontId="23" fillId="12" borderId="9" xfId="4" applyFont="1" applyFill="1" applyBorder="1" applyAlignment="1">
      <alignment horizontal="center" vertical="center" wrapText="1"/>
    </xf>
    <xf numFmtId="167" fontId="8" fillId="9" borderId="9" xfId="0" applyNumberFormat="1" applyFont="1" applyFill="1" applyBorder="1" applyAlignment="1">
      <alignment horizontal="left" vertical="top" wrapText="1"/>
    </xf>
    <xf numFmtId="4" fontId="19" fillId="0" borderId="9" xfId="0" applyNumberFormat="1" applyFont="1" applyBorder="1"/>
    <xf numFmtId="0" fontId="19" fillId="0" borderId="9" xfId="0" applyFont="1" applyBorder="1"/>
    <xf numFmtId="2" fontId="19" fillId="0" borderId="0" xfId="0" applyNumberFormat="1" applyFont="1"/>
    <xf numFmtId="169" fontId="8" fillId="0" borderId="9" xfId="0" applyNumberFormat="1" applyFont="1" applyBorder="1" applyAlignment="1">
      <alignment horizontal="right"/>
    </xf>
    <xf numFmtId="169" fontId="8" fillId="0" borderId="9" xfId="0" applyNumberFormat="1" applyFont="1" applyBorder="1"/>
    <xf numFmtId="0" fontId="8" fillId="0" borderId="9" xfId="4" applyFont="1" applyBorder="1" applyAlignment="1">
      <alignment horizontal="left" vertical="center" wrapText="1"/>
    </xf>
    <xf numFmtId="4" fontId="8" fillId="0" borderId="10" xfId="4" applyNumberFormat="1" applyFont="1" applyBorder="1" applyAlignment="1">
      <alignment horizontal="center" vertical="center" wrapText="1"/>
    </xf>
    <xf numFmtId="4" fontId="8" fillId="0" borderId="10" xfId="4" applyNumberFormat="1" applyFont="1" applyBorder="1" applyAlignment="1" applyProtection="1">
      <alignment horizontal="center" vertical="center" wrapText="1"/>
      <protection hidden="1"/>
    </xf>
    <xf numFmtId="4" fontId="8" fillId="0" borderId="9" xfId="4" applyNumberFormat="1" applyFont="1" applyBorder="1" applyAlignment="1" applyProtection="1">
      <alignment horizontal="center" vertical="center" wrapText="1"/>
      <protection hidden="1"/>
    </xf>
    <xf numFmtId="0" fontId="24" fillId="0" borderId="9" xfId="4" applyFont="1" applyBorder="1" applyAlignment="1">
      <alignment horizontal="left" vertical="center" wrapText="1"/>
    </xf>
    <xf numFmtId="0" fontId="26" fillId="0" borderId="9" xfId="4" applyFont="1" applyBorder="1" applyAlignment="1">
      <alignment horizontal="left" vertical="center" wrapText="1"/>
    </xf>
    <xf numFmtId="4" fontId="9" fillId="0" borderId="10" xfId="4" applyNumberFormat="1" applyFont="1" applyBorder="1" applyAlignment="1">
      <alignment horizontal="center" vertical="center" wrapText="1"/>
    </xf>
    <xf numFmtId="4" fontId="9" fillId="0" borderId="10" xfId="4" applyNumberFormat="1" applyFont="1" applyBorder="1" applyAlignment="1" applyProtection="1">
      <alignment horizontal="center" vertical="center" wrapText="1"/>
      <protection hidden="1"/>
    </xf>
    <xf numFmtId="0" fontId="27" fillId="0" borderId="9" xfId="4" applyFont="1" applyBorder="1" applyAlignment="1">
      <alignment vertical="center" wrapText="1"/>
    </xf>
    <xf numFmtId="0" fontId="5" fillId="0" borderId="0" xfId="20"/>
    <xf numFmtId="0" fontId="8" fillId="0" borderId="9" xfId="20" applyFont="1" applyBorder="1" applyAlignment="1">
      <alignment horizontal="center" vertical="center" wrapText="1"/>
    </xf>
    <xf numFmtId="171" fontId="10" fillId="14" borderId="1" xfId="21" applyNumberFormat="1" applyFont="1" applyFill="1" applyBorder="1" applyAlignment="1" applyProtection="1">
      <alignment horizontal="center" vertical="center" wrapText="1"/>
    </xf>
    <xf numFmtId="168" fontId="10" fillId="14" borderId="1" xfId="21" applyNumberFormat="1" applyFont="1" applyFill="1" applyBorder="1" applyAlignment="1" applyProtection="1">
      <alignment horizontal="center" vertical="center" wrapText="1"/>
    </xf>
    <xf numFmtId="171" fontId="9" fillId="14" borderId="1" xfId="21" applyNumberFormat="1" applyFont="1" applyFill="1" applyBorder="1" applyAlignment="1" applyProtection="1">
      <alignment horizontal="center" vertical="center" wrapText="1"/>
    </xf>
    <xf numFmtId="168" fontId="9" fillId="14" borderId="1" xfId="21" applyNumberFormat="1" applyFont="1" applyFill="1" applyBorder="1" applyAlignment="1" applyProtection="1">
      <alignment horizontal="center" vertical="center" wrapText="1"/>
    </xf>
    <xf numFmtId="171" fontId="9" fillId="0" borderId="9" xfId="21" applyNumberFormat="1" applyFont="1" applyFill="1" applyBorder="1" applyAlignment="1" applyProtection="1">
      <alignment horizontal="center" vertical="center" wrapText="1"/>
    </xf>
    <xf numFmtId="168" fontId="9" fillId="0" borderId="9" xfId="21" applyNumberFormat="1" applyFont="1" applyFill="1" applyBorder="1" applyAlignment="1" applyProtection="1">
      <alignment horizontal="center" vertical="center" wrapText="1"/>
    </xf>
    <xf numFmtId="168" fontId="9" fillId="0" borderId="11" xfId="21" applyNumberFormat="1" applyFont="1" applyFill="1" applyBorder="1" applyAlignment="1" applyProtection="1">
      <alignment horizontal="center" vertical="center" wrapText="1"/>
    </xf>
    <xf numFmtId="0" fontId="24" fillId="0" borderId="0" xfId="20" applyFont="1" applyAlignment="1">
      <alignment horizontal="center" vertical="top"/>
    </xf>
    <xf numFmtId="0" fontId="34" fillId="0" borderId="0" xfId="20" applyFont="1" applyAlignment="1">
      <alignment horizontal="center" vertical="top" wrapText="1"/>
    </xf>
    <xf numFmtId="0" fontId="34" fillId="0" borderId="0" xfId="20" applyFont="1" applyAlignment="1">
      <alignment horizontal="center" vertical="top"/>
    </xf>
    <xf numFmtId="165" fontId="8" fillId="0" borderId="9" xfId="20" applyNumberFormat="1" applyFont="1" applyBorder="1" applyAlignment="1">
      <alignment horizontal="center" vertical="center" wrapText="1"/>
    </xf>
    <xf numFmtId="49" fontId="9" fillId="0" borderId="9" xfId="20" applyNumberFormat="1" applyFont="1" applyBorder="1" applyAlignment="1">
      <alignment horizontal="center" vertical="center" wrapText="1"/>
    </xf>
    <xf numFmtId="0" fontId="24" fillId="0" borderId="9" xfId="20" applyFont="1" applyBorder="1" applyAlignment="1">
      <alignment horizontal="left" vertical="top" wrapText="1"/>
    </xf>
    <xf numFmtId="172" fontId="24" fillId="0" borderId="9" xfId="20" applyNumberFormat="1" applyFont="1" applyBorder="1" applyAlignment="1">
      <alignment horizontal="center" vertical="center" wrapText="1"/>
    </xf>
    <xf numFmtId="0" fontId="26" fillId="0" borderId="9" xfId="20" applyFont="1" applyBorder="1" applyAlignment="1">
      <alignment horizontal="left" vertical="top" wrapText="1"/>
    </xf>
    <xf numFmtId="172" fontId="26" fillId="0" borderId="9" xfId="20" applyNumberFormat="1" applyFont="1" applyBorder="1" applyAlignment="1">
      <alignment horizontal="center" vertical="center" wrapText="1"/>
    </xf>
    <xf numFmtId="4" fontId="26" fillId="0" borderId="9" xfId="20" applyNumberFormat="1" applyFont="1" applyBorder="1" applyAlignment="1">
      <alignment horizontal="center" vertical="center" wrapText="1"/>
    </xf>
    <xf numFmtId="0" fontId="26" fillId="0" borderId="9" xfId="20" applyFont="1" applyBorder="1" applyAlignment="1">
      <alignment horizontal="right" vertical="top" wrapText="1"/>
    </xf>
    <xf numFmtId="172" fontId="35" fillId="0" borderId="9" xfId="20" applyNumberFormat="1" applyFont="1" applyBorder="1" applyAlignment="1">
      <alignment horizontal="center" vertical="center" wrapText="1"/>
    </xf>
    <xf numFmtId="4" fontId="35" fillId="0" borderId="9" xfId="20" applyNumberFormat="1" applyFont="1" applyBorder="1" applyAlignment="1">
      <alignment horizontal="center" vertical="center" wrapText="1"/>
    </xf>
    <xf numFmtId="0" fontId="26" fillId="0" borderId="9" xfId="20" applyFont="1" applyBorder="1" applyAlignment="1">
      <alignment horizontal="justify" vertical="top" wrapText="1"/>
    </xf>
    <xf numFmtId="0" fontId="26" fillId="0" borderId="9" xfId="20" applyFont="1" applyBorder="1" applyAlignment="1">
      <alignment horizontal="center"/>
    </xf>
    <xf numFmtId="0" fontId="26" fillId="0" borderId="9" xfId="20" applyFont="1" applyBorder="1" applyAlignment="1">
      <alignment vertical="top" wrapText="1"/>
    </xf>
    <xf numFmtId="0" fontId="26" fillId="0" borderId="2" xfId="20" applyFont="1" applyBorder="1" applyAlignment="1">
      <alignment horizontal="center"/>
    </xf>
    <xf numFmtId="0" fontId="24" fillId="0" borderId="10" xfId="20" applyFont="1" applyBorder="1" applyAlignment="1">
      <alignment vertical="top" wrapText="1"/>
    </xf>
    <xf numFmtId="4" fontId="24" fillId="0" borderId="9" xfId="20" applyNumberFormat="1" applyFont="1" applyBorder="1" applyAlignment="1">
      <alignment horizontal="center" vertical="center" wrapText="1"/>
    </xf>
    <xf numFmtId="0" fontId="35" fillId="0" borderId="8" xfId="20" applyFont="1" applyBorder="1" applyAlignment="1">
      <alignment horizontal="center" vertical="center" wrapText="1"/>
    </xf>
    <xf numFmtId="0" fontId="24" fillId="0" borderId="9" xfId="20" applyFont="1" applyBorder="1" applyAlignment="1">
      <alignment horizontal="justify" vertical="top" wrapText="1"/>
    </xf>
    <xf numFmtId="0" fontId="26" fillId="13" borderId="9" xfId="20" applyFont="1" applyFill="1" applyBorder="1" applyAlignment="1">
      <alignment horizontal="justify" vertical="top" wrapText="1"/>
    </xf>
    <xf numFmtId="0" fontId="24" fillId="9" borderId="9" xfId="20" applyFont="1" applyFill="1" applyBorder="1" applyAlignment="1">
      <alignment vertical="top" wrapText="1"/>
    </xf>
    <xf numFmtId="0" fontId="24" fillId="0" borderId="9" xfId="20" applyFont="1" applyBorder="1" applyAlignment="1">
      <alignment horizontal="center"/>
    </xf>
    <xf numFmtId="0" fontId="26" fillId="9" borderId="9" xfId="20" applyFont="1" applyFill="1" applyBorder="1" applyAlignment="1">
      <alignment vertical="top" wrapText="1"/>
    </xf>
    <xf numFmtId="0" fontId="26" fillId="9" borderId="9" xfId="20" applyFont="1" applyFill="1" applyBorder="1" applyAlignment="1">
      <alignment horizontal="right" vertical="top" wrapText="1"/>
    </xf>
    <xf numFmtId="0" fontId="26" fillId="9" borderId="9" xfId="20" applyFont="1" applyFill="1" applyBorder="1" applyAlignment="1">
      <alignment horizontal="justify" vertical="top" wrapText="1"/>
    </xf>
    <xf numFmtId="0" fontId="8" fillId="0" borderId="4" xfId="20" applyFont="1" applyBorder="1" applyAlignment="1">
      <alignment horizontal="left" vertical="center" wrapText="1"/>
    </xf>
    <xf numFmtId="0" fontId="24" fillId="0" borderId="9" xfId="20" applyFont="1" applyBorder="1" applyAlignment="1">
      <alignment vertical="top" wrapText="1"/>
    </xf>
    <xf numFmtId="4" fontId="26" fillId="0" borderId="9" xfId="20" applyNumberFormat="1" applyFont="1" applyBorder="1" applyAlignment="1">
      <alignment horizontal="center"/>
    </xf>
    <xf numFmtId="2" fontId="26" fillId="0" borderId="9" xfId="20" applyNumberFormat="1" applyFont="1" applyBorder="1" applyAlignment="1">
      <alignment horizontal="center"/>
    </xf>
    <xf numFmtId="172" fontId="36" fillId="0" borderId="9" xfId="20" applyNumberFormat="1" applyFont="1" applyBorder="1" applyAlignment="1">
      <alignment horizontal="center" vertical="center" wrapText="1"/>
    </xf>
    <xf numFmtId="0" fontId="13" fillId="0" borderId="8" xfId="20" applyFont="1" applyBorder="1" applyAlignment="1">
      <alignment horizontal="left" vertical="top" wrapText="1"/>
    </xf>
    <xf numFmtId="0" fontId="24" fillId="13" borderId="9" xfId="20" applyFont="1" applyFill="1" applyBorder="1" applyAlignment="1">
      <alignment vertical="top" wrapText="1"/>
    </xf>
    <xf numFmtId="0" fontId="37" fillId="0" borderId="9" xfId="20" applyFont="1" applyBorder="1"/>
    <xf numFmtId="172" fontId="8" fillId="0" borderId="9" xfId="20" applyNumberFormat="1" applyFont="1" applyBorder="1" applyAlignment="1">
      <alignment horizontal="center" vertical="center" wrapText="1"/>
    </xf>
    <xf numFmtId="0" fontId="8" fillId="0" borderId="10" xfId="20" applyFont="1" applyBorder="1" applyAlignment="1">
      <alignment horizontal="center" vertical="center" wrapText="1"/>
    </xf>
    <xf numFmtId="172" fontId="9" fillId="0" borderId="9" xfId="20" applyNumberFormat="1" applyFont="1" applyBorder="1" applyAlignment="1">
      <alignment horizontal="center" vertical="center" wrapText="1"/>
    </xf>
    <xf numFmtId="172" fontId="9" fillId="0" borderId="10" xfId="20" applyNumberFormat="1" applyFont="1" applyBorder="1" applyAlignment="1">
      <alignment horizontal="center" vertical="center" wrapText="1"/>
    </xf>
    <xf numFmtId="0" fontId="39" fillId="0" borderId="0" xfId="22" applyFont="1"/>
    <xf numFmtId="0" fontId="38" fillId="0" borderId="9" xfId="22" applyFont="1" applyBorder="1" applyAlignment="1">
      <alignment horizontal="center" vertical="center" wrapText="1"/>
    </xf>
    <xf numFmtId="0" fontId="40" fillId="0" borderId="9" xfId="22" applyFont="1" applyBorder="1" applyAlignment="1">
      <alignment horizontal="center" vertical="center" wrapText="1"/>
    </xf>
    <xf numFmtId="0" fontId="39" fillId="0" borderId="9" xfId="22" applyFont="1" applyBorder="1" applyAlignment="1">
      <alignment horizontal="center" vertical="center" wrapText="1"/>
    </xf>
    <xf numFmtId="0" fontId="30" fillId="0" borderId="9" xfId="22" applyFont="1" applyBorder="1" applyAlignment="1">
      <alignment horizontal="center"/>
    </xf>
    <xf numFmtId="0" fontId="13" fillId="0" borderId="11" xfId="22" applyFont="1" applyBorder="1" applyAlignment="1">
      <alignment horizontal="left" vertical="center"/>
    </xf>
    <xf numFmtId="0" fontId="13" fillId="0" borderId="12" xfId="22" applyFont="1" applyBorder="1" applyAlignment="1">
      <alignment horizontal="left" vertical="center"/>
    </xf>
    <xf numFmtId="0" fontId="28" fillId="0" borderId="9" xfId="22" applyFont="1" applyBorder="1" applyAlignment="1">
      <alignment horizontal="left" vertical="center" wrapText="1"/>
    </xf>
    <xf numFmtId="4" fontId="28" fillId="0" borderId="9" xfId="22" applyNumberFormat="1" applyFont="1" applyBorder="1" applyAlignment="1">
      <alignment horizontal="center" vertical="center" wrapText="1"/>
    </xf>
    <xf numFmtId="0" fontId="28" fillId="0" borderId="9" xfId="22" applyFont="1" applyBorder="1"/>
    <xf numFmtId="0" fontId="13" fillId="0" borderId="9" xfId="22" applyFont="1" applyBorder="1" applyAlignment="1">
      <alignment horizontal="left" vertical="center" wrapText="1"/>
    </xf>
    <xf numFmtId="4" fontId="13" fillId="0" borderId="9" xfId="22" applyNumberFormat="1" applyFont="1" applyBorder="1" applyAlignment="1">
      <alignment horizontal="center" vertical="center" wrapText="1"/>
    </xf>
    <xf numFmtId="0" fontId="13" fillId="0" borderId="9" xfId="22" applyFont="1" applyBorder="1"/>
    <xf numFmtId="166" fontId="28" fillId="0" borderId="9" xfId="20" applyNumberFormat="1" applyFont="1" applyBorder="1" applyAlignment="1">
      <alignment vertical="center" wrapText="1"/>
    </xf>
    <xf numFmtId="172" fontId="13" fillId="0" borderId="9" xfId="22" applyNumberFormat="1" applyFont="1" applyBorder="1" applyAlignment="1">
      <alignment horizontal="center" vertical="center" wrapText="1"/>
    </xf>
    <xf numFmtId="0" fontId="13" fillId="13" borderId="9" xfId="22" applyFont="1" applyFill="1" applyBorder="1" applyAlignment="1">
      <alignment horizontal="left" vertical="center" wrapText="1"/>
    </xf>
    <xf numFmtId="0" fontId="28" fillId="9" borderId="9" xfId="22" applyFont="1" applyFill="1" applyBorder="1" applyAlignment="1">
      <alignment horizontal="left" vertical="center" wrapText="1"/>
    </xf>
    <xf numFmtId="0" fontId="13" fillId="9" borderId="9" xfId="22" applyFont="1" applyFill="1" applyBorder="1" applyAlignment="1">
      <alignment horizontal="left" vertical="center" wrapText="1"/>
    </xf>
    <xf numFmtId="0" fontId="41" fillId="0" borderId="9" xfId="22" applyFont="1" applyBorder="1"/>
    <xf numFmtId="0" fontId="28" fillId="0" borderId="11" xfId="22" applyFont="1" applyBorder="1" applyAlignment="1">
      <alignment horizontal="left" vertical="center"/>
    </xf>
    <xf numFmtId="0" fontId="28" fillId="0" borderId="12" xfId="22" applyFont="1" applyBorder="1" applyAlignment="1">
      <alignment horizontal="left" vertical="center"/>
    </xf>
    <xf numFmtId="0" fontId="28" fillId="0" borderId="9" xfId="22" applyFont="1" applyBorder="1" applyAlignment="1">
      <alignment horizontal="left" vertical="top" wrapText="1"/>
    </xf>
    <xf numFmtId="0" fontId="13" fillId="0" borderId="9" xfId="22" applyFont="1" applyBorder="1" applyAlignment="1">
      <alignment horizontal="right" vertical="center" wrapText="1"/>
    </xf>
    <xf numFmtId="0" fontId="13" fillId="0" borderId="2" xfId="22" applyFont="1" applyBorder="1"/>
    <xf numFmtId="0" fontId="13" fillId="9" borderId="9" xfId="22" applyFont="1" applyFill="1" applyBorder="1" applyAlignment="1">
      <alignment horizontal="right" vertical="center" wrapText="1"/>
    </xf>
    <xf numFmtId="4" fontId="30" fillId="0" borderId="9" xfId="22" applyNumberFormat="1" applyFont="1" applyBorder="1" applyAlignment="1">
      <alignment horizontal="center" vertical="center" wrapText="1"/>
    </xf>
    <xf numFmtId="0" fontId="30" fillId="0" borderId="9" xfId="22" applyFont="1" applyBorder="1"/>
    <xf numFmtId="0" fontId="28" fillId="13" borderId="9" xfId="22" applyFont="1" applyFill="1" applyBorder="1" applyAlignment="1">
      <alignment horizontal="left" wrapText="1"/>
    </xf>
    <xf numFmtId="0" fontId="13" fillId="0" borderId="9" xfId="22" applyFont="1" applyBorder="1" applyAlignment="1">
      <alignment horizontal="left" wrapText="1"/>
    </xf>
    <xf numFmtId="0" fontId="42" fillId="0" borderId="0" xfId="20" applyFont="1"/>
    <xf numFmtId="0" fontId="43" fillId="0" borderId="9" xfId="20" applyFont="1" applyBorder="1" applyAlignment="1">
      <alignment horizontal="center"/>
    </xf>
    <xf numFmtId="0" fontId="44" fillId="0" borderId="9" xfId="20" applyFont="1" applyBorder="1" applyAlignment="1">
      <alignment horizontal="center"/>
    </xf>
    <xf numFmtId="0" fontId="30" fillId="0" borderId="0" xfId="23" applyFont="1"/>
    <xf numFmtId="0" fontId="44" fillId="0" borderId="0" xfId="20" applyFont="1"/>
    <xf numFmtId="0" fontId="30" fillId="0" borderId="0" xfId="23" applyFont="1" applyAlignment="1">
      <alignment horizontal="center"/>
    </xf>
    <xf numFmtId="0" fontId="28" fillId="0" borderId="9" xfId="23" applyFont="1" applyBorder="1" applyAlignment="1">
      <alignment horizontal="center" vertical="center" wrapText="1"/>
    </xf>
    <xf numFmtId="0" fontId="28" fillId="0" borderId="8" xfId="23" applyFont="1" applyBorder="1" applyAlignment="1">
      <alignment horizontal="center" vertical="center" wrapText="1"/>
    </xf>
    <xf numFmtId="0" fontId="13" fillId="0" borderId="9" xfId="23" applyFont="1" applyBorder="1" applyAlignment="1">
      <alignment horizontal="center" vertical="center" wrapText="1"/>
    </xf>
    <xf numFmtId="0" fontId="13" fillId="9" borderId="9" xfId="23" applyFont="1" applyFill="1" applyBorder="1" applyAlignment="1">
      <alignment horizontal="center" vertical="center" wrapText="1"/>
    </xf>
    <xf numFmtId="0" fontId="13" fillId="0" borderId="9" xfId="23" applyFont="1" applyBorder="1"/>
    <xf numFmtId="0" fontId="30" fillId="0" borderId="9" xfId="23" applyFont="1" applyBorder="1"/>
    <xf numFmtId="0" fontId="13" fillId="14" borderId="6" xfId="4" applyFont="1" applyFill="1" applyBorder="1" applyAlignment="1">
      <alignment horizontal="left" vertical="center"/>
    </xf>
    <xf numFmtId="171" fontId="13" fillId="14" borderId="1" xfId="21" applyNumberFormat="1" applyFont="1" applyFill="1" applyBorder="1" applyAlignment="1" applyProtection="1">
      <alignment horizontal="center" vertical="center" wrapText="1"/>
    </xf>
    <xf numFmtId="171" fontId="13" fillId="14" borderId="1" xfId="4" applyNumberFormat="1" applyFont="1" applyFill="1" applyBorder="1" applyAlignment="1">
      <alignment horizontal="center" vertical="center" wrapText="1"/>
    </xf>
    <xf numFmtId="168" fontId="13" fillId="14" borderId="1" xfId="21" applyNumberFormat="1" applyFont="1" applyFill="1" applyBorder="1" applyAlignment="1" applyProtection="1">
      <alignment horizontal="center" vertical="center" wrapText="1"/>
    </xf>
    <xf numFmtId="165" fontId="13" fillId="14" borderId="1" xfId="4" applyNumberFormat="1" applyFont="1" applyFill="1" applyBorder="1" applyAlignment="1">
      <alignment horizontal="center" vertical="center" wrapText="1"/>
    </xf>
    <xf numFmtId="165" fontId="13" fillId="14" borderId="7" xfId="4" applyNumberFormat="1" applyFont="1" applyFill="1" applyBorder="1" applyAlignment="1">
      <alignment horizontal="center" vertical="center" wrapText="1"/>
    </xf>
    <xf numFmtId="165" fontId="13" fillId="14" borderId="9" xfId="4" applyNumberFormat="1" applyFont="1" applyFill="1" applyBorder="1" applyAlignment="1">
      <alignment horizontal="left" vertical="top" wrapText="1"/>
    </xf>
    <xf numFmtId="0" fontId="45" fillId="14" borderId="0" xfId="20" applyFont="1" applyFill="1"/>
    <xf numFmtId="0" fontId="28" fillId="0" borderId="9" xfId="23" applyFont="1" applyBorder="1" applyAlignment="1">
      <alignment horizontal="left" vertical="top" wrapText="1"/>
    </xf>
    <xf numFmtId="4" fontId="28" fillId="0" borderId="9" xfId="23" applyNumberFormat="1" applyFont="1" applyBorder="1" applyAlignment="1">
      <alignment horizontal="center" vertical="top" wrapText="1"/>
    </xf>
    <xf numFmtId="0" fontId="13" fillId="9" borderId="5" xfId="23" applyFont="1" applyFill="1" applyBorder="1" applyAlignment="1">
      <alignment horizontal="left" vertical="top"/>
    </xf>
    <xf numFmtId="0" fontId="13" fillId="0" borderId="9" xfId="23" applyFont="1" applyBorder="1" applyAlignment="1">
      <alignment horizontal="left" vertical="center" wrapText="1"/>
    </xf>
    <xf numFmtId="172" fontId="13" fillId="0" borderId="9" xfId="23" applyNumberFormat="1" applyFont="1" applyBorder="1" applyAlignment="1">
      <alignment horizontal="center" vertical="center" wrapText="1"/>
    </xf>
    <xf numFmtId="4" fontId="13" fillId="0" borderId="9" xfId="23" applyNumberFormat="1" applyFont="1" applyBorder="1" applyAlignment="1">
      <alignment horizontal="center" vertical="center" wrapText="1"/>
    </xf>
    <xf numFmtId="0" fontId="28" fillId="13" borderId="9" xfId="23" applyFont="1" applyFill="1" applyBorder="1" applyAlignment="1">
      <alignment horizontal="left" vertical="center" wrapText="1"/>
    </xf>
    <xf numFmtId="172" fontId="28" fillId="0" borderId="9" xfId="23" applyNumberFormat="1" applyFont="1" applyBorder="1" applyAlignment="1">
      <alignment horizontal="center" vertical="center" wrapText="1"/>
    </xf>
    <xf numFmtId="0" fontId="28" fillId="14" borderId="11" xfId="23" applyFont="1" applyFill="1" applyBorder="1" applyAlignment="1">
      <alignment horizontal="left" vertical="center" wrapText="1"/>
    </xf>
    <xf numFmtId="0" fontId="13" fillId="14" borderId="5" xfId="20" applyFont="1" applyFill="1" applyBorder="1" applyAlignment="1">
      <alignment horizontal="left" vertical="center" wrapText="1"/>
    </xf>
    <xf numFmtId="0" fontId="45" fillId="0" borderId="0" xfId="20" applyFont="1"/>
    <xf numFmtId="0" fontId="28" fillId="0" borderId="9" xfId="23" applyFont="1" applyBorder="1" applyAlignment="1">
      <alignment horizontal="left" vertical="center" wrapText="1"/>
    </xf>
    <xf numFmtId="4" fontId="28" fillId="0" borderId="9" xfId="23" applyNumberFormat="1" applyFont="1" applyBorder="1" applyAlignment="1">
      <alignment horizontal="center" vertical="center" wrapText="1"/>
    </xf>
    <xf numFmtId="4" fontId="13" fillId="0" borderId="9" xfId="20" applyNumberFormat="1" applyFont="1" applyBorder="1" applyAlignment="1">
      <alignment horizontal="center" vertical="center"/>
    </xf>
    <xf numFmtId="0" fontId="13" fillId="9" borderId="5" xfId="23" applyFont="1" applyFill="1" applyBorder="1" applyAlignment="1">
      <alignment horizontal="center"/>
    </xf>
    <xf numFmtId="0" fontId="13" fillId="0" borderId="9" xfId="23" applyFont="1" applyBorder="1" applyAlignment="1">
      <alignment horizontal="right" vertical="top" wrapText="1"/>
    </xf>
    <xf numFmtId="0" fontId="30" fillId="9" borderId="5" xfId="23" applyFont="1" applyFill="1" applyBorder="1" applyAlignment="1">
      <alignment horizontal="center"/>
    </xf>
    <xf numFmtId="0" fontId="13" fillId="0" borderId="9" xfId="23" applyFont="1" applyBorder="1" applyAlignment="1">
      <alignment horizontal="right" vertical="center" wrapText="1"/>
    </xf>
    <xf numFmtId="0" fontId="30" fillId="9" borderId="5" xfId="23" applyFont="1" applyFill="1" applyBorder="1" applyAlignment="1">
      <alignment horizontal="left" vertical="top"/>
    </xf>
    <xf numFmtId="4" fontId="13" fillId="9" borderId="9" xfId="23" applyNumberFormat="1" applyFont="1" applyFill="1" applyBorder="1" applyAlignment="1">
      <alignment horizontal="center" vertical="center" wrapText="1"/>
    </xf>
    <xf numFmtId="0" fontId="13" fillId="9" borderId="5" xfId="23" applyFont="1" applyFill="1" applyBorder="1" applyAlignment="1">
      <alignment horizontal="left" vertical="center"/>
    </xf>
    <xf numFmtId="0" fontId="13" fillId="9" borderId="5" xfId="23" applyFont="1" applyFill="1" applyBorder="1" applyAlignment="1">
      <alignment horizontal="left" vertical="top" wrapText="1"/>
    </xf>
    <xf numFmtId="0" fontId="13" fillId="0" borderId="5" xfId="23" applyFont="1" applyBorder="1" applyAlignment="1">
      <alignment horizontal="left" vertical="center" wrapText="1"/>
    </xf>
    <xf numFmtId="4" fontId="28" fillId="13" borderId="9" xfId="23" applyNumberFormat="1" applyFont="1" applyFill="1" applyBorder="1" applyAlignment="1">
      <alignment horizontal="center" vertical="center" wrapText="1"/>
    </xf>
    <xf numFmtId="0" fontId="28" fillId="14" borderId="9" xfId="23" applyFont="1" applyFill="1" applyBorder="1" applyAlignment="1">
      <alignment horizontal="left" vertical="center" wrapText="1"/>
    </xf>
    <xf numFmtId="4" fontId="28" fillId="14" borderId="9" xfId="23" applyNumberFormat="1" applyFont="1" applyFill="1" applyBorder="1" applyAlignment="1">
      <alignment horizontal="center" vertical="center" wrapText="1"/>
    </xf>
    <xf numFmtId="0" fontId="28" fillId="0" borderId="0" xfId="20" applyFont="1" applyAlignment="1">
      <alignment vertical="center" wrapText="1"/>
    </xf>
    <xf numFmtId="165" fontId="28" fillId="0" borderId="9" xfId="20" applyNumberFormat="1" applyFont="1" applyBorder="1" applyAlignment="1">
      <alignment horizontal="center" vertical="center" wrapText="1"/>
    </xf>
    <xf numFmtId="49" fontId="28" fillId="0" borderId="9" xfId="20" applyNumberFormat="1" applyFont="1" applyBorder="1" applyAlignment="1">
      <alignment horizontal="center" vertical="center" wrapText="1"/>
    </xf>
    <xf numFmtId="49" fontId="28" fillId="9" borderId="9" xfId="20" applyNumberFormat="1" applyFont="1" applyFill="1" applyBorder="1" applyAlignment="1">
      <alignment horizontal="center" vertical="center" wrapText="1"/>
    </xf>
    <xf numFmtId="0" fontId="13" fillId="14" borderId="10" xfId="20" applyFont="1" applyFill="1" applyBorder="1" applyAlignment="1">
      <alignment horizontal="left" vertical="center" wrapText="1"/>
    </xf>
    <xf numFmtId="0" fontId="41" fillId="14" borderId="11" xfId="20" applyFont="1" applyFill="1" applyBorder="1" applyAlignment="1">
      <alignment horizontal="left" vertical="center" wrapText="1"/>
    </xf>
    <xf numFmtId="0" fontId="41" fillId="14" borderId="12" xfId="20" applyFont="1" applyFill="1" applyBorder="1" applyAlignment="1">
      <alignment horizontal="left" vertical="center" wrapText="1"/>
    </xf>
    <xf numFmtId="165" fontId="41" fillId="0" borderId="5" xfId="20" applyNumberFormat="1" applyFont="1" applyBorder="1" applyAlignment="1">
      <alignment horizontal="center" vertical="center" wrapText="1"/>
    </xf>
    <xf numFmtId="0" fontId="28" fillId="0" borderId="9" xfId="20" applyFont="1" applyBorder="1" applyAlignment="1">
      <alignment horizontal="left" vertical="center" wrapText="1"/>
    </xf>
    <xf numFmtId="4" fontId="28" fillId="0" borderId="9" xfId="20" applyNumberFormat="1" applyFont="1" applyBorder="1" applyAlignment="1">
      <alignment horizontal="center" vertical="center"/>
    </xf>
    <xf numFmtId="0" fontId="13" fillId="0" borderId="9" xfId="20" applyFont="1" applyBorder="1" applyAlignment="1">
      <alignment horizontal="left" vertical="center" wrapText="1"/>
    </xf>
    <xf numFmtId="172" fontId="13" fillId="0" borderId="9" xfId="20" applyNumberFormat="1" applyFont="1" applyBorder="1" applyAlignment="1">
      <alignment horizontal="center" vertical="center" wrapText="1"/>
    </xf>
    <xf numFmtId="4" fontId="13" fillId="0" borderId="9" xfId="20" applyNumberFormat="1" applyFont="1" applyBorder="1" applyAlignment="1">
      <alignment horizontal="center" vertical="center" wrapText="1"/>
    </xf>
    <xf numFmtId="0" fontId="13" fillId="0" borderId="9" xfId="20" applyFont="1" applyBorder="1" applyAlignment="1">
      <alignment horizontal="right" vertical="center" wrapText="1"/>
    </xf>
    <xf numFmtId="0" fontId="28" fillId="9" borderId="9" xfId="20" applyFont="1" applyFill="1" applyBorder="1" applyAlignment="1">
      <alignment horizontal="left" vertical="center" wrapText="1"/>
    </xf>
    <xf numFmtId="0" fontId="30" fillId="0" borderId="5" xfId="20" applyFont="1" applyBorder="1" applyAlignment="1">
      <alignment horizontal="left" vertical="center" wrapText="1"/>
    </xf>
    <xf numFmtId="172" fontId="28" fillId="0" borderId="9" xfId="20" applyNumberFormat="1" applyFont="1" applyBorder="1" applyAlignment="1">
      <alignment horizontal="center" vertical="center" wrapText="1"/>
    </xf>
    <xf numFmtId="0" fontId="13" fillId="0" borderId="8" xfId="20" applyFont="1" applyBorder="1" applyAlignment="1">
      <alignment horizontal="center" vertical="center"/>
    </xf>
    <xf numFmtId="0" fontId="28" fillId="0" borderId="9" xfId="20" applyFont="1" applyBorder="1" applyAlignment="1">
      <alignment horizontal="center"/>
    </xf>
    <xf numFmtId="0" fontId="28" fillId="0" borderId="0" xfId="22" applyFont="1" applyAlignment="1">
      <alignment vertical="center"/>
    </xf>
    <xf numFmtId="0" fontId="13" fillId="0" borderId="0" xfId="22" applyFont="1"/>
    <xf numFmtId="0" fontId="47" fillId="0" borderId="0" xfId="20" applyFont="1"/>
    <xf numFmtId="0" fontId="13" fillId="9" borderId="0" xfId="22" applyFont="1" applyFill="1"/>
    <xf numFmtId="0" fontId="13" fillId="0" borderId="0" xfId="22" applyFont="1" applyAlignment="1">
      <alignment horizontal="center"/>
    </xf>
    <xf numFmtId="0" fontId="13" fillId="0" borderId="9" xfId="22" applyFont="1" applyBorder="1" applyAlignment="1">
      <alignment horizontal="center" wrapText="1"/>
    </xf>
    <xf numFmtId="0" fontId="28" fillId="9" borderId="9" xfId="22" applyFont="1" applyFill="1" applyBorder="1" applyAlignment="1">
      <alignment horizontal="center" vertical="center" wrapText="1"/>
    </xf>
    <xf numFmtId="0" fontId="13" fillId="0" borderId="9" xfId="22" applyFont="1" applyBorder="1" applyAlignment="1">
      <alignment horizontal="center" vertical="center" wrapText="1"/>
    </xf>
    <xf numFmtId="0" fontId="13" fillId="9" borderId="9" xfId="22" applyFont="1" applyFill="1" applyBorder="1" applyAlignment="1">
      <alignment horizontal="center" vertical="center" wrapText="1"/>
    </xf>
    <xf numFmtId="0" fontId="13" fillId="0" borderId="8" xfId="22" applyFont="1" applyBorder="1" applyAlignment="1">
      <alignment horizontal="center" vertical="center" wrapText="1"/>
    </xf>
    <xf numFmtId="0" fontId="13" fillId="9" borderId="8" xfId="22" applyFont="1" applyFill="1" applyBorder="1" applyAlignment="1">
      <alignment horizontal="center" vertical="center" wrapText="1"/>
    </xf>
    <xf numFmtId="0" fontId="13" fillId="14" borderId="9" xfId="22" applyFont="1" applyFill="1" applyBorder="1" applyAlignment="1">
      <alignment horizontal="center" wrapText="1"/>
    </xf>
    <xf numFmtId="0" fontId="13" fillId="14" borderId="2" xfId="22" applyFont="1" applyFill="1" applyBorder="1" applyAlignment="1">
      <alignment horizontal="center" wrapText="1"/>
    </xf>
    <xf numFmtId="0" fontId="13" fillId="0" borderId="9" xfId="22" applyFont="1" applyBorder="1" applyAlignment="1">
      <alignment horizontal="left" vertical="center"/>
    </xf>
    <xf numFmtId="4" fontId="13" fillId="0" borderId="10" xfId="22" applyNumberFormat="1" applyFont="1" applyBorder="1" applyAlignment="1">
      <alignment horizontal="center" vertical="center" wrapText="1"/>
    </xf>
    <xf numFmtId="4" fontId="13" fillId="9" borderId="10" xfId="22" applyNumberFormat="1" applyFont="1" applyFill="1" applyBorder="1" applyAlignment="1">
      <alignment horizontal="center" vertical="center" wrapText="1"/>
    </xf>
    <xf numFmtId="0" fontId="13" fillId="9" borderId="9" xfId="22" applyFont="1" applyFill="1" applyBorder="1" applyAlignment="1">
      <alignment horizontal="left" vertical="center"/>
    </xf>
    <xf numFmtId="0" fontId="28" fillId="0" borderId="5" xfId="22" applyFont="1" applyBorder="1" applyAlignment="1">
      <alignment horizontal="left" vertical="center" wrapText="1"/>
    </xf>
    <xf numFmtId="4" fontId="13" fillId="0" borderId="10" xfId="22" applyNumberFormat="1" applyFont="1" applyBorder="1" applyAlignment="1">
      <alignment horizontal="left" vertical="center" wrapText="1"/>
    </xf>
    <xf numFmtId="4" fontId="13" fillId="0" borderId="9" xfId="22" applyNumberFormat="1" applyFont="1" applyBorder="1" applyAlignment="1">
      <alignment horizontal="center" vertical="center"/>
    </xf>
    <xf numFmtId="0" fontId="28" fillId="16" borderId="9" xfId="22" applyFont="1" applyFill="1" applyBorder="1" applyAlignment="1">
      <alignment horizontal="left"/>
    </xf>
    <xf numFmtId="4" fontId="13" fillId="9" borderId="9" xfId="22" applyNumberFormat="1" applyFont="1" applyFill="1" applyBorder="1" applyAlignment="1">
      <alignment horizontal="center" vertical="center" wrapText="1"/>
    </xf>
    <xf numFmtId="0" fontId="28" fillId="14" borderId="9" xfId="22" applyFont="1" applyFill="1" applyBorder="1" applyAlignment="1">
      <alignment horizontal="left" wrapText="1"/>
    </xf>
    <xf numFmtId="4" fontId="28" fillId="14" borderId="9" xfId="22" applyNumberFormat="1" applyFont="1" applyFill="1" applyBorder="1" applyAlignment="1">
      <alignment horizontal="center" vertical="center" wrapText="1"/>
    </xf>
    <xf numFmtId="0" fontId="48" fillId="0" borderId="0" xfId="24"/>
    <xf numFmtId="0" fontId="0" fillId="0" borderId="0" xfId="0" applyProtection="1"/>
    <xf numFmtId="165" fontId="9" fillId="0" borderId="1" xfId="0" applyNumberFormat="1" applyFont="1" applyBorder="1" applyAlignment="1" applyProtection="1">
      <alignment horizontal="right" vertical="center" wrapText="1"/>
    </xf>
    <xf numFmtId="0" fontId="8" fillId="0" borderId="8" xfId="0" applyFont="1" applyBorder="1" applyAlignment="1" applyProtection="1">
      <alignment horizontal="left" vertical="center" wrapText="1"/>
    </xf>
    <xf numFmtId="0" fontId="8" fillId="0" borderId="9" xfId="0" applyFont="1" applyBorder="1" applyAlignment="1" applyProtection="1">
      <alignment horizontal="center" vertical="center" wrapText="1"/>
    </xf>
    <xf numFmtId="14" fontId="8" fillId="0" borderId="9" xfId="0" applyNumberFormat="1" applyFont="1" applyBorder="1" applyAlignment="1" applyProtection="1">
      <alignment horizontal="center" vertical="center" wrapText="1"/>
    </xf>
    <xf numFmtId="49" fontId="8" fillId="0" borderId="9" xfId="0" applyNumberFormat="1" applyFont="1" applyBorder="1" applyAlignment="1" applyProtection="1">
      <alignment horizontal="center" vertical="center" wrapText="1"/>
    </xf>
    <xf numFmtId="166" fontId="9" fillId="0" borderId="9" xfId="0" applyNumberFormat="1" applyFont="1" applyBorder="1" applyAlignment="1" applyProtection="1">
      <alignment horizontal="center" vertical="center" wrapText="1"/>
    </xf>
    <xf numFmtId="166" fontId="9" fillId="0" borderId="9" xfId="0" applyNumberFormat="1" applyFont="1" applyBorder="1" applyAlignment="1" applyProtection="1">
      <alignment horizontal="center" vertical="top" wrapText="1"/>
    </xf>
    <xf numFmtId="164" fontId="9" fillId="0" borderId="9" xfId="1" applyFont="1" applyFill="1" applyBorder="1" applyAlignment="1" applyProtection="1">
      <alignment vertical="center" wrapText="1"/>
    </xf>
    <xf numFmtId="166" fontId="9" fillId="0" borderId="10" xfId="0" applyNumberFormat="1" applyFont="1" applyBorder="1" applyAlignment="1" applyProtection="1">
      <alignment vertical="center" wrapText="1"/>
    </xf>
    <xf numFmtId="164" fontId="12" fillId="0" borderId="9" xfId="1" applyFont="1" applyFill="1" applyBorder="1" applyProtection="1"/>
    <xf numFmtId="164" fontId="12" fillId="0" borderId="9" xfId="1" applyFont="1" applyBorder="1" applyProtection="1"/>
    <xf numFmtId="0" fontId="9" fillId="0" borderId="9" xfId="0" applyFont="1" applyBorder="1" applyAlignment="1" applyProtection="1">
      <alignment horizontal="left" wrapText="1"/>
    </xf>
    <xf numFmtId="0" fontId="8" fillId="3" borderId="10" xfId="4" applyFont="1" applyFill="1" applyBorder="1" applyAlignment="1" applyProtection="1">
      <alignment horizontal="left"/>
    </xf>
    <xf numFmtId="0" fontId="8" fillId="3" borderId="9" xfId="4" applyFont="1" applyFill="1" applyBorder="1" applyAlignment="1" applyProtection="1">
      <alignment vertical="center"/>
    </xf>
    <xf numFmtId="0" fontId="8" fillId="2" borderId="9" xfId="0" applyFont="1" applyFill="1" applyBorder="1" applyAlignment="1" applyProtection="1">
      <alignment horizontal="left" wrapText="1"/>
    </xf>
    <xf numFmtId="0" fontId="12" fillId="0" borderId="0" xfId="0" applyFont="1" applyProtection="1"/>
    <xf numFmtId="164" fontId="12" fillId="0" borderId="0" xfId="1" applyFont="1" applyBorder="1" applyProtection="1"/>
    <xf numFmtId="0" fontId="9" fillId="0" borderId="0" xfId="0" applyFont="1" applyAlignment="1" applyProtection="1">
      <alignment wrapText="1"/>
    </xf>
    <xf numFmtId="0" fontId="9" fillId="0" borderId="1" xfId="0" applyFont="1" applyBorder="1" applyAlignment="1" applyProtection="1">
      <alignment horizontal="center" wrapText="1"/>
    </xf>
    <xf numFmtId="0" fontId="9" fillId="0" borderId="0" xfId="0" applyFont="1" applyAlignment="1" applyProtection="1">
      <alignment horizontal="center" wrapText="1"/>
    </xf>
    <xf numFmtId="0" fontId="13" fillId="0" borderId="0" xfId="0" applyFont="1" applyAlignment="1" applyProtection="1">
      <alignment horizontal="center" vertical="top" wrapText="1"/>
    </xf>
    <xf numFmtId="0" fontId="13" fillId="0" borderId="0" xfId="0" applyFont="1" applyAlignment="1" applyProtection="1">
      <alignment vertical="top" wrapText="1"/>
    </xf>
    <xf numFmtId="0" fontId="9" fillId="0" borderId="0" xfId="0" applyFont="1" applyAlignment="1" applyProtection="1">
      <alignment horizontal="left" vertical="top" wrapText="1"/>
    </xf>
    <xf numFmtId="164" fontId="9" fillId="0" borderId="9" xfId="1" applyFont="1" applyFill="1" applyBorder="1" applyAlignment="1" applyProtection="1">
      <alignment vertical="center" wrapText="1"/>
      <protection locked="0"/>
    </xf>
    <xf numFmtId="164" fontId="12" fillId="0" borderId="9" xfId="1" applyFont="1" applyFill="1" applyBorder="1" applyProtection="1">
      <protection locked="0"/>
    </xf>
    <xf numFmtId="164" fontId="12" fillId="0" borderId="9" xfId="1" applyFont="1" applyBorder="1" applyProtection="1">
      <protection locked="0"/>
    </xf>
    <xf numFmtId="0" fontId="12" fillId="0" borderId="9" xfId="0" applyFont="1" applyBorder="1" applyProtection="1">
      <protection locked="0"/>
    </xf>
    <xf numFmtId="166" fontId="9" fillId="0" borderId="9" xfId="0" applyNumberFormat="1" applyFont="1" applyBorder="1" applyAlignment="1" applyProtection="1">
      <alignment vertical="center" wrapText="1"/>
      <protection locked="0"/>
    </xf>
    <xf numFmtId="0" fontId="0" fillId="0" borderId="9" xfId="0" applyBorder="1" applyProtection="1">
      <protection locked="0"/>
    </xf>
    <xf numFmtId="14" fontId="0" fillId="0" borderId="0" xfId="0" applyNumberFormat="1"/>
    <xf numFmtId="14" fontId="8" fillId="0" borderId="9" xfId="0" applyNumberFormat="1" applyFont="1" applyBorder="1" applyAlignment="1" applyProtection="1">
      <alignment horizontal="center" vertical="center" wrapText="1"/>
      <protection locked="0"/>
    </xf>
    <xf numFmtId="0" fontId="30" fillId="0" borderId="0" xfId="20" applyFont="1" applyAlignment="1" applyProtection="1">
      <alignment horizontal="left" vertical="top" wrapText="1"/>
    </xf>
    <xf numFmtId="0" fontId="30" fillId="0" borderId="0" xfId="20" applyFont="1" applyAlignment="1" applyProtection="1">
      <alignment horizontal="justify" vertical="center" wrapText="1"/>
    </xf>
    <xf numFmtId="0" fontId="30" fillId="0" borderId="0" xfId="20" applyFont="1" applyAlignment="1" applyProtection="1">
      <alignment vertical="center" wrapText="1"/>
    </xf>
    <xf numFmtId="0" fontId="13" fillId="0" borderId="0" xfId="20" applyFont="1" applyAlignment="1" applyProtection="1">
      <alignment vertical="center" wrapText="1"/>
    </xf>
    <xf numFmtId="165" fontId="30" fillId="0" borderId="0" xfId="20" applyNumberFormat="1" applyFont="1" applyAlignment="1" applyProtection="1">
      <alignment vertical="center" wrapText="1"/>
    </xf>
    <xf numFmtId="165" fontId="31" fillId="0" borderId="0" xfId="20" applyNumberFormat="1" applyFont="1" applyAlignment="1" applyProtection="1">
      <alignment horizontal="left" vertical="center" wrapText="1"/>
    </xf>
    <xf numFmtId="0" fontId="10" fillId="0" borderId="0" xfId="20" applyFont="1" applyAlignment="1" applyProtection="1">
      <alignment vertical="center" wrapText="1"/>
    </xf>
    <xf numFmtId="0" fontId="5" fillId="0" borderId="0" xfId="20" applyProtection="1"/>
    <xf numFmtId="165" fontId="32" fillId="0" borderId="0" xfId="20" applyNumberFormat="1" applyFont="1" applyAlignment="1" applyProtection="1">
      <alignment vertical="center" wrapText="1"/>
    </xf>
    <xf numFmtId="165" fontId="32" fillId="0" borderId="1" xfId="20" applyNumberFormat="1" applyFont="1" applyBorder="1" applyAlignment="1" applyProtection="1">
      <alignment vertical="center" wrapText="1"/>
    </xf>
    <xf numFmtId="165" fontId="22" fillId="0" borderId="1" xfId="20" applyNumberFormat="1" applyFont="1" applyBorder="1" applyAlignment="1" applyProtection="1">
      <alignment horizontal="right" vertical="center" wrapText="1"/>
    </xf>
    <xf numFmtId="165" fontId="31" fillId="0" borderId="1" xfId="20" applyNumberFormat="1" applyFont="1" applyBorder="1" applyAlignment="1" applyProtection="1">
      <alignment horizontal="right" vertical="center" wrapText="1"/>
    </xf>
    <xf numFmtId="0" fontId="8" fillId="0" borderId="9" xfId="20" applyFont="1" applyBorder="1" applyAlignment="1" applyProtection="1">
      <alignment horizontal="center" vertical="center" wrapText="1"/>
    </xf>
    <xf numFmtId="14" fontId="8" fillId="0" borderId="9" xfId="20" applyNumberFormat="1" applyFont="1" applyBorder="1" applyAlignment="1" applyProtection="1">
      <alignment horizontal="center" vertical="center" wrapText="1"/>
    </xf>
    <xf numFmtId="49" fontId="8" fillId="0" borderId="9" xfId="20" applyNumberFormat="1" applyFont="1" applyBorder="1" applyAlignment="1" applyProtection="1">
      <alignment horizontal="center" vertical="center" wrapText="1"/>
    </xf>
    <xf numFmtId="166" fontId="9" fillId="0" borderId="9" xfId="20" applyNumberFormat="1" applyFont="1" applyBorder="1" applyAlignment="1" applyProtection="1">
      <alignment horizontal="left" vertical="top" wrapText="1"/>
    </xf>
    <xf numFmtId="166" fontId="9" fillId="0" borderId="9" xfId="20" applyNumberFormat="1" applyFont="1" applyBorder="1" applyAlignment="1" applyProtection="1">
      <alignment horizontal="center" vertical="center" wrapText="1"/>
    </xf>
    <xf numFmtId="166" fontId="10" fillId="13" borderId="9" xfId="20" applyNumberFormat="1" applyFont="1" applyFill="1" applyBorder="1" applyAlignment="1" applyProtection="1">
      <alignment horizontal="center" vertical="center" wrapText="1"/>
    </xf>
    <xf numFmtId="0" fontId="9" fillId="14" borderId="10" xfId="20" applyFont="1" applyFill="1" applyBorder="1" applyAlignment="1" applyProtection="1">
      <alignment horizontal="left" vertical="top" wrapText="1"/>
    </xf>
    <xf numFmtId="169" fontId="9" fillId="14" borderId="11" xfId="20" applyNumberFormat="1" applyFont="1" applyFill="1" applyBorder="1" applyAlignment="1" applyProtection="1">
      <alignment horizontal="center"/>
    </xf>
    <xf numFmtId="169" fontId="9" fillId="14" borderId="12" xfId="20" applyNumberFormat="1" applyFont="1" applyFill="1" applyBorder="1" applyAlignment="1" applyProtection="1">
      <alignment horizontal="center"/>
    </xf>
    <xf numFmtId="0" fontId="9" fillId="14" borderId="9" xfId="20" applyFont="1" applyFill="1" applyBorder="1" applyAlignment="1" applyProtection="1">
      <alignment vertical="center" wrapText="1"/>
    </xf>
    <xf numFmtId="0" fontId="10" fillId="0" borderId="9" xfId="20" applyFont="1" applyBorder="1" applyAlignment="1" applyProtection="1">
      <alignment vertical="center" wrapText="1"/>
    </xf>
    <xf numFmtId="0" fontId="8" fillId="0" borderId="9" xfId="20" applyFont="1" applyBorder="1" applyAlignment="1" applyProtection="1">
      <alignment horizontal="left" vertical="top" wrapText="1"/>
    </xf>
    <xf numFmtId="169" fontId="8" fillId="0" borderId="9" xfId="20" applyNumberFormat="1" applyFont="1" applyBorder="1" applyAlignment="1" applyProtection="1">
      <alignment horizontal="center"/>
    </xf>
    <xf numFmtId="0" fontId="16" fillId="0" borderId="9" xfId="20" applyFont="1" applyBorder="1" applyAlignment="1" applyProtection="1">
      <alignment vertical="center" wrapText="1"/>
    </xf>
    <xf numFmtId="0" fontId="18" fillId="0" borderId="0" xfId="20" applyFont="1" applyProtection="1"/>
    <xf numFmtId="0" fontId="9" fillId="0" borderId="9" xfId="20" applyFont="1" applyBorder="1" applyAlignment="1" applyProtection="1">
      <alignment horizontal="left" vertical="top" wrapText="1"/>
    </xf>
    <xf numFmtId="169" fontId="9" fillId="0" borderId="9" xfId="20" applyNumberFormat="1" applyFont="1" applyBorder="1" applyAlignment="1" applyProtection="1">
      <alignment horizontal="center"/>
    </xf>
    <xf numFmtId="0" fontId="9" fillId="0" borderId="9" xfId="20" applyFont="1" applyBorder="1" applyAlignment="1" applyProtection="1">
      <alignment vertical="center" wrapText="1"/>
    </xf>
    <xf numFmtId="0" fontId="8" fillId="0" borderId="9" xfId="20" applyFont="1" applyBorder="1" applyAlignment="1" applyProtection="1">
      <alignment vertical="center" wrapText="1"/>
    </xf>
    <xf numFmtId="0" fontId="9" fillId="0" borderId="9" xfId="20" applyFont="1" applyBorder="1" applyAlignment="1" applyProtection="1">
      <alignment horizontal="justify" vertical="center" wrapText="1"/>
    </xf>
    <xf numFmtId="0" fontId="9" fillId="9" borderId="9" xfId="4" applyFont="1" applyFill="1" applyBorder="1" applyAlignment="1" applyProtection="1">
      <alignment horizontal="left" vertical="top"/>
    </xf>
    <xf numFmtId="169" fontId="9" fillId="0" borderId="9" xfId="3" applyNumberFormat="1" applyFont="1" applyFill="1" applyBorder="1" applyAlignment="1" applyProtection="1">
      <alignment horizontal="center" vertical="center"/>
    </xf>
    <xf numFmtId="0" fontId="8" fillId="9" borderId="9" xfId="20" applyFont="1" applyFill="1" applyBorder="1" applyAlignment="1" applyProtection="1">
      <alignment horizontal="left" vertical="top" wrapText="1"/>
    </xf>
    <xf numFmtId="169" fontId="8" fillId="0" borderId="9" xfId="20" applyNumberFormat="1" applyFont="1" applyBorder="1" applyAlignment="1" applyProtection="1">
      <alignment horizontal="center" vertical="center"/>
    </xf>
    <xf numFmtId="169" fontId="8" fillId="0" borderId="9" xfId="3" applyNumberFormat="1" applyFont="1" applyFill="1" applyBorder="1" applyAlignment="1" applyProtection="1">
      <alignment horizontal="center" vertical="center"/>
    </xf>
    <xf numFmtId="0" fontId="9" fillId="9" borderId="9" xfId="20" applyFont="1" applyFill="1" applyBorder="1" applyAlignment="1" applyProtection="1">
      <alignment horizontal="left" vertical="top" wrapText="1"/>
    </xf>
    <xf numFmtId="169" fontId="9" fillId="0" borderId="9" xfId="3" applyNumberFormat="1" applyFont="1" applyFill="1" applyBorder="1" applyAlignment="1" applyProtection="1">
      <alignment horizontal="center"/>
    </xf>
    <xf numFmtId="169" fontId="9" fillId="13" borderId="9" xfId="20" applyNumberFormat="1" applyFont="1" applyFill="1" applyBorder="1" applyAlignment="1" applyProtection="1">
      <alignment horizontal="center"/>
    </xf>
    <xf numFmtId="0" fontId="9" fillId="14" borderId="6" xfId="4" applyFont="1" applyFill="1" applyBorder="1" applyAlignment="1" applyProtection="1">
      <alignment horizontal="left" vertical="top"/>
    </xf>
    <xf numFmtId="171" fontId="10" fillId="14" borderId="1" xfId="4" applyNumberFormat="1" applyFont="1" applyFill="1" applyBorder="1" applyAlignment="1" applyProtection="1">
      <alignment horizontal="center" vertical="center" wrapText="1"/>
    </xf>
    <xf numFmtId="165" fontId="10" fillId="14" borderId="1" xfId="4" applyNumberFormat="1" applyFont="1" applyFill="1" applyBorder="1" applyAlignment="1" applyProtection="1">
      <alignment horizontal="center" vertical="center" wrapText="1"/>
    </xf>
    <xf numFmtId="165" fontId="10" fillId="14" borderId="7" xfId="4" applyNumberFormat="1" applyFont="1" applyFill="1" applyBorder="1" applyAlignment="1" applyProtection="1">
      <alignment horizontal="center" vertical="center" wrapText="1"/>
    </xf>
    <xf numFmtId="165" fontId="12" fillId="14" borderId="9" xfId="4" applyNumberFormat="1" applyFont="1" applyFill="1" applyBorder="1" applyAlignment="1" applyProtection="1">
      <alignment horizontal="left" vertical="top" wrapText="1"/>
    </xf>
    <xf numFmtId="0" fontId="8" fillId="0" borderId="9" xfId="20" applyFont="1" applyBorder="1" applyAlignment="1" applyProtection="1">
      <alignment horizontal="justify" vertical="top" wrapText="1"/>
    </xf>
    <xf numFmtId="0" fontId="9" fillId="0" borderId="9" xfId="20" applyFont="1" applyBorder="1" applyAlignment="1" applyProtection="1">
      <alignment horizontal="right" vertical="top" wrapText="1"/>
    </xf>
    <xf numFmtId="0" fontId="9" fillId="0" borderId="9" xfId="20" applyFont="1" applyBorder="1" applyAlignment="1" applyProtection="1">
      <alignment horizontal="justify" vertical="top" wrapText="1"/>
    </xf>
    <xf numFmtId="0" fontId="9" fillId="0" borderId="0" xfId="20" applyFont="1" applyAlignment="1" applyProtection="1">
      <alignment horizontal="left" vertical="center" wrapText="1"/>
    </xf>
    <xf numFmtId="0" fontId="9" fillId="0" borderId="10" xfId="20" applyFont="1" applyBorder="1" applyAlignment="1" applyProtection="1">
      <alignment horizontal="left" vertical="top"/>
    </xf>
    <xf numFmtId="0" fontId="10" fillId="0" borderId="11" xfId="20" applyFont="1" applyBorder="1" applyAlignment="1" applyProtection="1">
      <alignment horizontal="left" vertical="center" wrapText="1"/>
    </xf>
    <xf numFmtId="0" fontId="10" fillId="0" borderId="12" xfId="20" applyFont="1" applyBorder="1" applyAlignment="1" applyProtection="1">
      <alignment horizontal="left" vertical="center" wrapText="1"/>
    </xf>
    <xf numFmtId="0" fontId="9" fillId="0" borderId="11" xfId="20" applyFont="1" applyBorder="1" applyAlignment="1" applyProtection="1">
      <alignment horizontal="left" vertical="center" wrapText="1"/>
    </xf>
    <xf numFmtId="0" fontId="9" fillId="0" borderId="12" xfId="20" applyFont="1" applyBorder="1" applyAlignment="1" applyProtection="1">
      <alignment horizontal="left" vertical="center" wrapText="1"/>
    </xf>
    <xf numFmtId="171" fontId="9" fillId="14" borderId="1" xfId="4" applyNumberFormat="1" applyFont="1" applyFill="1" applyBorder="1" applyAlignment="1" applyProtection="1">
      <alignment horizontal="center" vertical="center" wrapText="1"/>
    </xf>
    <xf numFmtId="165" fontId="9" fillId="14" borderId="1" xfId="4" applyNumberFormat="1" applyFont="1" applyFill="1" applyBorder="1" applyAlignment="1" applyProtection="1">
      <alignment horizontal="center" vertical="center" wrapText="1"/>
    </xf>
    <xf numFmtId="165" fontId="9" fillId="14" borderId="7" xfId="4" applyNumberFormat="1" applyFont="1" applyFill="1" applyBorder="1" applyAlignment="1" applyProtection="1">
      <alignment horizontal="center" vertical="center" wrapText="1"/>
    </xf>
    <xf numFmtId="165" fontId="9" fillId="14" borderId="9" xfId="4" applyNumberFormat="1" applyFont="1" applyFill="1" applyBorder="1" applyAlignment="1" applyProtection="1">
      <alignment horizontal="left" vertical="top" wrapText="1"/>
    </xf>
    <xf numFmtId="0" fontId="8" fillId="0" borderId="8" xfId="20" applyFont="1" applyBorder="1" applyAlignment="1" applyProtection="1">
      <alignment horizontal="left" vertical="top" wrapText="1"/>
    </xf>
    <xf numFmtId="169" fontId="8" fillId="0" borderId="8" xfId="20" applyNumberFormat="1" applyFont="1" applyBorder="1" applyAlignment="1" applyProtection="1">
      <alignment horizontal="center"/>
    </xf>
    <xf numFmtId="165" fontId="9" fillId="0" borderId="9" xfId="4" applyNumberFormat="1" applyFont="1" applyBorder="1" applyAlignment="1" applyProtection="1">
      <alignment horizontal="center" vertical="center" wrapText="1"/>
    </xf>
    <xf numFmtId="165" fontId="9" fillId="0" borderId="5" xfId="4" applyNumberFormat="1" applyFont="1" applyBorder="1" applyAlignment="1" applyProtection="1">
      <alignment horizontal="left" vertical="top" wrapText="1"/>
    </xf>
    <xf numFmtId="0" fontId="9" fillId="9" borderId="9" xfId="20" applyFont="1" applyFill="1" applyBorder="1" applyAlignment="1" applyProtection="1">
      <alignment horizontal="right" vertical="top" wrapText="1"/>
    </xf>
    <xf numFmtId="0" fontId="9" fillId="14" borderId="10" xfId="4" applyFont="1" applyFill="1" applyBorder="1" applyAlignment="1" applyProtection="1">
      <alignment horizontal="left" vertical="top"/>
    </xf>
    <xf numFmtId="171" fontId="9" fillId="0" borderId="11" xfId="4" applyNumberFormat="1" applyFont="1" applyBorder="1" applyAlignment="1" applyProtection="1">
      <alignment horizontal="center" vertical="center" wrapText="1"/>
    </xf>
    <xf numFmtId="171" fontId="9" fillId="0" borderId="12" xfId="4" applyNumberFormat="1" applyFont="1" applyBorder="1" applyAlignment="1" applyProtection="1">
      <alignment horizontal="center" vertical="center" wrapText="1"/>
    </xf>
    <xf numFmtId="171" fontId="9" fillId="0" borderId="9" xfId="4" applyNumberFormat="1" applyFont="1" applyBorder="1" applyAlignment="1" applyProtection="1">
      <alignment horizontal="center" vertical="center" wrapText="1"/>
    </xf>
    <xf numFmtId="165" fontId="9" fillId="0" borderId="9" xfId="4" applyNumberFormat="1" applyFont="1" applyBorder="1" applyAlignment="1" applyProtection="1">
      <alignment vertical="center" wrapText="1"/>
    </xf>
    <xf numFmtId="0" fontId="21" fillId="13" borderId="9" xfId="4" applyFont="1" applyFill="1" applyBorder="1" applyAlignment="1" applyProtection="1">
      <alignment horizontal="left" vertical="top"/>
    </xf>
    <xf numFmtId="0" fontId="9" fillId="14" borderId="10" xfId="4" applyFont="1" applyFill="1" applyBorder="1" applyAlignment="1" applyProtection="1">
      <alignment horizontal="left" vertical="top" wrapText="1"/>
    </xf>
    <xf numFmtId="0" fontId="5" fillId="0" borderId="0" xfId="20" applyAlignment="1" applyProtection="1">
      <alignment vertical="top"/>
    </xf>
    <xf numFmtId="14" fontId="8" fillId="0" borderId="9" xfId="20" applyNumberFormat="1" applyFont="1" applyBorder="1" applyAlignment="1" applyProtection="1">
      <alignment horizontal="center" vertical="center" wrapText="1"/>
      <protection locked="0"/>
    </xf>
    <xf numFmtId="169" fontId="8" fillId="0" borderId="9" xfId="20" applyNumberFormat="1" applyFont="1" applyBorder="1" applyAlignment="1" applyProtection="1">
      <alignment horizontal="center"/>
      <protection locked="0"/>
    </xf>
    <xf numFmtId="169" fontId="9" fillId="0" borderId="9" xfId="20" applyNumberFormat="1" applyFont="1" applyBorder="1" applyAlignment="1" applyProtection="1">
      <alignment horizontal="center"/>
      <protection locked="0"/>
    </xf>
    <xf numFmtId="169" fontId="8" fillId="0" borderId="9" xfId="20" applyNumberFormat="1" applyFont="1" applyBorder="1" applyAlignment="1" applyProtection="1">
      <alignment horizontal="center" vertical="center"/>
      <protection locked="0"/>
    </xf>
    <xf numFmtId="169" fontId="9" fillId="0" borderId="9" xfId="3" applyNumberFormat="1" applyFont="1" applyFill="1" applyBorder="1" applyAlignment="1" applyProtection="1">
      <alignment horizontal="center"/>
      <protection locked="0"/>
    </xf>
    <xf numFmtId="169" fontId="8" fillId="0" borderId="8" xfId="20" applyNumberFormat="1" applyFont="1" applyBorder="1" applyAlignment="1" applyProtection="1">
      <alignment horizontal="center"/>
      <protection locked="0"/>
    </xf>
    <xf numFmtId="165" fontId="10" fillId="0" borderId="9" xfId="4" applyNumberFormat="1" applyFont="1" applyBorder="1" applyAlignment="1" applyProtection="1">
      <alignment horizontal="center" vertical="center" wrapText="1"/>
      <protection locked="0"/>
    </xf>
    <xf numFmtId="0" fontId="13" fillId="0" borderId="5" xfId="22" applyFont="1" applyBorder="1" applyAlignment="1">
      <alignment horizontal="center"/>
    </xf>
    <xf numFmtId="166" fontId="13" fillId="0" borderId="0" xfId="0" applyNumberFormat="1" applyFont="1" applyFill="1" applyAlignment="1">
      <alignment vertical="center" wrapText="1"/>
    </xf>
    <xf numFmtId="166" fontId="13" fillId="0" borderId="0" xfId="0" applyNumberFormat="1" applyFont="1" applyFill="1" applyBorder="1" applyAlignment="1">
      <alignment vertical="center" wrapText="1"/>
    </xf>
    <xf numFmtId="0" fontId="28" fillId="0" borderId="0" xfId="0" applyFont="1" applyFill="1" applyBorder="1" applyAlignment="1">
      <alignment vertical="center" wrapText="1"/>
    </xf>
    <xf numFmtId="0" fontId="13" fillId="0" borderId="9" xfId="0" applyFont="1" applyFill="1" applyBorder="1" applyAlignment="1">
      <alignment horizontal="left" vertical="center" wrapText="1"/>
    </xf>
    <xf numFmtId="170" fontId="13" fillId="0" borderId="9" xfId="21" applyFont="1" applyFill="1" applyBorder="1" applyAlignment="1" applyProtection="1">
      <alignment vertical="center" wrapText="1"/>
    </xf>
    <xf numFmtId="0" fontId="13" fillId="0" borderId="0" xfId="20" applyFont="1"/>
    <xf numFmtId="0" fontId="51" fillId="9" borderId="9" xfId="4" applyFont="1" applyFill="1" applyBorder="1" applyAlignment="1">
      <alignment vertical="center" wrapText="1"/>
    </xf>
    <xf numFmtId="49" fontId="8" fillId="17" borderId="9" xfId="0" applyNumberFormat="1" applyFont="1" applyFill="1" applyBorder="1" applyAlignment="1">
      <alignment horizontal="center" vertical="center" wrapText="1"/>
    </xf>
    <xf numFmtId="165" fontId="13" fillId="0" borderId="0" xfId="0" applyNumberFormat="1" applyFont="1" applyFill="1" applyAlignment="1">
      <alignment vertical="center" wrapText="1"/>
    </xf>
    <xf numFmtId="0" fontId="13" fillId="0" borderId="0" xfId="0" applyFont="1" applyFill="1" applyAlignment="1">
      <alignment vertical="center" wrapText="1"/>
    </xf>
    <xf numFmtId="0" fontId="13" fillId="9" borderId="0" xfId="0" applyFont="1" applyFill="1" applyAlignment="1">
      <alignment vertical="center" wrapText="1"/>
    </xf>
    <xf numFmtId="0" fontId="13" fillId="0" borderId="0" xfId="0" applyFont="1" applyFill="1" applyAlignment="1">
      <alignment horizontal="justify" vertical="center" wrapText="1"/>
    </xf>
    <xf numFmtId="0" fontId="13" fillId="0" borderId="0" xfId="0" applyFont="1" applyFill="1" applyAlignment="1">
      <alignment horizontal="left" vertical="center" wrapText="1"/>
    </xf>
    <xf numFmtId="0" fontId="13" fillId="0" borderId="0" xfId="0" applyFont="1" applyFill="1" applyAlignment="1">
      <alignment horizontal="center" wrapText="1"/>
    </xf>
    <xf numFmtId="165" fontId="13" fillId="0" borderId="0" xfId="0" applyNumberFormat="1" applyFont="1" applyFill="1" applyAlignment="1">
      <alignment horizontal="center" vertical="center" wrapText="1"/>
    </xf>
    <xf numFmtId="4" fontId="12" fillId="0" borderId="9" xfId="0" applyNumberFormat="1" applyFont="1" applyFill="1" applyBorder="1"/>
    <xf numFmtId="0" fontId="12" fillId="0" borderId="9" xfId="0" applyFont="1" applyBorder="1" applyAlignment="1">
      <alignment wrapText="1"/>
    </xf>
    <xf numFmtId="0" fontId="52" fillId="0" borderId="0" xfId="20" applyFont="1"/>
    <xf numFmtId="0" fontId="52" fillId="0" borderId="1" xfId="20" applyFont="1" applyBorder="1"/>
    <xf numFmtId="0" fontId="9" fillId="17" borderId="9" xfId="0" applyFont="1" applyFill="1" applyBorder="1" applyAlignment="1" applyProtection="1">
      <alignment horizontal="left" wrapText="1"/>
    </xf>
    <xf numFmtId="164" fontId="12" fillId="17" borderId="9" xfId="1" applyFont="1" applyFill="1" applyBorder="1" applyProtection="1"/>
    <xf numFmtId="164" fontId="0" fillId="17" borderId="9" xfId="1" applyFont="1" applyFill="1" applyBorder="1" applyProtection="1"/>
    <xf numFmtId="164" fontId="12" fillId="17" borderId="9" xfId="1" applyFont="1" applyFill="1" applyBorder="1" applyProtection="1">
      <protection locked="0"/>
    </xf>
    <xf numFmtId="164" fontId="0" fillId="2" borderId="9" xfId="1" applyFont="1" applyFill="1" applyBorder="1" applyProtection="1">
      <protection locked="0"/>
    </xf>
    <xf numFmtId="164" fontId="12" fillId="2" borderId="9" xfId="1" applyFont="1" applyFill="1" applyBorder="1" applyProtection="1">
      <protection locked="0"/>
    </xf>
    <xf numFmtId="164" fontId="12" fillId="2" borderId="9" xfId="1" applyFont="1" applyFill="1" applyBorder="1" applyProtection="1"/>
    <xf numFmtId="164" fontId="0" fillId="2" borderId="9" xfId="1" applyFont="1" applyFill="1" applyBorder="1" applyProtection="1"/>
    <xf numFmtId="164" fontId="12" fillId="3" borderId="9" xfId="1" applyFont="1" applyFill="1" applyBorder="1" applyProtection="1"/>
    <xf numFmtId="164" fontId="0" fillId="3" borderId="9" xfId="1" applyFont="1" applyFill="1" applyBorder="1" applyProtection="1"/>
    <xf numFmtId="164" fontId="12" fillId="3" borderId="9" xfId="1" applyFont="1" applyFill="1" applyBorder="1" applyProtection="1">
      <protection locked="0"/>
    </xf>
    <xf numFmtId="164" fontId="0" fillId="3" borderId="9" xfId="1" applyFont="1" applyFill="1" applyBorder="1" applyProtection="1">
      <protection locked="0"/>
    </xf>
    <xf numFmtId="164" fontId="0" fillId="5" borderId="9" xfId="1" applyFont="1" applyFill="1" applyBorder="1" applyProtection="1"/>
    <xf numFmtId="164" fontId="0" fillId="5" borderId="9" xfId="1" applyFont="1" applyFill="1" applyBorder="1" applyProtection="1">
      <protection locked="0"/>
    </xf>
    <xf numFmtId="0" fontId="9" fillId="17" borderId="9" xfId="0" applyFont="1" applyFill="1" applyBorder="1" applyAlignment="1" applyProtection="1">
      <alignment horizontal="left" vertical="center" wrapText="1"/>
    </xf>
    <xf numFmtId="166" fontId="8" fillId="19" borderId="10" xfId="0" applyNumberFormat="1" applyFont="1" applyFill="1" applyBorder="1" applyAlignment="1" applyProtection="1">
      <alignment vertical="center" wrapText="1"/>
    </xf>
    <xf numFmtId="164" fontId="9" fillId="19" borderId="9" xfId="1" applyFont="1" applyFill="1" applyBorder="1" applyAlignment="1" applyProtection="1">
      <alignment vertical="center" wrapText="1"/>
    </xf>
    <xf numFmtId="164" fontId="9" fillId="19" borderId="9" xfId="1" applyFont="1" applyFill="1" applyBorder="1" applyAlignment="1" applyProtection="1">
      <alignment vertical="center" wrapText="1"/>
      <protection locked="0"/>
    </xf>
    <xf numFmtId="0" fontId="8" fillId="19" borderId="9" xfId="0" applyFont="1" applyFill="1" applyBorder="1" applyAlignment="1" applyProtection="1">
      <alignment horizontal="left" wrapText="1"/>
    </xf>
    <xf numFmtId="164" fontId="0" fillId="19" borderId="9" xfId="1" applyFont="1" applyFill="1" applyBorder="1" applyProtection="1"/>
    <xf numFmtId="164" fontId="0" fillId="19" borderId="9" xfId="1" applyFont="1" applyFill="1" applyBorder="1" applyProtection="1">
      <protection locked="0"/>
    </xf>
    <xf numFmtId="0" fontId="8" fillId="17" borderId="9" xfId="0" applyFont="1" applyFill="1" applyBorder="1" applyAlignment="1" applyProtection="1">
      <alignment horizontal="left" wrapText="1"/>
    </xf>
    <xf numFmtId="164" fontId="12" fillId="17" borderId="9" xfId="0" applyNumberFormat="1" applyFont="1" applyFill="1" applyBorder="1" applyProtection="1"/>
    <xf numFmtId="164" fontId="12" fillId="17" borderId="9" xfId="0" applyNumberFormat="1" applyFont="1" applyFill="1" applyBorder="1" applyProtection="1">
      <protection locked="0"/>
    </xf>
    <xf numFmtId="0" fontId="12" fillId="17" borderId="9" xfId="0" applyFont="1" applyFill="1" applyBorder="1" applyProtection="1"/>
    <xf numFmtId="0" fontId="12" fillId="17" borderId="9" xfId="0" applyFont="1" applyFill="1" applyBorder="1" applyProtection="1">
      <protection locked="0"/>
    </xf>
    <xf numFmtId="164" fontId="0" fillId="17" borderId="9" xfId="1" applyFont="1" applyFill="1" applyBorder="1" applyProtection="1">
      <protection locked="0"/>
    </xf>
    <xf numFmtId="164" fontId="19" fillId="17" borderId="9" xfId="1" applyFont="1" applyFill="1" applyBorder="1" applyProtection="1"/>
    <xf numFmtId="164" fontId="19" fillId="17" borderId="9" xfId="1" applyFont="1" applyFill="1" applyBorder="1" applyProtection="1">
      <protection locked="0"/>
    </xf>
    <xf numFmtId="0" fontId="8" fillId="17" borderId="9" xfId="0" applyFont="1" applyFill="1" applyBorder="1" applyAlignment="1" applyProtection="1">
      <alignment horizontal="left" vertical="center" wrapText="1"/>
    </xf>
    <xf numFmtId="0" fontId="8" fillId="12" borderId="9" xfId="0" applyFont="1" applyFill="1" applyBorder="1" applyAlignment="1" applyProtection="1">
      <alignment horizontal="left" wrapText="1"/>
    </xf>
    <xf numFmtId="164" fontId="12" fillId="12" borderId="9" xfId="1" applyFont="1" applyFill="1" applyBorder="1" applyProtection="1"/>
    <xf numFmtId="164" fontId="0" fillId="12" borderId="9" xfId="1" applyFont="1" applyFill="1" applyBorder="1" applyProtection="1"/>
    <xf numFmtId="164" fontId="0" fillId="12" borderId="9" xfId="1" applyFont="1" applyFill="1" applyBorder="1" applyProtection="1">
      <protection locked="0"/>
    </xf>
    <xf numFmtId="164" fontId="12" fillId="12" borderId="9" xfId="1" applyFont="1" applyFill="1" applyBorder="1" applyProtection="1">
      <protection locked="0"/>
    </xf>
    <xf numFmtId="164" fontId="19" fillId="17" borderId="9" xfId="0" applyNumberFormat="1" applyFont="1" applyFill="1" applyBorder="1" applyProtection="1"/>
    <xf numFmtId="164" fontId="19" fillId="17" borderId="9" xfId="0" applyNumberFormat="1" applyFont="1" applyFill="1" applyBorder="1" applyProtection="1">
      <protection locked="0"/>
    </xf>
    <xf numFmtId="0" fontId="12" fillId="0" borderId="0" xfId="0" applyFont="1" applyFill="1" applyProtection="1"/>
    <xf numFmtId="173" fontId="19" fillId="17" borderId="9" xfId="1" applyNumberFormat="1" applyFont="1" applyFill="1" applyBorder="1" applyProtection="1"/>
    <xf numFmtId="173" fontId="12" fillId="17" borderId="9" xfId="1" applyNumberFormat="1" applyFont="1" applyFill="1" applyBorder="1" applyProtection="1"/>
    <xf numFmtId="0" fontId="53" fillId="0" borderId="0" xfId="0" applyFont="1" applyProtection="1"/>
    <xf numFmtId="164" fontId="53" fillId="0" borderId="0" xfId="0" applyNumberFormat="1" applyFont="1" applyProtection="1"/>
    <xf numFmtId="0" fontId="31" fillId="0" borderId="0" xfId="0" applyFont="1" applyProtection="1"/>
    <xf numFmtId="164" fontId="54" fillId="0" borderId="0" xfId="0" applyNumberFormat="1" applyFont="1" applyProtection="1"/>
    <xf numFmtId="0" fontId="55" fillId="0" borderId="9" xfId="0" applyFont="1" applyBorder="1" applyAlignment="1" applyProtection="1">
      <alignment vertical="top" wrapText="1"/>
      <protection locked="0"/>
    </xf>
    <xf numFmtId="0" fontId="55" fillId="0" borderId="9" xfId="0" applyFont="1" applyBorder="1" applyAlignment="1" applyProtection="1">
      <alignment horizontal="left" vertical="top" wrapText="1"/>
      <protection locked="0"/>
    </xf>
    <xf numFmtId="0" fontId="8" fillId="12" borderId="9" xfId="0" applyFont="1" applyFill="1" applyBorder="1" applyAlignment="1" applyProtection="1">
      <alignment horizontal="left" vertical="top" wrapText="1"/>
    </xf>
    <xf numFmtId="0" fontId="9" fillId="2" borderId="9" xfId="0" applyFont="1" applyFill="1" applyBorder="1" applyAlignment="1" applyProtection="1">
      <alignment horizontal="left" vertical="top" wrapText="1"/>
    </xf>
    <xf numFmtId="0" fontId="9" fillId="12" borderId="9" xfId="0" applyFont="1" applyFill="1" applyBorder="1" applyAlignment="1" applyProtection="1">
      <alignment horizontal="left" vertical="top" wrapText="1"/>
    </xf>
    <xf numFmtId="0" fontId="51" fillId="0" borderId="9" xfId="0" applyNumberFormat="1" applyFont="1" applyFill="1" applyBorder="1" applyAlignment="1">
      <alignment vertical="center" wrapText="1"/>
    </xf>
    <xf numFmtId="0" fontId="56" fillId="0" borderId="9" xfId="0" applyNumberFormat="1" applyFont="1" applyFill="1" applyBorder="1" applyAlignment="1">
      <alignment vertical="center" wrapText="1"/>
    </xf>
    <xf numFmtId="0" fontId="51" fillId="0" borderId="9" xfId="0" applyNumberFormat="1" applyFont="1" applyFill="1" applyBorder="1" applyAlignment="1">
      <alignment horizontal="left" vertical="center" wrapText="1"/>
    </xf>
    <xf numFmtId="0" fontId="28" fillId="0" borderId="9" xfId="20" applyFont="1" applyFill="1" applyBorder="1" applyAlignment="1">
      <alignment horizontal="left" vertical="center" wrapText="1"/>
    </xf>
    <xf numFmtId="172" fontId="28" fillId="0" borderId="9" xfId="20" applyNumberFormat="1" applyFont="1" applyFill="1" applyBorder="1" applyAlignment="1">
      <alignment horizontal="center" vertical="center" wrapText="1"/>
    </xf>
    <xf numFmtId="4" fontId="28" fillId="0" borderId="9" xfId="20" applyNumberFormat="1" applyFont="1" applyFill="1" applyBorder="1" applyAlignment="1">
      <alignment horizontal="center" vertical="center"/>
    </xf>
    <xf numFmtId="0" fontId="13" fillId="0" borderId="8" xfId="20" applyFont="1" applyFill="1" applyBorder="1" applyAlignment="1">
      <alignment horizontal="center" vertical="center"/>
    </xf>
    <xf numFmtId="0" fontId="44" fillId="0" borderId="0" xfId="20" applyFont="1" applyFill="1"/>
    <xf numFmtId="0" fontId="13" fillId="0" borderId="9" xfId="20" applyFont="1" applyFill="1" applyBorder="1" applyAlignment="1">
      <alignment horizontal="left" vertical="center" wrapText="1"/>
    </xf>
    <xf numFmtId="172" fontId="13" fillId="0" borderId="9" xfId="20" applyNumberFormat="1" applyFont="1" applyFill="1" applyBorder="1" applyAlignment="1">
      <alignment horizontal="center" vertical="center" wrapText="1"/>
    </xf>
    <xf numFmtId="4" fontId="13" fillId="0" borderId="9" xfId="20" applyNumberFormat="1" applyFont="1" applyFill="1" applyBorder="1" applyAlignment="1">
      <alignment horizontal="center" vertical="center"/>
    </xf>
    <xf numFmtId="4" fontId="13" fillId="0" borderId="9" xfId="20" applyNumberFormat="1" applyFont="1" applyFill="1" applyBorder="1" applyAlignment="1">
      <alignment horizontal="center" vertical="center" wrapText="1"/>
    </xf>
    <xf numFmtId="0" fontId="13" fillId="0" borderId="9" xfId="20" applyFont="1" applyFill="1" applyBorder="1" applyAlignment="1">
      <alignment horizontal="right" vertical="center" wrapText="1"/>
    </xf>
    <xf numFmtId="2" fontId="9" fillId="0" borderId="9" xfId="0" applyNumberFormat="1" applyFont="1" applyBorder="1" applyAlignment="1">
      <alignment horizontal="center" vertical="center" wrapText="1"/>
    </xf>
    <xf numFmtId="2" fontId="9" fillId="0" borderId="9" xfId="1" applyNumberFormat="1" applyFont="1" applyFill="1" applyBorder="1" applyAlignment="1">
      <alignment vertical="center" wrapText="1"/>
    </xf>
    <xf numFmtId="2" fontId="9" fillId="0" borderId="9" xfId="1" applyNumberFormat="1" applyFont="1" applyFill="1" applyBorder="1"/>
    <xf numFmtId="2" fontId="9" fillId="0" borderId="9" xfId="0" applyNumberFormat="1" applyFont="1" applyBorder="1"/>
    <xf numFmtId="2" fontId="15" fillId="0" borderId="9" xfId="0" applyNumberFormat="1" applyFont="1" applyBorder="1"/>
    <xf numFmtId="2" fontId="9" fillId="0" borderId="9" xfId="16" applyNumberFormat="1" applyFont="1" applyFill="1" applyBorder="1" applyAlignment="1" applyProtection="1">
      <alignment horizontal="right" vertical="center" wrapText="1"/>
      <protection locked="0"/>
    </xf>
    <xf numFmtId="164" fontId="9" fillId="0" borderId="9" xfId="0" applyNumberFormat="1" applyFont="1" applyBorder="1" applyAlignment="1">
      <alignment horizontal="right"/>
    </xf>
    <xf numFmtId="1" fontId="9" fillId="0" borderId="9" xfId="0" applyNumberFormat="1" applyFont="1" applyBorder="1" applyAlignment="1">
      <alignment horizontal="center" vertical="center" wrapText="1"/>
    </xf>
    <xf numFmtId="0" fontId="13" fillId="0" borderId="9" xfId="22" applyFont="1" applyBorder="1" applyAlignment="1">
      <alignment vertical="top" wrapText="1"/>
    </xf>
    <xf numFmtId="0" fontId="8" fillId="0" borderId="9" xfId="20" applyFont="1" applyFill="1" applyBorder="1" applyAlignment="1" applyProtection="1">
      <alignment horizontal="left" vertical="top" wrapText="1"/>
    </xf>
    <xf numFmtId="169" fontId="8" fillId="0" borderId="9" xfId="20" applyNumberFormat="1" applyFont="1" applyFill="1" applyBorder="1" applyAlignment="1" applyProtection="1">
      <alignment horizontal="center"/>
    </xf>
    <xf numFmtId="169" fontId="8" fillId="0" borderId="9" xfId="20" applyNumberFormat="1" applyFont="1" applyFill="1" applyBorder="1" applyAlignment="1" applyProtection="1">
      <alignment horizontal="center"/>
      <protection locked="0"/>
    </xf>
    <xf numFmtId="0" fontId="9" fillId="0" borderId="9" xfId="20" applyFont="1" applyFill="1" applyBorder="1" applyAlignment="1" applyProtection="1">
      <alignment horizontal="left" vertical="top" wrapText="1"/>
    </xf>
    <xf numFmtId="169" fontId="9" fillId="0" borderId="9" xfId="20" applyNumberFormat="1" applyFont="1" applyFill="1" applyBorder="1" applyAlignment="1" applyProtection="1">
      <alignment horizontal="center"/>
    </xf>
    <xf numFmtId="169" fontId="9" fillId="0" borderId="9" xfId="20" applyNumberFormat="1" applyFont="1" applyFill="1" applyBorder="1" applyAlignment="1" applyProtection="1">
      <alignment horizontal="center"/>
      <protection locked="0"/>
    </xf>
    <xf numFmtId="4" fontId="24" fillId="0" borderId="9" xfId="20" applyNumberFormat="1" applyFont="1" applyFill="1" applyBorder="1" applyAlignment="1">
      <alignment horizontal="center" vertical="center" wrapText="1"/>
    </xf>
    <xf numFmtId="4" fontId="13" fillId="0" borderId="9" xfId="23" applyNumberFormat="1" applyFont="1" applyFill="1" applyBorder="1" applyAlignment="1">
      <alignment horizontal="center" vertical="center" wrapText="1"/>
    </xf>
    <xf numFmtId="172" fontId="28" fillId="0" borderId="9" xfId="23" applyNumberFormat="1" applyFont="1" applyFill="1" applyBorder="1" applyAlignment="1">
      <alignment horizontal="center" vertical="center" wrapText="1"/>
    </xf>
    <xf numFmtId="43" fontId="13" fillId="0" borderId="9" xfId="22" applyNumberFormat="1" applyFont="1" applyBorder="1" applyAlignment="1">
      <alignment horizontal="center" vertical="center" wrapText="1"/>
    </xf>
    <xf numFmtId="43" fontId="13" fillId="0" borderId="9" xfId="22" applyNumberFormat="1" applyFont="1" applyFill="1" applyBorder="1" applyAlignment="1">
      <alignment horizontal="center" vertical="center" wrapText="1"/>
    </xf>
    <xf numFmtId="170" fontId="13" fillId="0" borderId="9" xfId="0" applyNumberFormat="1" applyFont="1" applyFill="1" applyBorder="1" applyAlignment="1">
      <alignment horizontal="center" vertical="center" wrapText="1"/>
    </xf>
    <xf numFmtId="170" fontId="13" fillId="0" borderId="9" xfId="21" applyFont="1" applyFill="1" applyBorder="1" applyAlignment="1" applyProtection="1">
      <alignment horizontal="center" vertical="center" wrapText="1"/>
    </xf>
    <xf numFmtId="170" fontId="50" fillId="0" borderId="9" xfId="21" applyFont="1" applyFill="1" applyBorder="1" applyAlignment="1" applyProtection="1">
      <alignment horizontal="center" vertical="center" wrapText="1"/>
    </xf>
    <xf numFmtId="4" fontId="13" fillId="20" borderId="9" xfId="22" applyNumberFormat="1" applyFont="1" applyFill="1" applyBorder="1" applyAlignment="1">
      <alignment horizontal="center" vertical="center" wrapText="1"/>
    </xf>
    <xf numFmtId="4" fontId="13" fillId="0" borderId="10" xfId="22" applyNumberFormat="1" applyFont="1" applyFill="1" applyBorder="1" applyAlignment="1">
      <alignment horizontal="center" vertical="center" wrapText="1"/>
    </xf>
    <xf numFmtId="4" fontId="13" fillId="0" borderId="9" xfId="22" applyNumberFormat="1" applyFont="1" applyFill="1" applyBorder="1" applyAlignment="1">
      <alignment horizontal="center" vertical="center" wrapText="1"/>
    </xf>
    <xf numFmtId="0" fontId="19" fillId="0" borderId="0" xfId="0" applyFont="1" applyFill="1"/>
    <xf numFmtId="0" fontId="8" fillId="0" borderId="9" xfId="0" applyFont="1" applyFill="1" applyBorder="1" applyAlignment="1">
      <alignment horizontal="left" vertical="top" wrapText="1"/>
    </xf>
    <xf numFmtId="2" fontId="9" fillId="0" borderId="9" xfId="0" applyNumberFormat="1" applyFont="1" applyFill="1" applyBorder="1" applyAlignment="1">
      <alignment horizontal="right" wrapText="1"/>
    </xf>
    <xf numFmtId="2" fontId="10" fillId="0" borderId="9" xfId="0" applyNumberFormat="1" applyFont="1" applyFill="1" applyBorder="1" applyAlignment="1">
      <alignment horizontal="right" wrapText="1"/>
    </xf>
    <xf numFmtId="0" fontId="12" fillId="0" borderId="9" xfId="0" applyFont="1" applyFill="1" applyBorder="1"/>
    <xf numFmtId="2" fontId="12" fillId="0" borderId="0" xfId="0" applyNumberFormat="1" applyFont="1" applyFill="1"/>
    <xf numFmtId="0" fontId="12" fillId="0" borderId="0" xfId="0" applyFont="1" applyFill="1"/>
    <xf numFmtId="167" fontId="8" fillId="0" borderId="9" xfId="0" applyNumberFormat="1" applyFont="1" applyFill="1" applyBorder="1" applyAlignment="1">
      <alignment horizontal="left" wrapText="1"/>
    </xf>
    <xf numFmtId="168" fontId="8" fillId="0" borderId="9" xfId="0" applyNumberFormat="1" applyFont="1" applyFill="1" applyBorder="1" applyAlignment="1">
      <alignment horizontal="right" wrapText="1"/>
    </xf>
    <xf numFmtId="168" fontId="8" fillId="0" borderId="9" xfId="0" applyNumberFormat="1" applyFont="1" applyFill="1" applyBorder="1" applyAlignment="1">
      <alignment vertical="center" wrapText="1"/>
    </xf>
    <xf numFmtId="167" fontId="9" fillId="0" borderId="9" xfId="0" applyNumberFormat="1" applyFont="1" applyFill="1" applyBorder="1" applyAlignment="1">
      <alignment horizontal="left" wrapText="1"/>
    </xf>
    <xf numFmtId="168" fontId="9" fillId="0" borderId="9" xfId="0" applyNumberFormat="1" applyFont="1" applyFill="1" applyBorder="1" applyAlignment="1">
      <alignment horizontal="right" wrapText="1"/>
    </xf>
    <xf numFmtId="169" fontId="8" fillId="14" borderId="11" xfId="20" applyNumberFormat="1" applyFont="1" applyFill="1" applyBorder="1" applyAlignment="1" applyProtection="1">
      <alignment horizontal="left" wrapText="1"/>
    </xf>
    <xf numFmtId="167" fontId="8" fillId="0" borderId="9" xfId="0" applyNumberFormat="1" applyFont="1" applyFill="1" applyBorder="1" applyAlignment="1">
      <alignment horizontal="left" vertical="top" wrapText="1"/>
    </xf>
    <xf numFmtId="168" fontId="16" fillId="0" borderId="9" xfId="0" applyNumberFormat="1" applyFont="1" applyFill="1" applyBorder="1" applyAlignment="1">
      <alignment horizontal="right" wrapText="1"/>
    </xf>
    <xf numFmtId="168" fontId="8" fillId="0" borderId="9" xfId="0" applyNumberFormat="1" applyFont="1" applyFill="1" applyBorder="1" applyAlignment="1">
      <alignment horizontal="left" wrapText="1"/>
    </xf>
    <xf numFmtId="168" fontId="9" fillId="0" borderId="9" xfId="0" applyNumberFormat="1" applyFont="1" applyFill="1" applyBorder="1" applyAlignment="1">
      <alignment horizontal="left" wrapText="1"/>
    </xf>
    <xf numFmtId="167" fontId="9" fillId="0" borderId="9" xfId="0" applyNumberFormat="1" applyFont="1" applyFill="1" applyBorder="1" applyAlignment="1">
      <alignment horizontal="right" wrapText="1"/>
    </xf>
    <xf numFmtId="167" fontId="10" fillId="0" borderId="9" xfId="0" applyNumberFormat="1" applyFont="1" applyFill="1" applyBorder="1" applyAlignment="1">
      <alignment horizontal="right" wrapText="1"/>
    </xf>
    <xf numFmtId="168" fontId="10" fillId="0" borderId="9" xfId="0" applyNumberFormat="1" applyFont="1" applyFill="1" applyBorder="1" applyAlignment="1">
      <alignment horizontal="right" wrapText="1"/>
    </xf>
    <xf numFmtId="167" fontId="8" fillId="0" borderId="9" xfId="0" applyNumberFormat="1" applyFont="1" applyFill="1" applyBorder="1" applyAlignment="1">
      <alignment horizontal="left" vertical="center" wrapText="1"/>
    </xf>
    <xf numFmtId="167" fontId="8" fillId="0" borderId="9" xfId="0" applyNumberFormat="1" applyFont="1" applyFill="1" applyBorder="1" applyAlignment="1">
      <alignment horizontal="right" wrapText="1"/>
    </xf>
    <xf numFmtId="167" fontId="16" fillId="0" borderId="9" xfId="0" applyNumberFormat="1" applyFont="1" applyFill="1" applyBorder="1" applyAlignment="1">
      <alignment horizontal="right" wrapText="1"/>
    </xf>
    <xf numFmtId="167" fontId="9" fillId="0" borderId="9" xfId="0" applyNumberFormat="1" applyFont="1" applyFill="1" applyBorder="1" applyAlignment="1">
      <alignment horizontal="left" vertical="center" wrapText="1"/>
    </xf>
    <xf numFmtId="167" fontId="8" fillId="22" borderId="9" xfId="0" applyNumberFormat="1" applyFont="1" applyFill="1" applyBorder="1" applyAlignment="1">
      <alignment horizontal="left" wrapText="1"/>
    </xf>
    <xf numFmtId="168" fontId="8" fillId="22" borderId="9" xfId="0" applyNumberFormat="1" applyFont="1" applyFill="1" applyBorder="1" applyAlignment="1">
      <alignment horizontal="right" wrapText="1"/>
    </xf>
    <xf numFmtId="0" fontId="9" fillId="21" borderId="0" xfId="0" applyFont="1" applyFill="1" applyAlignment="1">
      <alignment horizontal="left" vertical="top" wrapText="1"/>
    </xf>
    <xf numFmtId="0" fontId="9" fillId="21" borderId="0" xfId="0" applyFont="1" applyFill="1" applyAlignment="1">
      <alignment wrapText="1"/>
    </xf>
    <xf numFmtId="172" fontId="13" fillId="9" borderId="9" xfId="23" applyNumberFormat="1" applyFont="1" applyFill="1" applyBorder="1" applyAlignment="1">
      <alignment horizontal="center" vertical="center" wrapText="1"/>
    </xf>
    <xf numFmtId="4" fontId="28" fillId="9" borderId="9" xfId="23" applyNumberFormat="1" applyFont="1" applyFill="1" applyBorder="1" applyAlignment="1">
      <alignment horizontal="center" vertical="center" wrapText="1"/>
    </xf>
    <xf numFmtId="4" fontId="13" fillId="0" borderId="9" xfId="23" applyNumberFormat="1" applyFont="1" applyBorder="1" applyAlignment="1">
      <alignment horizontal="center" vertical="center"/>
    </xf>
    <xf numFmtId="168" fontId="8" fillId="23" borderId="9" xfId="0" applyNumberFormat="1" applyFont="1" applyFill="1" applyBorder="1" applyAlignment="1">
      <alignment horizontal="right" wrapText="1"/>
    </xf>
    <xf numFmtId="168" fontId="9" fillId="23" borderId="9" xfId="0" applyNumberFormat="1" applyFont="1" applyFill="1" applyBorder="1" applyAlignment="1">
      <alignment horizontal="right" wrapText="1"/>
    </xf>
    <xf numFmtId="164" fontId="12" fillId="0" borderId="9" xfId="0" applyNumberFormat="1" applyFont="1" applyFill="1" applyBorder="1"/>
    <xf numFmtId="0" fontId="9" fillId="0" borderId="0" xfId="0" applyFont="1" applyFill="1" applyAlignment="1">
      <alignment horizontal="left" vertical="top" wrapText="1"/>
    </xf>
    <xf numFmtId="0" fontId="9" fillId="0" borderId="0" xfId="0" applyFont="1" applyFill="1" applyAlignment="1">
      <alignment wrapText="1"/>
    </xf>
    <xf numFmtId="0" fontId="15" fillId="0" borderId="0" xfId="0" applyFont="1" applyFill="1"/>
    <xf numFmtId="0" fontId="0" fillId="0" borderId="0" xfId="0" applyFill="1"/>
    <xf numFmtId="4" fontId="15" fillId="0" borderId="0" xfId="0" applyNumberFormat="1" applyFont="1"/>
    <xf numFmtId="0" fontId="27" fillId="0" borderId="9" xfId="4" applyFont="1" applyFill="1" applyBorder="1" applyAlignment="1">
      <alignment vertical="center" wrapText="1"/>
    </xf>
    <xf numFmtId="0" fontId="22" fillId="0" borderId="0" xfId="4" applyFont="1" applyFill="1" applyAlignment="1">
      <alignment horizontal="right" vertical="center" wrapText="1"/>
    </xf>
    <xf numFmtId="164" fontId="58" fillId="0" borderId="0" xfId="0" applyNumberFormat="1" applyFont="1"/>
    <xf numFmtId="0" fontId="59" fillId="0" borderId="0" xfId="0" applyFont="1"/>
    <xf numFmtId="0" fontId="28" fillId="0" borderId="2" xfId="22" applyFont="1" applyBorder="1" applyAlignment="1">
      <alignment horizontal="center"/>
    </xf>
    <xf numFmtId="0" fontId="28" fillId="0" borderId="5" xfId="22" applyFont="1" applyBorder="1" applyAlignment="1">
      <alignment horizontal="center"/>
    </xf>
    <xf numFmtId="0" fontId="28" fillId="0" borderId="8" xfId="22" applyFont="1" applyBorder="1" applyAlignment="1">
      <alignment horizontal="center"/>
    </xf>
    <xf numFmtId="0" fontId="13" fillId="0" borderId="11" xfId="22" applyFont="1" applyBorder="1" applyAlignment="1">
      <alignment horizontal="left" vertical="top" wrapText="1"/>
    </xf>
    <xf numFmtId="0" fontId="13" fillId="0" borderId="12" xfId="22" applyFont="1" applyBorder="1" applyAlignment="1">
      <alignment horizontal="left" vertical="top" wrapText="1"/>
    </xf>
    <xf numFmtId="0" fontId="13" fillId="0" borderId="2" xfId="22" applyFont="1" applyBorder="1" applyAlignment="1">
      <alignment horizontal="left" vertical="center" wrapText="1"/>
    </xf>
    <xf numFmtId="0" fontId="13" fillId="0" borderId="5" xfId="22" applyFont="1" applyBorder="1" applyAlignment="1">
      <alignment horizontal="left" vertical="center"/>
    </xf>
    <xf numFmtId="0" fontId="28" fillId="0" borderId="5" xfId="22" applyFont="1" applyBorder="1" applyAlignment="1">
      <alignment horizontal="left" vertical="top" wrapText="1"/>
    </xf>
    <xf numFmtId="0" fontId="28" fillId="0" borderId="8" xfId="22" applyFont="1" applyBorder="1" applyAlignment="1">
      <alignment horizontal="left" vertical="top" wrapText="1"/>
    </xf>
    <xf numFmtId="0" fontId="13" fillId="0" borderId="2" xfId="22" applyFont="1" applyBorder="1" applyAlignment="1">
      <alignment horizontal="left" wrapText="1"/>
    </xf>
    <xf numFmtId="0" fontId="13" fillId="0" borderId="5" xfId="22" applyFont="1" applyBorder="1" applyAlignment="1">
      <alignment horizontal="left" vertical="center" wrapText="1"/>
    </xf>
    <xf numFmtId="0" fontId="13" fillId="0" borderId="8" xfId="22" applyFont="1" applyBorder="1" applyAlignment="1">
      <alignment horizontal="left" vertical="center" wrapText="1"/>
    </xf>
    <xf numFmtId="0" fontId="13" fillId="0" borderId="2" xfId="22" applyFont="1" applyBorder="1" applyAlignment="1">
      <alignment horizontal="left" vertical="top" wrapText="1"/>
    </xf>
    <xf numFmtId="0" fontId="13" fillId="0" borderId="11" xfId="22" applyFont="1" applyBorder="1" applyAlignment="1">
      <alignment horizontal="left" vertical="center" wrapText="1"/>
    </xf>
    <xf numFmtId="0" fontId="13" fillId="0" borderId="12" xfId="22" applyFont="1" applyBorder="1" applyAlignment="1">
      <alignment horizontal="left" vertical="center" wrapText="1"/>
    </xf>
    <xf numFmtId="0" fontId="28" fillId="0" borderId="5" xfId="22" applyFont="1" applyBorder="1" applyAlignment="1">
      <alignment horizontal="center" vertical="center" wrapText="1"/>
    </xf>
    <xf numFmtId="0" fontId="28" fillId="0" borderId="5" xfId="22" applyFont="1" applyBorder="1" applyAlignment="1">
      <alignment horizontal="left" vertical="center"/>
    </xf>
    <xf numFmtId="0" fontId="13" fillId="0" borderId="5" xfId="22" applyFont="1" applyBorder="1" applyAlignment="1">
      <alignment vertical="top" wrapText="1"/>
    </xf>
    <xf numFmtId="4" fontId="60" fillId="0" borderId="9" xfId="20" applyNumberFormat="1" applyFont="1" applyFill="1" applyBorder="1" applyAlignment="1" applyProtection="1">
      <alignment horizontal="center"/>
    </xf>
    <xf numFmtId="4" fontId="8" fillId="0" borderId="9" xfId="4" applyNumberFormat="1" applyFont="1" applyFill="1" applyBorder="1" applyAlignment="1">
      <alignment horizontal="center" vertical="center" wrapText="1"/>
    </xf>
    <xf numFmtId="4" fontId="9" fillId="0" borderId="9" xfId="4" applyNumberFormat="1" applyFont="1" applyFill="1" applyBorder="1" applyAlignment="1">
      <alignment horizontal="center" vertical="center" wrapText="1"/>
    </xf>
    <xf numFmtId="0" fontId="13" fillId="0" borderId="9" xfId="23" applyFont="1" applyFill="1" applyBorder="1" applyAlignment="1">
      <alignment horizontal="left" vertical="center" wrapText="1"/>
    </xf>
    <xf numFmtId="167" fontId="9" fillId="4" borderId="9" xfId="0" applyNumberFormat="1" applyFont="1" applyFill="1" applyBorder="1" applyAlignment="1">
      <alignment horizontal="left" wrapText="1"/>
    </xf>
    <xf numFmtId="0" fontId="9" fillId="0" borderId="9" xfId="0" applyFont="1" applyFill="1" applyBorder="1" applyAlignment="1">
      <alignment horizontal="left" wrapText="1"/>
    </xf>
    <xf numFmtId="165" fontId="12" fillId="0" borderId="9" xfId="4" applyNumberFormat="1" applyFont="1" applyFill="1" applyBorder="1" applyAlignment="1" applyProtection="1">
      <alignment vertical="center" wrapText="1"/>
    </xf>
    <xf numFmtId="0" fontId="9" fillId="0" borderId="9" xfId="0" applyFont="1" applyBorder="1" applyAlignment="1">
      <alignment wrapText="1"/>
    </xf>
    <xf numFmtId="0" fontId="22" fillId="0" borderId="9" xfId="0" applyFont="1" applyFill="1" applyBorder="1" applyAlignment="1">
      <alignment horizontal="left" vertical="top" wrapText="1"/>
    </xf>
    <xf numFmtId="0" fontId="56" fillId="0" borderId="9" xfId="0" applyFont="1" applyBorder="1" applyAlignment="1">
      <alignment horizontal="center" vertical="center" wrapText="1"/>
    </xf>
    <xf numFmtId="0" fontId="61" fillId="0" borderId="9" xfId="0" applyFont="1" applyBorder="1" applyAlignment="1">
      <alignment horizontal="center" vertical="center" wrapText="1"/>
    </xf>
    <xf numFmtId="4" fontId="12" fillId="0" borderId="9" xfId="0" applyNumberFormat="1" applyFont="1" applyBorder="1" applyAlignment="1">
      <alignment horizontal="center"/>
    </xf>
    <xf numFmtId="165" fontId="51" fillId="0" borderId="9" xfId="0" applyNumberFormat="1" applyFont="1" applyBorder="1" applyAlignment="1">
      <alignment horizontal="center" vertical="center" wrapText="1"/>
    </xf>
    <xf numFmtId="164" fontId="12" fillId="0" borderId="9" xfId="0" applyNumberFormat="1" applyFont="1" applyBorder="1" applyAlignment="1">
      <alignment horizontal="center"/>
    </xf>
    <xf numFmtId="0" fontId="12" fillId="0" borderId="9" xfId="0" applyFont="1" applyBorder="1" applyAlignment="1">
      <alignment horizontal="center"/>
    </xf>
    <xf numFmtId="169" fontId="12" fillId="0" borderId="0" xfId="0" applyNumberFormat="1" applyFont="1"/>
    <xf numFmtId="0" fontId="12" fillId="24" borderId="9" xfId="0" applyFont="1" applyFill="1" applyBorder="1" applyAlignment="1">
      <alignment wrapText="1"/>
    </xf>
    <xf numFmtId="164" fontId="12" fillId="0" borderId="9" xfId="0" applyNumberFormat="1" applyFont="1" applyBorder="1" applyAlignment="1">
      <alignment horizontal="center" vertical="center"/>
    </xf>
    <xf numFmtId="4" fontId="13" fillId="0" borderId="0" xfId="0" applyNumberFormat="1" applyFont="1" applyFill="1" applyAlignment="1">
      <alignment horizontal="center" wrapText="1"/>
    </xf>
    <xf numFmtId="0" fontId="62" fillId="0" borderId="0" xfId="0" applyFont="1"/>
    <xf numFmtId="0" fontId="9" fillId="0" borderId="1" xfId="0" applyFont="1" applyFill="1" applyBorder="1" applyAlignment="1">
      <alignment horizontal="center" wrapText="1"/>
    </xf>
    <xf numFmtId="0" fontId="13" fillId="0" borderId="0" xfId="0" applyFont="1" applyFill="1" applyAlignment="1">
      <alignment horizontal="center" vertical="top" wrapText="1"/>
    </xf>
    <xf numFmtId="0" fontId="13" fillId="0" borderId="0" xfId="0" applyFont="1" applyFill="1" applyAlignment="1">
      <alignment vertical="top" wrapText="1"/>
    </xf>
    <xf numFmtId="168" fontId="9" fillId="20" borderId="9" xfId="0" applyNumberFormat="1" applyFont="1" applyFill="1" applyBorder="1" applyAlignment="1">
      <alignment horizontal="right" wrapText="1"/>
    </xf>
    <xf numFmtId="4" fontId="12" fillId="20" borderId="9" xfId="0" applyNumberFormat="1" applyFont="1" applyFill="1" applyBorder="1"/>
    <xf numFmtId="0" fontId="12" fillId="20" borderId="0" xfId="0" applyFont="1" applyFill="1"/>
    <xf numFmtId="4" fontId="63" fillId="0" borderId="0" xfId="0" applyNumberFormat="1" applyFont="1"/>
    <xf numFmtId="0" fontId="62" fillId="0" borderId="0" xfId="0" applyFont="1" applyFill="1" applyAlignment="1">
      <alignment horizontal="center" wrapText="1"/>
    </xf>
    <xf numFmtId="0" fontId="13" fillId="0" borderId="0" xfId="0" applyNumberFormat="1" applyFont="1" applyAlignment="1">
      <alignment horizontal="left" vertical="center" wrapText="1"/>
    </xf>
    <xf numFmtId="174" fontId="9" fillId="0" borderId="9" xfId="1" applyNumberFormat="1" applyFont="1" applyFill="1" applyBorder="1"/>
    <xf numFmtId="174" fontId="12" fillId="0" borderId="9" xfId="1" applyNumberFormat="1" applyFont="1" applyFill="1" applyBorder="1"/>
    <xf numFmtId="174" fontId="12" fillId="0" borderId="9" xfId="1" applyNumberFormat="1" applyFont="1" applyFill="1" applyBorder="1" applyAlignment="1">
      <alignment horizontal="center"/>
    </xf>
    <xf numFmtId="2" fontId="12" fillId="0" borderId="9" xfId="1" applyNumberFormat="1" applyFont="1" applyFill="1" applyBorder="1"/>
    <xf numFmtId="174" fontId="9" fillId="0" borderId="9" xfId="1" applyNumberFormat="1" applyFont="1" applyFill="1" applyBorder="1" applyAlignment="1">
      <alignment vertical="center" wrapText="1"/>
    </xf>
    <xf numFmtId="174" fontId="0" fillId="0" borderId="0" xfId="0" applyNumberFormat="1"/>
    <xf numFmtId="169" fontId="9" fillId="21" borderId="9" xfId="0" applyNumberFormat="1" applyFont="1" applyFill="1" applyBorder="1" applyAlignment="1">
      <alignment horizontal="right"/>
    </xf>
    <xf numFmtId="4" fontId="12" fillId="21" borderId="9" xfId="0" applyNumberFormat="1" applyFont="1" applyFill="1" applyBorder="1"/>
    <xf numFmtId="164" fontId="66" fillId="0" borderId="0" xfId="0" applyNumberFormat="1" applyFont="1" applyProtection="1"/>
    <xf numFmtId="0" fontId="10" fillId="0" borderId="9" xfId="0" applyFont="1" applyBorder="1" applyAlignment="1">
      <alignment wrapText="1"/>
    </xf>
    <xf numFmtId="0" fontId="9" fillId="0" borderId="9" xfId="20" applyNumberFormat="1" applyFont="1" applyFill="1" applyBorder="1" applyAlignment="1" applyProtection="1">
      <alignment horizontal="justify" vertical="center"/>
    </xf>
    <xf numFmtId="169" fontId="67" fillId="0" borderId="0" xfId="20" applyNumberFormat="1" applyFont="1" applyProtection="1"/>
    <xf numFmtId="169" fontId="18" fillId="0" borderId="0" xfId="20" applyNumberFormat="1" applyFont="1" applyProtection="1"/>
    <xf numFmtId="4" fontId="68" fillId="0" borderId="0" xfId="0" applyNumberFormat="1" applyFont="1"/>
    <xf numFmtId="0" fontId="69" fillId="0" borderId="0" xfId="0" applyFont="1"/>
    <xf numFmtId="164" fontId="69" fillId="0" borderId="0" xfId="0" applyNumberFormat="1" applyFont="1"/>
    <xf numFmtId="164" fontId="44" fillId="0" borderId="0" xfId="0" applyNumberFormat="1" applyFont="1"/>
    <xf numFmtId="164" fontId="69" fillId="0" borderId="0" xfId="0" applyNumberFormat="1" applyFont="1" applyFill="1"/>
    <xf numFmtId="0" fontId="59" fillId="4" borderId="0" xfId="0" applyFont="1" applyFill="1"/>
    <xf numFmtId="164" fontId="69" fillId="4" borderId="0" xfId="0" applyNumberFormat="1" applyFont="1" applyFill="1"/>
    <xf numFmtId="4" fontId="9" fillId="20" borderId="9" xfId="0" applyNumberFormat="1" applyFont="1" applyFill="1" applyBorder="1"/>
    <xf numFmtId="175" fontId="9" fillId="0" borderId="9" xfId="0" applyNumberFormat="1" applyFont="1" applyBorder="1" applyAlignment="1">
      <alignment vertical="center" wrapText="1"/>
    </xf>
    <xf numFmtId="0" fontId="40" fillId="0" borderId="9" xfId="0" applyFont="1" applyBorder="1" applyAlignment="1">
      <alignment vertical="top" wrapText="1"/>
    </xf>
    <xf numFmtId="165" fontId="13" fillId="0" borderId="9" xfId="0" applyNumberFormat="1" applyFont="1" applyFill="1" applyBorder="1" applyAlignment="1">
      <alignment horizontal="center" vertical="top" wrapText="1"/>
    </xf>
    <xf numFmtId="0" fontId="36" fillId="0" borderId="9" xfId="0" applyNumberFormat="1" applyFont="1" applyFill="1" applyBorder="1" applyAlignment="1">
      <alignment vertical="center" wrapText="1"/>
    </xf>
    <xf numFmtId="0" fontId="70" fillId="8" borderId="9" xfId="0" applyFont="1" applyFill="1" applyBorder="1" applyAlignment="1">
      <alignment vertical="top" wrapText="1"/>
    </xf>
    <xf numFmtId="168" fontId="8" fillId="21" borderId="9" xfId="0" applyNumberFormat="1" applyFont="1" applyFill="1" applyBorder="1" applyAlignment="1">
      <alignment horizontal="right" wrapText="1"/>
    </xf>
    <xf numFmtId="4" fontId="12" fillId="4" borderId="0" xfId="0" applyNumberFormat="1" applyFont="1" applyFill="1"/>
    <xf numFmtId="0" fontId="12" fillId="4" borderId="0" xfId="0" applyFont="1" applyFill="1"/>
    <xf numFmtId="164" fontId="19" fillId="4" borderId="0" xfId="0" applyNumberFormat="1" applyFont="1" applyFill="1"/>
    <xf numFmtId="0" fontId="71" fillId="0" borderId="0" xfId="0" applyFont="1" applyFill="1"/>
    <xf numFmtId="167" fontId="9" fillId="21" borderId="9" xfId="0" applyNumberFormat="1" applyFont="1" applyFill="1" applyBorder="1" applyAlignment="1">
      <alignment horizontal="left" wrapText="1"/>
    </xf>
    <xf numFmtId="168" fontId="9" fillId="21" borderId="9" xfId="0" applyNumberFormat="1" applyFont="1" applyFill="1" applyBorder="1" applyAlignment="1">
      <alignment horizontal="right" wrapText="1"/>
    </xf>
    <xf numFmtId="169" fontId="9" fillId="4" borderId="9" xfId="0" applyNumberFormat="1" applyFont="1" applyFill="1" applyBorder="1" applyAlignment="1">
      <alignment horizontal="right"/>
    </xf>
    <xf numFmtId="168" fontId="9" fillId="4" borderId="9" xfId="0" applyNumberFormat="1" applyFont="1" applyFill="1" applyBorder="1" applyAlignment="1">
      <alignment horizontal="right" wrapText="1"/>
    </xf>
    <xf numFmtId="4" fontId="12" fillId="0" borderId="0" xfId="0" applyNumberFormat="1" applyFont="1" applyFill="1"/>
    <xf numFmtId="4" fontId="19" fillId="0" borderId="0" xfId="0" applyNumberFormat="1" applyFont="1"/>
    <xf numFmtId="176" fontId="12" fillId="4" borderId="0" xfId="0" applyNumberFormat="1" applyFont="1" applyFill="1"/>
    <xf numFmtId="0" fontId="10" fillId="8" borderId="9" xfId="0" applyFont="1" applyFill="1" applyBorder="1"/>
    <xf numFmtId="0" fontId="10" fillId="8" borderId="9" xfId="0" applyFont="1" applyFill="1" applyBorder="1" applyAlignment="1">
      <alignment wrapText="1"/>
    </xf>
    <xf numFmtId="0" fontId="56" fillId="0" borderId="9" xfId="0" applyFont="1" applyBorder="1" applyAlignment="1">
      <alignment horizontal="left" vertical="distributed" wrapText="1"/>
    </xf>
    <xf numFmtId="0" fontId="27" fillId="0" borderId="8" xfId="0" applyNumberFormat="1" applyFont="1" applyFill="1" applyBorder="1" applyAlignment="1">
      <alignment vertical="center" wrapText="1"/>
    </xf>
    <xf numFmtId="164" fontId="12" fillId="9" borderId="9" xfId="0" applyNumberFormat="1" applyFont="1" applyFill="1" applyBorder="1"/>
    <xf numFmtId="0" fontId="35" fillId="0" borderId="9" xfId="4" applyFont="1" applyBorder="1" applyAlignment="1">
      <alignment vertical="center" wrapText="1"/>
    </xf>
    <xf numFmtId="0" fontId="26" fillId="0" borderId="9" xfId="4" applyFont="1" applyFill="1" applyBorder="1" applyAlignment="1">
      <alignment horizontal="left" vertical="center" wrapText="1"/>
    </xf>
    <xf numFmtId="4" fontId="9" fillId="0" borderId="10" xfId="4" applyNumberFormat="1" applyFont="1" applyFill="1" applyBorder="1" applyAlignment="1" applyProtection="1">
      <alignment horizontal="center" vertical="center" wrapText="1"/>
      <protection hidden="1"/>
    </xf>
    <xf numFmtId="0" fontId="23" fillId="0" borderId="9" xfId="4" applyFont="1" applyFill="1" applyBorder="1" applyAlignment="1">
      <alignment vertical="center" wrapText="1"/>
    </xf>
    <xf numFmtId="4" fontId="9" fillId="0" borderId="0" xfId="0" applyNumberFormat="1" applyFont="1" applyFill="1"/>
    <xf numFmtId="4" fontId="15" fillId="0" borderId="0" xfId="0" applyNumberFormat="1" applyFont="1" applyFill="1"/>
    <xf numFmtId="4" fontId="9" fillId="0" borderId="10" xfId="4" applyNumberFormat="1" applyFont="1" applyFill="1" applyBorder="1" applyAlignment="1">
      <alignment horizontal="center" vertical="center" wrapText="1"/>
    </xf>
    <xf numFmtId="0" fontId="8" fillId="0" borderId="9" xfId="4" applyFont="1" applyFill="1" applyBorder="1" applyAlignment="1">
      <alignment horizontal="justify" wrapText="1"/>
    </xf>
    <xf numFmtId="0" fontId="25" fillId="0" borderId="0" xfId="0" applyFont="1" applyFill="1"/>
    <xf numFmtId="0" fontId="29" fillId="0" borderId="9" xfId="4" applyFont="1" applyFill="1" applyBorder="1" applyAlignment="1">
      <alignment vertical="center" wrapText="1"/>
    </xf>
    <xf numFmtId="164" fontId="73" fillId="0" borderId="0" xfId="0" applyNumberFormat="1" applyFont="1"/>
    <xf numFmtId="164" fontId="74" fillId="0" borderId="0" xfId="0" applyNumberFormat="1" applyFont="1"/>
    <xf numFmtId="0" fontId="9" fillId="0" borderId="9" xfId="4" applyFont="1" applyFill="1" applyBorder="1" applyAlignment="1">
      <alignment horizontal="left" vertical="top" wrapText="1"/>
    </xf>
    <xf numFmtId="174" fontId="12" fillId="0" borderId="9" xfId="0" applyNumberFormat="1" applyFont="1" applyFill="1" applyBorder="1"/>
    <xf numFmtId="2" fontId="12" fillId="0" borderId="9" xfId="0" applyNumberFormat="1" applyFont="1" applyFill="1" applyBorder="1" applyAlignment="1">
      <alignment horizontal="center" vertical="center"/>
    </xf>
    <xf numFmtId="164" fontId="9" fillId="9" borderId="9" xfId="1" applyFont="1" applyFill="1" applyBorder="1"/>
    <xf numFmtId="166" fontId="9" fillId="0" borderId="9" xfId="0" applyNumberFormat="1" applyFont="1" applyFill="1" applyBorder="1" applyAlignment="1">
      <alignment horizontal="center" vertical="center" wrapText="1"/>
    </xf>
    <xf numFmtId="169" fontId="9" fillId="0" borderId="9" xfId="0" applyNumberFormat="1" applyFont="1" applyFill="1" applyBorder="1" applyAlignment="1">
      <alignment horizontal="center" vertical="center" wrapText="1"/>
    </xf>
    <xf numFmtId="2" fontId="12" fillId="0" borderId="9" xfId="0" applyNumberFormat="1" applyFont="1" applyFill="1" applyBorder="1"/>
    <xf numFmtId="2" fontId="12" fillId="0" borderId="9" xfId="0" applyNumberFormat="1" applyFont="1" applyFill="1" applyBorder="1" applyAlignment="1">
      <alignment horizontal="center"/>
    </xf>
    <xf numFmtId="164" fontId="75" fillId="0" borderId="9" xfId="0" applyNumberFormat="1" applyFont="1" applyFill="1" applyBorder="1"/>
    <xf numFmtId="0" fontId="65" fillId="0" borderId="0" xfId="0" applyFont="1" applyFill="1" applyAlignment="1">
      <alignment wrapText="1"/>
    </xf>
    <xf numFmtId="0" fontId="9" fillId="9" borderId="0" xfId="0" applyFont="1" applyFill="1" applyAlignment="1">
      <alignment wrapText="1"/>
    </xf>
    <xf numFmtId="0" fontId="9" fillId="9" borderId="1" xfId="0" applyFont="1" applyFill="1" applyBorder="1" applyAlignment="1">
      <alignment horizontal="center" wrapText="1"/>
    </xf>
    <xf numFmtId="0" fontId="9" fillId="9" borderId="0" xfId="0" applyFont="1" applyFill="1" applyAlignment="1">
      <alignment horizontal="center" wrapText="1"/>
    </xf>
    <xf numFmtId="0" fontId="13" fillId="9" borderId="0" xfId="0" applyFont="1" applyFill="1" applyAlignment="1">
      <alignment horizontal="center" vertical="top" wrapText="1"/>
    </xf>
    <xf numFmtId="0" fontId="13" fillId="9" borderId="0" xfId="0" applyFont="1" applyFill="1" applyAlignment="1">
      <alignment vertical="top" wrapText="1"/>
    </xf>
    <xf numFmtId="0" fontId="9" fillId="9" borderId="0" xfId="0" applyFont="1" applyFill="1" applyAlignment="1">
      <alignment horizontal="left" vertical="top" wrapText="1"/>
    </xf>
    <xf numFmtId="0" fontId="14" fillId="9" borderId="0" xfId="0" applyFont="1" applyFill="1"/>
    <xf numFmtId="0" fontId="0" fillId="9" borderId="0" xfId="0" applyFill="1"/>
    <xf numFmtId="0" fontId="12" fillId="0" borderId="9" xfId="0" applyFont="1" applyFill="1" applyBorder="1" applyAlignment="1">
      <alignment vertical="top" wrapText="1"/>
    </xf>
    <xf numFmtId="0" fontId="55" fillId="0" borderId="9" xfId="0" applyFont="1" applyBorder="1" applyAlignment="1">
      <alignment horizontal="justify" vertical="top" wrapText="1"/>
    </xf>
    <xf numFmtId="0" fontId="35" fillId="0" borderId="2" xfId="0" applyFont="1" applyFill="1" applyBorder="1" applyAlignment="1">
      <alignment horizontal="justify" vertical="top" wrapText="1"/>
    </xf>
    <xf numFmtId="169" fontId="9" fillId="0" borderId="9" xfId="0" applyNumberFormat="1" applyFont="1" applyFill="1" applyBorder="1" applyAlignment="1">
      <alignment horizontal="right"/>
    </xf>
    <xf numFmtId="167" fontId="9" fillId="0" borderId="9" xfId="0" applyNumberFormat="1" applyFont="1" applyFill="1" applyBorder="1" applyAlignment="1">
      <alignment horizontal="left" vertical="top" wrapText="1"/>
    </xf>
    <xf numFmtId="168" fontId="8" fillId="0" borderId="9" xfId="0" applyNumberFormat="1" applyFont="1" applyFill="1" applyBorder="1" applyAlignment="1">
      <alignment wrapText="1"/>
    </xf>
    <xf numFmtId="169" fontId="9" fillId="0" borderId="9" xfId="0" applyNumberFormat="1" applyFont="1" applyFill="1" applyBorder="1"/>
    <xf numFmtId="0" fontId="12" fillId="0" borderId="9" xfId="0" applyFont="1" applyFill="1" applyBorder="1" applyAlignment="1">
      <alignment wrapText="1"/>
    </xf>
    <xf numFmtId="169" fontId="12" fillId="0" borderId="0" xfId="0" applyNumberFormat="1" applyFont="1" applyFill="1"/>
    <xf numFmtId="168" fontId="19" fillId="0" borderId="9" xfId="0" applyNumberFormat="1" applyFont="1" applyFill="1" applyBorder="1" applyAlignment="1">
      <alignment horizontal="right" wrapText="1"/>
    </xf>
    <xf numFmtId="168" fontId="12" fillId="0" borderId="9" xfId="0" applyNumberFormat="1" applyFont="1" applyFill="1" applyBorder="1" applyAlignment="1">
      <alignment horizontal="right" wrapText="1"/>
    </xf>
    <xf numFmtId="169" fontId="12" fillId="0" borderId="9" xfId="0" applyNumberFormat="1" applyFont="1" applyFill="1" applyBorder="1" applyAlignment="1">
      <alignment horizontal="right"/>
    </xf>
    <xf numFmtId="169" fontId="12" fillId="0" borderId="9" xfId="0" applyNumberFormat="1" applyFont="1" applyFill="1" applyBorder="1"/>
    <xf numFmtId="168" fontId="16" fillId="11" borderId="9" xfId="0" applyNumberFormat="1" applyFont="1" applyFill="1" applyBorder="1" applyAlignment="1">
      <alignment horizontal="right" wrapText="1"/>
    </xf>
    <xf numFmtId="168" fontId="10" fillId="12" borderId="9" xfId="0" applyNumberFormat="1" applyFont="1" applyFill="1" applyBorder="1" applyAlignment="1">
      <alignment horizontal="right" wrapText="1"/>
    </xf>
    <xf numFmtId="167" fontId="19" fillId="0" borderId="9" xfId="0" applyNumberFormat="1" applyFont="1" applyFill="1" applyBorder="1" applyAlignment="1">
      <alignment horizontal="left" wrapText="1"/>
    </xf>
    <xf numFmtId="167" fontId="9" fillId="4" borderId="9" xfId="0" applyNumberFormat="1" applyFont="1" applyFill="1" applyBorder="1" applyAlignment="1">
      <alignment horizontal="left" vertical="top" wrapText="1"/>
    </xf>
    <xf numFmtId="168" fontId="19" fillId="8" borderId="9" xfId="0" applyNumberFormat="1" applyFont="1" applyFill="1" applyBorder="1" applyAlignment="1">
      <alignment horizontal="right" wrapText="1"/>
    </xf>
    <xf numFmtId="168" fontId="12" fillId="8" borderId="9" xfId="0" applyNumberFormat="1" applyFont="1" applyFill="1" applyBorder="1" applyAlignment="1">
      <alignment horizontal="right" wrapText="1"/>
    </xf>
    <xf numFmtId="2" fontId="9" fillId="0" borderId="0" xfId="0" applyNumberFormat="1" applyFont="1"/>
    <xf numFmtId="168" fontId="10" fillId="10" borderId="9" xfId="0" applyNumberFormat="1" applyFont="1" applyFill="1" applyBorder="1" applyAlignment="1">
      <alignment horizontal="right" wrapText="1"/>
    </xf>
    <xf numFmtId="2" fontId="10" fillId="0" borderId="0" xfId="0" applyNumberFormat="1" applyFont="1"/>
    <xf numFmtId="168" fontId="8" fillId="25" borderId="9" xfId="0" applyNumberFormat="1" applyFont="1" applyFill="1" applyBorder="1" applyAlignment="1">
      <alignment horizontal="right" wrapText="1"/>
    </xf>
    <xf numFmtId="168" fontId="16" fillId="25" borderId="9" xfId="0" applyNumberFormat="1" applyFont="1" applyFill="1" applyBorder="1" applyAlignment="1">
      <alignment horizontal="right" wrapText="1"/>
    </xf>
    <xf numFmtId="168" fontId="9" fillId="25" borderId="9" xfId="0" applyNumberFormat="1" applyFont="1" applyFill="1" applyBorder="1" applyAlignment="1">
      <alignment horizontal="right" wrapText="1"/>
    </xf>
    <xf numFmtId="169" fontId="9" fillId="25" borderId="9" xfId="0" applyNumberFormat="1" applyFont="1" applyFill="1" applyBorder="1" applyAlignment="1">
      <alignment horizontal="right"/>
    </xf>
    <xf numFmtId="169" fontId="9" fillId="25" borderId="9" xfId="0" applyNumberFormat="1" applyFont="1" applyFill="1" applyBorder="1"/>
    <xf numFmtId="168" fontId="8" fillId="25" borderId="9" xfId="0" applyNumberFormat="1" applyFont="1" applyFill="1" applyBorder="1" applyAlignment="1">
      <alignment wrapText="1"/>
    </xf>
    <xf numFmtId="0" fontId="0" fillId="0" borderId="9" xfId="0" applyBorder="1" applyAlignment="1">
      <alignment vertical="top" wrapText="1"/>
    </xf>
    <xf numFmtId="0" fontId="9" fillId="0" borderId="0" xfId="0" applyFont="1" applyFill="1" applyAlignment="1">
      <alignment horizontal="center" wrapText="1"/>
    </xf>
    <xf numFmtId="0" fontId="8" fillId="0" borderId="9" xfId="4" applyFont="1" applyFill="1" applyBorder="1" applyAlignment="1">
      <alignment horizontal="left" vertical="top" wrapText="1"/>
    </xf>
    <xf numFmtId="0" fontId="13" fillId="9" borderId="9" xfId="23" applyFont="1" applyFill="1" applyBorder="1" applyAlignment="1">
      <alignment horizontal="left" vertical="center" wrapText="1"/>
    </xf>
    <xf numFmtId="0" fontId="13" fillId="9" borderId="9" xfId="23" applyFont="1" applyFill="1" applyBorder="1" applyAlignment="1">
      <alignment horizontal="right" vertical="center" wrapText="1"/>
    </xf>
    <xf numFmtId="4" fontId="9" fillId="0" borderId="9" xfId="0" applyNumberFormat="1" applyFont="1" applyFill="1" applyBorder="1" applyAlignment="1">
      <alignment horizontal="left" vertical="center" wrapText="1"/>
    </xf>
    <xf numFmtId="4" fontId="78" fillId="0" borderId="9" xfId="0" applyNumberFormat="1" applyFont="1" applyBorder="1" applyAlignment="1">
      <alignment horizontal="left" vertical="center" wrapText="1"/>
    </xf>
    <xf numFmtId="4" fontId="76" fillId="0" borderId="9" xfId="0" applyNumberFormat="1" applyFont="1" applyBorder="1" applyAlignment="1">
      <alignment horizontal="left" vertical="center" wrapText="1"/>
    </xf>
    <xf numFmtId="4" fontId="55" fillId="0" borderId="9" xfId="0" applyNumberFormat="1" applyFont="1" applyBorder="1" applyAlignment="1">
      <alignment horizontal="left" vertical="center" wrapText="1"/>
    </xf>
    <xf numFmtId="0" fontId="77" fillId="0" borderId="9" xfId="0" applyFont="1" applyBorder="1" applyAlignment="1">
      <alignment horizontal="left" vertical="center" wrapText="1"/>
    </xf>
    <xf numFmtId="0" fontId="55" fillId="8" borderId="9" xfId="0" applyFont="1" applyFill="1" applyBorder="1"/>
    <xf numFmtId="0" fontId="35" fillId="8" borderId="9" xfId="4" applyFont="1" applyFill="1" applyBorder="1" applyAlignment="1">
      <alignment vertical="center" wrapText="1"/>
    </xf>
    <xf numFmtId="0" fontId="9" fillId="9" borderId="0" xfId="0" applyFont="1" applyFill="1"/>
    <xf numFmtId="4" fontId="9" fillId="9" borderId="0" xfId="0" applyNumberFormat="1" applyFont="1" applyFill="1"/>
    <xf numFmtId="0" fontId="13" fillId="0" borderId="0" xfId="0" applyNumberFormat="1" applyFont="1" applyFill="1" applyAlignment="1">
      <alignment horizontal="center" vertical="top" wrapText="1"/>
    </xf>
    <xf numFmtId="4" fontId="64" fillId="0" borderId="0" xfId="0" applyNumberFormat="1" applyFont="1" applyFill="1" applyAlignment="1">
      <alignment horizontal="center" vertical="top" wrapText="1"/>
    </xf>
    <xf numFmtId="0" fontId="13" fillId="0" borderId="0" xfId="0" applyNumberFormat="1" applyFont="1" applyFill="1" applyAlignment="1">
      <alignment vertical="center" wrapText="1"/>
    </xf>
    <xf numFmtId="0" fontId="13" fillId="0" borderId="0" xfId="0" applyNumberFormat="1" applyFont="1" applyFill="1" applyAlignment="1">
      <alignment horizontal="left" vertical="center" wrapText="1"/>
    </xf>
    <xf numFmtId="168" fontId="16" fillId="0" borderId="9" xfId="0" applyNumberFormat="1" applyFont="1" applyBorder="1" applyAlignment="1">
      <alignment wrapText="1"/>
    </xf>
    <xf numFmtId="167" fontId="9" fillId="4" borderId="9" xfId="0" applyNumberFormat="1" applyFont="1" applyFill="1" applyBorder="1" applyAlignment="1">
      <alignment horizontal="left" vertical="center" wrapText="1"/>
    </xf>
    <xf numFmtId="0" fontId="13" fillId="0" borderId="8" xfId="22" applyFont="1" applyBorder="1" applyAlignment="1">
      <alignment horizontal="left" vertical="center"/>
    </xf>
    <xf numFmtId="0" fontId="13" fillId="0" borderId="5" xfId="22" applyFont="1" applyBorder="1" applyAlignment="1">
      <alignment horizontal="left"/>
    </xf>
    <xf numFmtId="0" fontId="13" fillId="0" borderId="8" xfId="22" applyFont="1" applyBorder="1" applyAlignment="1">
      <alignment horizontal="left"/>
    </xf>
    <xf numFmtId="0" fontId="28" fillId="0" borderId="8" xfId="22" applyFont="1" applyBorder="1" applyAlignment="1">
      <alignment horizontal="left" vertical="center"/>
    </xf>
    <xf numFmtId="0" fontId="13" fillId="0" borderId="10" xfId="22" applyFont="1" applyBorder="1" applyAlignment="1">
      <alignment horizontal="left" vertical="center"/>
    </xf>
    <xf numFmtId="167" fontId="79" fillId="10" borderId="9" xfId="0" applyNumberFormat="1" applyFont="1" applyFill="1" applyBorder="1" applyAlignment="1">
      <alignment horizontal="left" wrapText="1"/>
    </xf>
    <xf numFmtId="167" fontId="9" fillId="10" borderId="9" xfId="0" applyNumberFormat="1" applyFont="1" applyFill="1" applyBorder="1" applyAlignment="1">
      <alignment horizontal="left" vertical="top" wrapText="1"/>
    </xf>
    <xf numFmtId="4" fontId="9" fillId="0" borderId="9" xfId="1" applyNumberFormat="1" applyFont="1" applyFill="1" applyBorder="1" applyAlignment="1">
      <alignment vertical="center" wrapText="1"/>
    </xf>
    <xf numFmtId="4" fontId="9" fillId="0" borderId="9" xfId="1" applyNumberFormat="1" applyFont="1" applyFill="1" applyBorder="1"/>
    <xf numFmtId="4" fontId="12" fillId="0" borderId="9" xfId="0" applyNumberFormat="1" applyFont="1" applyBorder="1" applyAlignment="1">
      <alignment horizontal="center" wrapText="1"/>
    </xf>
    <xf numFmtId="4" fontId="57" fillId="0" borderId="9" xfId="0" applyNumberFormat="1" applyFont="1" applyBorder="1" applyAlignment="1">
      <alignment horizontal="center" vertical="center" wrapText="1"/>
    </xf>
    <xf numFmtId="4" fontId="12" fillId="0" borderId="9" xfId="1" applyNumberFormat="1" applyFont="1" applyFill="1" applyBorder="1"/>
    <xf numFmtId="4" fontId="10" fillId="0" borderId="9" xfId="0" applyNumberFormat="1" applyFont="1" applyFill="1" applyBorder="1"/>
    <xf numFmtId="164" fontId="79" fillId="0" borderId="9" xfId="1" applyFont="1" applyFill="1" applyBorder="1" applyAlignment="1"/>
    <xf numFmtId="177" fontId="12" fillId="0" borderId="9" xfId="0" applyNumberFormat="1" applyFont="1" applyBorder="1"/>
    <xf numFmtId="177" fontId="9" fillId="0" borderId="9" xfId="1" applyNumberFormat="1" applyFont="1" applyFill="1" applyBorder="1"/>
    <xf numFmtId="177" fontId="12" fillId="0" borderId="9" xfId="1" applyNumberFormat="1" applyFont="1" applyFill="1" applyBorder="1"/>
    <xf numFmtId="0" fontId="13" fillId="9" borderId="9" xfId="0" applyFont="1" applyFill="1" applyBorder="1" applyAlignment="1">
      <alignment vertical="center" wrapText="1"/>
    </xf>
    <xf numFmtId="0" fontId="13" fillId="0" borderId="9" xfId="0" applyFont="1" applyBorder="1" applyAlignment="1">
      <alignment vertical="center" wrapText="1"/>
    </xf>
    <xf numFmtId="0" fontId="40" fillId="0" borderId="9" xfId="0" applyFont="1" applyBorder="1" applyAlignment="1">
      <alignment vertical="center" wrapText="1"/>
    </xf>
    <xf numFmtId="0" fontId="13" fillId="9" borderId="9" xfId="0" applyFont="1" applyFill="1" applyBorder="1" applyAlignment="1">
      <alignment horizontal="justify" vertical="center" wrapText="1"/>
    </xf>
    <xf numFmtId="168" fontId="12" fillId="12" borderId="9" xfId="0" applyNumberFormat="1" applyFont="1" applyFill="1" applyBorder="1" applyAlignment="1">
      <alignment horizontal="right" wrapText="1"/>
    </xf>
    <xf numFmtId="0" fontId="80" fillId="0" borderId="0" xfId="0" applyFont="1"/>
    <xf numFmtId="4" fontId="81" fillId="0" borderId="9" xfId="4" applyNumberFormat="1" applyFont="1" applyFill="1" applyBorder="1" applyAlignment="1" applyProtection="1">
      <alignment horizontal="center" vertical="center" wrapText="1"/>
    </xf>
    <xf numFmtId="168" fontId="19" fillId="11" borderId="9" xfId="0" applyNumberFormat="1" applyFont="1" applyFill="1" applyBorder="1" applyAlignment="1">
      <alignment horizontal="right" wrapText="1"/>
    </xf>
    <xf numFmtId="167" fontId="10" fillId="0" borderId="9" xfId="0" applyNumberFormat="1" applyFont="1" applyFill="1" applyBorder="1" applyAlignment="1">
      <alignment horizontal="left" wrapText="1"/>
    </xf>
    <xf numFmtId="0" fontId="13" fillId="0" borderId="5" xfId="23" applyFont="1" applyBorder="1" applyAlignment="1">
      <alignment horizontal="left" vertical="center" wrapText="1"/>
    </xf>
    <xf numFmtId="4" fontId="13" fillId="0" borderId="11" xfId="23" applyNumberFormat="1" applyFont="1" applyBorder="1" applyAlignment="1">
      <alignment horizontal="center" vertical="center" wrapText="1"/>
    </xf>
    <xf numFmtId="172" fontId="13" fillId="0" borderId="11" xfId="23" applyNumberFormat="1" applyFont="1" applyBorder="1" applyAlignment="1">
      <alignment horizontal="center" vertical="center" wrapText="1"/>
    </xf>
    <xf numFmtId="4" fontId="13" fillId="0" borderId="11" xfId="20" applyNumberFormat="1" applyFont="1" applyBorder="1" applyAlignment="1">
      <alignment horizontal="center" vertical="center"/>
    </xf>
    <xf numFmtId="172" fontId="13" fillId="0" borderId="12" xfId="23" applyNumberFormat="1" applyFont="1" applyBorder="1" applyAlignment="1">
      <alignment horizontal="center" vertical="center" wrapText="1"/>
    </xf>
    <xf numFmtId="0" fontId="28" fillId="0" borderId="5" xfId="23" applyFont="1" applyBorder="1" applyAlignment="1">
      <alignment horizontal="left" vertical="center" wrapText="1"/>
    </xf>
    <xf numFmtId="0" fontId="28" fillId="15" borderId="10" xfId="20" applyFont="1" applyFill="1" applyBorder="1" applyAlignment="1">
      <alignment horizontal="left" vertical="center" wrapText="1"/>
    </xf>
    <xf numFmtId="0" fontId="28" fillId="15" borderId="13" xfId="20" applyFont="1" applyFill="1" applyBorder="1" applyAlignment="1">
      <alignment horizontal="left" vertical="center" wrapText="1"/>
    </xf>
    <xf numFmtId="168" fontId="9" fillId="8" borderId="2" xfId="0" applyNumberFormat="1" applyFont="1" applyFill="1" applyBorder="1" applyAlignment="1">
      <alignment horizontal="right" wrapText="1"/>
    </xf>
    <xf numFmtId="168" fontId="9" fillId="8" borderId="8" xfId="0" applyNumberFormat="1" applyFont="1" applyFill="1" applyBorder="1" applyAlignment="1">
      <alignment horizontal="right" wrapText="1"/>
    </xf>
    <xf numFmtId="4" fontId="9" fillId="26" borderId="9" xfId="0" applyNumberFormat="1" applyFont="1" applyFill="1" applyBorder="1" applyAlignment="1" applyProtection="1">
      <alignment horizontal="right" vertical="center"/>
      <protection hidden="1"/>
    </xf>
    <xf numFmtId="0" fontId="13" fillId="9" borderId="9" xfId="0" applyFont="1" applyFill="1" applyBorder="1" applyAlignment="1">
      <alignment horizontal="left" vertical="center" wrapText="1"/>
    </xf>
    <xf numFmtId="43" fontId="13" fillId="9" borderId="9" xfId="3" applyFont="1" applyFill="1" applyBorder="1" applyAlignment="1" applyProtection="1">
      <alignment vertical="center" wrapText="1"/>
    </xf>
    <xf numFmtId="0" fontId="13" fillId="0" borderId="2" xfId="0" applyFont="1" applyFill="1" applyBorder="1" applyAlignment="1">
      <alignment horizontal="justify" vertical="top" wrapText="1"/>
    </xf>
    <xf numFmtId="0" fontId="28" fillId="0" borderId="9" xfId="0" applyFont="1" applyFill="1" applyBorder="1" applyAlignment="1">
      <alignment horizontal="left" vertical="center" wrapText="1"/>
    </xf>
    <xf numFmtId="43" fontId="13" fillId="0" borderId="9" xfId="3" applyFont="1" applyFill="1" applyBorder="1" applyAlignment="1" applyProtection="1">
      <alignment vertical="center" wrapText="1"/>
    </xf>
    <xf numFmtId="0" fontId="13" fillId="0" borderId="5" xfId="0" applyFont="1" applyFill="1" applyBorder="1" applyAlignment="1">
      <alignment horizontal="justify" vertical="top" wrapText="1"/>
    </xf>
    <xf numFmtId="43" fontId="13" fillId="0" borderId="9" xfId="3" applyFont="1" applyFill="1" applyBorder="1" applyAlignment="1" applyProtection="1">
      <alignment wrapText="1"/>
    </xf>
    <xf numFmtId="0" fontId="46" fillId="0" borderId="9" xfId="0" applyFont="1" applyFill="1" applyBorder="1" applyAlignment="1">
      <alignment horizontal="left" vertical="center" wrapText="1"/>
    </xf>
    <xf numFmtId="0" fontId="13" fillId="0" borderId="8" xfId="0" applyFont="1" applyFill="1" applyBorder="1" applyAlignment="1">
      <alignment horizontal="justify" vertical="top" wrapText="1"/>
    </xf>
    <xf numFmtId="0" fontId="13" fillId="2" borderId="9" xfId="36" applyFont="1" applyFill="1" applyBorder="1" applyAlignment="1">
      <alignment horizontal="justify" vertical="center" wrapText="1"/>
    </xf>
    <xf numFmtId="164" fontId="9" fillId="0" borderId="9" xfId="0" applyNumberFormat="1" applyFont="1" applyBorder="1"/>
    <xf numFmtId="171" fontId="40" fillId="0" borderId="9" xfId="0" applyNumberFormat="1" applyFont="1" applyFill="1" applyBorder="1" applyAlignment="1">
      <alignment horizontal="center" vertical="center" wrapText="1"/>
    </xf>
    <xf numFmtId="164" fontId="10" fillId="0" borderId="9" xfId="0" applyNumberFormat="1" applyFont="1" applyBorder="1"/>
    <xf numFmtId="164" fontId="12" fillId="23" borderId="9" xfId="0" applyNumberFormat="1" applyFont="1" applyFill="1" applyBorder="1"/>
    <xf numFmtId="164" fontId="9" fillId="23" borderId="9" xfId="1" applyFont="1" applyFill="1" applyBorder="1" applyAlignment="1">
      <alignment vertical="center" wrapText="1"/>
    </xf>
    <xf numFmtId="164" fontId="9" fillId="23" borderId="9" xfId="1" applyFont="1" applyFill="1" applyBorder="1"/>
    <xf numFmtId="164" fontId="9" fillId="23" borderId="9" xfId="0" applyNumberFormat="1" applyFont="1" applyFill="1" applyBorder="1"/>
    <xf numFmtId="164" fontId="10" fillId="23" borderId="9" xfId="1" applyFont="1" applyFill="1" applyBorder="1"/>
    <xf numFmtId="0" fontId="8" fillId="21" borderId="9" xfId="4" applyFont="1" applyFill="1" applyBorder="1" applyAlignment="1">
      <alignment horizontal="justify" vertical="top" wrapText="1"/>
    </xf>
    <xf numFmtId="2" fontId="9" fillId="23" borderId="9" xfId="0" applyNumberFormat="1" applyFont="1" applyFill="1" applyBorder="1"/>
    <xf numFmtId="2" fontId="9" fillId="21" borderId="9" xfId="0" applyNumberFormat="1" applyFont="1" applyFill="1" applyBorder="1"/>
    <xf numFmtId="0" fontId="13" fillId="0" borderId="5" xfId="22" applyFont="1" applyBorder="1" applyAlignment="1">
      <alignment horizontal="left" vertical="top" wrapText="1"/>
    </xf>
    <xf numFmtId="0" fontId="13" fillId="0" borderId="8" xfId="22" applyFont="1" applyBorder="1" applyAlignment="1">
      <alignment horizontal="left" vertical="top" wrapText="1"/>
    </xf>
    <xf numFmtId="4" fontId="9" fillId="0" borderId="9" xfId="0" applyNumberFormat="1" applyFont="1" applyFill="1" applyBorder="1" applyAlignment="1">
      <alignment horizontal="right" vertical="center" wrapText="1"/>
    </xf>
    <xf numFmtId="175" fontId="9" fillId="0" borderId="9" xfId="0" applyNumberFormat="1" applyFont="1" applyFill="1" applyBorder="1" applyAlignment="1">
      <alignment horizontal="right" wrapText="1"/>
    </xf>
    <xf numFmtId="0" fontId="13" fillId="0" borderId="9" xfId="0" applyFont="1" applyFill="1" applyBorder="1" applyAlignment="1">
      <alignment horizontal="justify" vertical="center" wrapText="1"/>
    </xf>
    <xf numFmtId="4" fontId="13" fillId="0" borderId="9" xfId="0" applyNumberFormat="1" applyFont="1" applyFill="1" applyBorder="1" applyAlignment="1">
      <alignment vertical="center" wrapText="1"/>
    </xf>
    <xf numFmtId="0" fontId="40" fillId="0" borderId="9" xfId="0" applyFont="1" applyFill="1" applyBorder="1" applyAlignment="1">
      <alignment vertical="center" wrapText="1"/>
    </xf>
    <xf numFmtId="0" fontId="13" fillId="0" borderId="10" xfId="20" applyFont="1" applyBorder="1" applyAlignment="1">
      <alignment horizontal="left" vertical="center" wrapText="1"/>
    </xf>
    <xf numFmtId="0" fontId="13" fillId="9" borderId="2" xfId="20" applyFont="1" applyFill="1" applyBorder="1" applyAlignment="1">
      <alignment horizontal="left" vertical="top" wrapText="1"/>
    </xf>
    <xf numFmtId="0" fontId="13" fillId="9" borderId="5" xfId="20" applyFont="1" applyFill="1" applyBorder="1" applyAlignment="1">
      <alignment horizontal="left" vertical="top" wrapText="1"/>
    </xf>
    <xf numFmtId="0" fontId="13" fillId="0" borderId="10" xfId="20" applyFont="1" applyBorder="1" applyAlignment="1">
      <alignment horizontal="left" vertical="center"/>
    </xf>
    <xf numFmtId="0" fontId="13" fillId="0" borderId="11" xfId="20" applyFont="1" applyBorder="1" applyAlignment="1">
      <alignment horizontal="left" vertical="center"/>
    </xf>
    <xf numFmtId="0" fontId="13" fillId="0" borderId="12" xfId="20" applyFont="1" applyBorder="1" applyAlignment="1">
      <alignment horizontal="left" vertical="center"/>
    </xf>
    <xf numFmtId="172" fontId="13" fillId="0" borderId="11" xfId="20" applyNumberFormat="1" applyFont="1" applyBorder="1" applyAlignment="1">
      <alignment horizontal="center" vertical="center" wrapText="1"/>
    </xf>
    <xf numFmtId="4" fontId="13" fillId="0" borderId="11" xfId="20" applyNumberFormat="1" applyFont="1" applyBorder="1" applyAlignment="1">
      <alignment horizontal="center" vertical="center" wrapText="1"/>
    </xf>
    <xf numFmtId="4" fontId="13" fillId="0" borderId="12" xfId="20" applyNumberFormat="1" applyFont="1" applyBorder="1" applyAlignment="1">
      <alignment horizontal="center" vertical="center" wrapText="1"/>
    </xf>
    <xf numFmtId="0" fontId="44" fillId="0" borderId="9" xfId="20" applyFont="1" applyBorder="1"/>
    <xf numFmtId="0" fontId="40" fillId="0" borderId="9" xfId="20" applyFont="1" applyBorder="1" applyAlignment="1">
      <alignment horizontal="left" wrapText="1"/>
    </xf>
    <xf numFmtId="2" fontId="9" fillId="0" borderId="9" xfId="0" applyNumberFormat="1" applyFont="1" applyFill="1" applyBorder="1"/>
    <xf numFmtId="0" fontId="9" fillId="0" borderId="9" xfId="4" applyFont="1" applyFill="1" applyBorder="1" applyAlignment="1">
      <alignment horizontal="justify" vertical="top" wrapText="1"/>
    </xf>
    <xf numFmtId="164" fontId="9" fillId="0" borderId="9" xfId="0" applyNumberFormat="1" applyFont="1" applyFill="1" applyBorder="1"/>
    <xf numFmtId="4" fontId="9" fillId="0" borderId="9" xfId="4" applyNumberFormat="1" applyFont="1" applyFill="1" applyBorder="1" applyAlignment="1">
      <alignment horizontal="left" vertical="top" wrapText="1"/>
    </xf>
    <xf numFmtId="4" fontId="17" fillId="0" borderId="9" xfId="4" applyNumberFormat="1" applyFont="1" applyFill="1" applyBorder="1" applyAlignment="1">
      <alignment horizontal="left" vertical="top" wrapText="1"/>
    </xf>
    <xf numFmtId="4" fontId="9" fillId="0" borderId="9" xfId="4" applyNumberFormat="1" applyFont="1" applyBorder="1" applyAlignment="1">
      <alignment horizontal="left" vertical="center" wrapText="1"/>
    </xf>
    <xf numFmtId="4" fontId="23" fillId="0" borderId="9" xfId="4" applyNumberFormat="1" applyFont="1" applyFill="1" applyBorder="1" applyAlignment="1">
      <alignment vertical="center" wrapText="1"/>
    </xf>
    <xf numFmtId="164" fontId="9" fillId="9" borderId="9" xfId="0" applyNumberFormat="1" applyFont="1" applyFill="1" applyBorder="1"/>
    <xf numFmtId="0" fontId="9" fillId="9" borderId="9" xfId="0" applyFont="1" applyFill="1" applyBorder="1"/>
    <xf numFmtId="4" fontId="8" fillId="9" borderId="10" xfId="4" applyNumberFormat="1" applyFont="1" applyFill="1" applyBorder="1" applyAlignment="1">
      <alignment horizontal="center" vertical="center" wrapText="1"/>
    </xf>
    <xf numFmtId="4" fontId="8" fillId="9" borderId="10" xfId="4" applyNumberFormat="1" applyFont="1" applyFill="1" applyBorder="1" applyAlignment="1" applyProtection="1">
      <alignment horizontal="center" vertical="center" wrapText="1"/>
      <protection hidden="1"/>
    </xf>
    <xf numFmtId="0" fontId="12" fillId="0" borderId="2" xfId="0" applyFont="1" applyBorder="1"/>
    <xf numFmtId="164" fontId="10" fillId="0" borderId="9" xfId="0" applyNumberFormat="1" applyFont="1" applyFill="1" applyBorder="1"/>
    <xf numFmtId="49" fontId="55" fillId="0" borderId="9" xfId="0" applyNumberFormat="1" applyFont="1" applyBorder="1" applyAlignment="1">
      <alignment vertical="justify" wrapText="1"/>
    </xf>
    <xf numFmtId="0" fontId="12" fillId="0" borderId="9" xfId="0" applyFont="1" applyBorder="1" applyAlignment="1">
      <alignment vertical="justify" wrapText="1"/>
    </xf>
    <xf numFmtId="4" fontId="9" fillId="2" borderId="9" xfId="4" applyNumberFormat="1" applyFont="1" applyFill="1" applyBorder="1" applyAlignment="1">
      <alignment horizontal="left" vertical="justify" wrapText="1"/>
    </xf>
    <xf numFmtId="0" fontId="55" fillId="9" borderId="9" xfId="0" applyFont="1" applyFill="1" applyBorder="1" applyAlignment="1">
      <alignment horizontal="justify" vertical="justify" wrapText="1"/>
    </xf>
    <xf numFmtId="0" fontId="27" fillId="0" borderId="9" xfId="0" applyFont="1" applyFill="1" applyBorder="1" applyAlignment="1">
      <alignment horizontal="left" vertical="center" wrapText="1"/>
    </xf>
    <xf numFmtId="178" fontId="9" fillId="0" borderId="9" xfId="0" applyNumberFormat="1" applyFont="1" applyBorder="1" applyAlignment="1">
      <alignment horizontal="right" vertical="center" wrapText="1"/>
    </xf>
    <xf numFmtId="0" fontId="8" fillId="18" borderId="9" xfId="0" applyFont="1" applyFill="1" applyBorder="1" applyAlignment="1">
      <alignment horizontal="left" vertical="top" wrapText="1"/>
    </xf>
    <xf numFmtId="2" fontId="9" fillId="18" borderId="9" xfId="0" applyNumberFormat="1" applyFont="1" applyFill="1" applyBorder="1" applyAlignment="1">
      <alignment horizontal="right" wrapText="1"/>
    </xf>
    <xf numFmtId="2" fontId="10" fillId="18" borderId="9" xfId="0" applyNumberFormat="1" applyFont="1" applyFill="1" applyBorder="1" applyAlignment="1">
      <alignment horizontal="right" wrapText="1"/>
    </xf>
    <xf numFmtId="0" fontId="12" fillId="18" borderId="9" xfId="0" applyFont="1" applyFill="1" applyBorder="1"/>
    <xf numFmtId="2" fontId="12" fillId="18" borderId="0" xfId="0" applyNumberFormat="1" applyFont="1" applyFill="1"/>
    <xf numFmtId="0" fontId="12" fillId="18" borderId="0" xfId="0" applyFont="1" applyFill="1"/>
    <xf numFmtId="167" fontId="8" fillId="18" borderId="9" xfId="0" applyNumberFormat="1" applyFont="1" applyFill="1" applyBorder="1" applyAlignment="1">
      <alignment horizontal="left" wrapText="1"/>
    </xf>
    <xf numFmtId="168" fontId="8" fillId="18" borderId="9" xfId="0" applyNumberFormat="1" applyFont="1" applyFill="1" applyBorder="1" applyAlignment="1">
      <alignment horizontal="right" wrapText="1"/>
    </xf>
    <xf numFmtId="168" fontId="8" fillId="18" borderId="9" xfId="0" applyNumberFormat="1" applyFont="1" applyFill="1" applyBorder="1" applyAlignment="1">
      <alignment vertical="center" wrapText="1"/>
    </xf>
    <xf numFmtId="167" fontId="9" fillId="18" borderId="9" xfId="0" applyNumberFormat="1" applyFont="1" applyFill="1" applyBorder="1" applyAlignment="1">
      <alignment horizontal="left" wrapText="1"/>
    </xf>
    <xf numFmtId="168" fontId="9" fillId="18" borderId="9" xfId="0" applyNumberFormat="1" applyFont="1" applyFill="1" applyBorder="1" applyAlignment="1">
      <alignment horizontal="right" wrapText="1"/>
    </xf>
    <xf numFmtId="167" fontId="9" fillId="18" borderId="9" xfId="0" applyNumberFormat="1" applyFont="1" applyFill="1" applyBorder="1" applyAlignment="1">
      <alignment horizontal="right" wrapText="1"/>
    </xf>
    <xf numFmtId="0" fontId="83" fillId="0" borderId="9" xfId="4" applyFont="1" applyBorder="1" applyAlignment="1">
      <alignment horizontal="left" wrapText="1"/>
    </xf>
    <xf numFmtId="164" fontId="84" fillId="0" borderId="9" xfId="1" applyFont="1" applyFill="1" applyBorder="1"/>
    <xf numFmtId="0" fontId="83" fillId="0" borderId="0" xfId="0" applyFont="1" applyAlignment="1"/>
    <xf numFmtId="0" fontId="84" fillId="0" borderId="0" xfId="0" applyFont="1"/>
    <xf numFmtId="0" fontId="13" fillId="12" borderId="10" xfId="23" applyFont="1" applyFill="1" applyBorder="1" applyAlignment="1">
      <alignment horizontal="left" vertical="center" wrapText="1"/>
    </xf>
    <xf numFmtId="0" fontId="13" fillId="9" borderId="5" xfId="23" applyFont="1" applyFill="1" applyBorder="1" applyAlignment="1">
      <alignment horizontal="left" vertical="top"/>
    </xf>
    <xf numFmtId="0" fontId="13" fillId="9" borderId="5" xfId="23" applyFont="1" applyFill="1" applyBorder="1" applyAlignment="1">
      <alignment horizontal="left" vertical="top" wrapText="1"/>
    </xf>
    <xf numFmtId="0" fontId="13" fillId="0" borderId="9" xfId="22" applyFont="1" applyBorder="1" applyAlignment="1">
      <alignment wrapText="1"/>
    </xf>
    <xf numFmtId="43" fontId="13" fillId="0" borderId="9" xfId="3" applyFont="1" applyFill="1" applyBorder="1" applyAlignment="1" applyProtection="1">
      <alignment horizontal="center" vertical="center" wrapText="1"/>
    </xf>
    <xf numFmtId="171" fontId="40" fillId="0" borderId="9" xfId="0" applyNumberFormat="1" applyFont="1" applyFill="1" applyBorder="1" applyAlignment="1">
      <alignment horizontal="center" wrapText="1"/>
    </xf>
    <xf numFmtId="4" fontId="40" fillId="0" borderId="2" xfId="0" applyNumberFormat="1" applyFont="1" applyFill="1" applyBorder="1" applyAlignment="1">
      <alignment horizontal="left" vertical="center" wrapText="1"/>
    </xf>
    <xf numFmtId="4" fontId="55" fillId="0" borderId="5" xfId="0" applyNumberFormat="1" applyFont="1" applyFill="1" applyBorder="1" applyAlignment="1">
      <alignment horizontal="left" vertical="center" wrapText="1"/>
    </xf>
    <xf numFmtId="4" fontId="55" fillId="0" borderId="8" xfId="0" applyNumberFormat="1" applyFont="1" applyFill="1" applyBorder="1" applyAlignment="1">
      <alignment horizontal="left" vertical="center" wrapText="1"/>
    </xf>
    <xf numFmtId="4" fontId="55" fillId="0" borderId="2" xfId="0" applyNumberFormat="1" applyFont="1" applyFill="1" applyBorder="1" applyAlignment="1">
      <alignment horizontal="left" vertical="top" wrapText="1"/>
    </xf>
    <xf numFmtId="4" fontId="55" fillId="0" borderId="5" xfId="0" applyNumberFormat="1" applyFont="1" applyFill="1" applyBorder="1" applyAlignment="1">
      <alignment horizontal="left" vertical="top" wrapText="1"/>
    </xf>
    <xf numFmtId="4" fontId="55" fillId="0" borderId="8" xfId="0" applyNumberFormat="1" applyFont="1" applyFill="1" applyBorder="1" applyAlignment="1">
      <alignment horizontal="left" vertical="top" wrapText="1"/>
    </xf>
    <xf numFmtId="0" fontId="13" fillId="0" borderId="10" xfId="20" applyFont="1" applyBorder="1" applyAlignment="1">
      <alignment horizontal="left" vertical="center" wrapText="1"/>
    </xf>
    <xf numFmtId="0" fontId="1" fillId="0" borderId="0" xfId="20" applyFont="1" applyProtection="1"/>
    <xf numFmtId="0" fontId="9" fillId="13" borderId="9" xfId="4" applyFont="1" applyFill="1" applyBorder="1" applyAlignment="1" applyProtection="1">
      <alignment horizontal="left" vertical="top"/>
    </xf>
    <xf numFmtId="169" fontId="9" fillId="13" borderId="9" xfId="20" applyNumberFormat="1" applyFont="1" applyFill="1" applyBorder="1" applyAlignment="1" applyProtection="1">
      <alignment horizontal="center" vertical="center"/>
    </xf>
    <xf numFmtId="169" fontId="9" fillId="13" borderId="9" xfId="3" applyNumberFormat="1" applyFont="1" applyFill="1" applyBorder="1" applyAlignment="1" applyProtection="1">
      <alignment horizontal="center" vertical="center"/>
    </xf>
    <xf numFmtId="0" fontId="9" fillId="13" borderId="9" xfId="20" applyFont="1" applyFill="1" applyBorder="1" applyAlignment="1" applyProtection="1">
      <alignment vertical="center" wrapText="1"/>
    </xf>
    <xf numFmtId="4" fontId="9" fillId="9" borderId="9" xfId="4" applyNumberFormat="1" applyFont="1" applyFill="1" applyBorder="1" applyAlignment="1" applyProtection="1">
      <alignment horizontal="center" vertical="center" wrapText="1"/>
    </xf>
    <xf numFmtId="0" fontId="12" fillId="21" borderId="9" xfId="0" applyFont="1" applyFill="1" applyBorder="1" applyAlignment="1">
      <alignment wrapText="1"/>
    </xf>
    <xf numFmtId="2" fontId="8" fillId="9" borderId="9" xfId="4" applyNumberFormat="1" applyFont="1" applyFill="1" applyBorder="1" applyAlignment="1">
      <alignment horizontal="center" vertical="center" wrapText="1"/>
    </xf>
    <xf numFmtId="2" fontId="8" fillId="9" borderId="10" xfId="4" applyNumberFormat="1" applyFont="1" applyFill="1" applyBorder="1" applyAlignment="1">
      <alignment horizontal="center" vertical="center" wrapText="1"/>
    </xf>
    <xf numFmtId="2" fontId="8" fillId="12" borderId="10" xfId="4" applyNumberFormat="1" applyFont="1" applyFill="1" applyBorder="1" applyAlignment="1" applyProtection="1">
      <alignment horizontal="center" vertical="center" wrapText="1"/>
      <protection hidden="1"/>
    </xf>
    <xf numFmtId="2" fontId="8" fillId="9" borderId="9" xfId="4" applyNumberFormat="1" applyFont="1" applyFill="1" applyBorder="1" applyAlignment="1" applyProtection="1">
      <alignment horizontal="center" vertical="center" wrapText="1"/>
    </xf>
    <xf numFmtId="2" fontId="8" fillId="9" borderId="10" xfId="4" applyNumberFormat="1" applyFont="1" applyFill="1" applyBorder="1" applyAlignment="1" applyProtection="1">
      <alignment horizontal="center" vertical="center" wrapText="1"/>
      <protection hidden="1"/>
    </xf>
    <xf numFmtId="2" fontId="8" fillId="9" borderId="9" xfId="4" applyNumberFormat="1" applyFont="1" applyFill="1" applyBorder="1" applyAlignment="1" applyProtection="1">
      <alignment horizontal="center" vertical="center" wrapText="1"/>
      <protection hidden="1"/>
    </xf>
    <xf numFmtId="2" fontId="8" fillId="12" borderId="9" xfId="4" applyNumberFormat="1" applyFont="1" applyFill="1" applyBorder="1" applyAlignment="1">
      <alignment horizontal="center" vertical="center" wrapText="1"/>
    </xf>
    <xf numFmtId="2" fontId="8" fillId="12" borderId="10" xfId="4" applyNumberFormat="1" applyFont="1" applyFill="1" applyBorder="1" applyAlignment="1">
      <alignment horizontal="center" vertical="center" wrapText="1"/>
    </xf>
    <xf numFmtId="2" fontId="8" fillId="9" borderId="12" xfId="4" applyNumberFormat="1" applyFont="1" applyFill="1" applyBorder="1" applyAlignment="1">
      <alignment horizontal="center" vertical="center" wrapText="1"/>
    </xf>
    <xf numFmtId="2" fontId="8" fillId="2" borderId="9" xfId="4" applyNumberFormat="1" applyFont="1" applyFill="1" applyBorder="1" applyAlignment="1">
      <alignment horizontal="center" vertical="center" wrapText="1"/>
    </xf>
    <xf numFmtId="2" fontId="8" fillId="12" borderId="9" xfId="4" applyNumberFormat="1" applyFont="1" applyFill="1" applyBorder="1" applyAlignment="1" applyProtection="1">
      <alignment horizontal="center" vertical="center" wrapText="1"/>
    </xf>
    <xf numFmtId="2" fontId="8" fillId="4" borderId="9" xfId="4" applyNumberFormat="1" applyFont="1" applyFill="1" applyBorder="1" applyAlignment="1">
      <alignment horizontal="center" vertical="center" wrapText="1"/>
    </xf>
    <xf numFmtId="2" fontId="8" fillId="4" borderId="10" xfId="4" applyNumberFormat="1" applyFont="1" applyFill="1" applyBorder="1" applyAlignment="1">
      <alignment horizontal="center" vertical="center" wrapText="1"/>
    </xf>
    <xf numFmtId="2" fontId="8" fillId="4" borderId="10" xfId="4" applyNumberFormat="1" applyFont="1" applyFill="1" applyBorder="1" applyAlignment="1" applyProtection="1">
      <alignment horizontal="center" vertical="center" wrapText="1"/>
      <protection hidden="1"/>
    </xf>
    <xf numFmtId="0" fontId="27" fillId="0" borderId="2" xfId="4" applyFont="1" applyFill="1" applyBorder="1" applyAlignment="1">
      <alignment horizontal="center" vertical="center" wrapText="1"/>
    </xf>
    <xf numFmtId="0" fontId="27" fillId="0" borderId="5" xfId="4" applyFont="1" applyFill="1" applyBorder="1" applyAlignment="1">
      <alignment horizontal="center" vertical="center" wrapText="1"/>
    </xf>
    <xf numFmtId="0" fontId="27" fillId="0" borderId="8" xfId="4" applyFont="1" applyFill="1" applyBorder="1" applyAlignment="1">
      <alignment horizontal="center" vertical="center" wrapText="1"/>
    </xf>
    <xf numFmtId="49" fontId="12" fillId="21" borderId="9" xfId="0" applyNumberFormat="1" applyFont="1" applyFill="1" applyBorder="1" applyAlignment="1">
      <alignment wrapText="1"/>
    </xf>
    <xf numFmtId="0" fontId="27" fillId="2" borderId="9" xfId="4" applyFont="1" applyFill="1" applyBorder="1" applyAlignment="1">
      <alignment horizontal="center" vertical="center" wrapText="1"/>
    </xf>
    <xf numFmtId="0" fontId="12" fillId="21" borderId="9" xfId="0" applyFont="1" applyFill="1" applyBorder="1" applyAlignment="1">
      <alignment vertical="top" wrapText="1"/>
    </xf>
    <xf numFmtId="0" fontId="28" fillId="15" borderId="11" xfId="22" applyFont="1" applyFill="1" applyBorder="1" applyAlignment="1">
      <alignment horizontal="left" vertical="center"/>
    </xf>
    <xf numFmtId="0" fontId="28" fillId="15" borderId="12" xfId="22" applyFont="1" applyFill="1" applyBorder="1" applyAlignment="1">
      <alignment horizontal="left" vertical="center"/>
    </xf>
    <xf numFmtId="165" fontId="28" fillId="0" borderId="10" xfId="22" applyNumberFormat="1" applyFont="1" applyBorder="1" applyAlignment="1">
      <alignment horizontal="center" vertical="center" wrapText="1"/>
    </xf>
    <xf numFmtId="165" fontId="28" fillId="0" borderId="12" xfId="22" applyNumberFormat="1" applyFont="1" applyBorder="1" applyAlignment="1">
      <alignment horizontal="center" vertical="center" wrapText="1"/>
    </xf>
    <xf numFmtId="0" fontId="28" fillId="13" borderId="11" xfId="22" applyFont="1" applyFill="1" applyBorder="1" applyAlignment="1">
      <alignment horizontal="left" vertical="center"/>
    </xf>
    <xf numFmtId="0" fontId="28" fillId="13" borderId="12" xfId="22" applyFont="1" applyFill="1" applyBorder="1" applyAlignment="1">
      <alignment horizontal="left" vertical="center"/>
    </xf>
    <xf numFmtId="0" fontId="28" fillId="0" borderId="2" xfId="22" applyFont="1" applyBorder="1" applyAlignment="1">
      <alignment horizontal="left" vertical="top" wrapText="1"/>
    </xf>
    <xf numFmtId="0" fontId="13" fillId="0" borderId="5" xfId="22" applyFont="1" applyBorder="1" applyAlignment="1">
      <alignment horizontal="left" vertical="top" wrapText="1"/>
    </xf>
    <xf numFmtId="0" fontId="13" fillId="0" borderId="8" xfId="22" applyFont="1" applyBorder="1" applyAlignment="1">
      <alignment horizontal="left" vertical="top" wrapText="1"/>
    </xf>
    <xf numFmtId="0" fontId="49" fillId="0" borderId="0" xfId="24" applyFont="1" applyAlignment="1">
      <alignment horizontal="center" wrapText="1"/>
    </xf>
    <xf numFmtId="0" fontId="38" fillId="0" borderId="2" xfId="22" applyFont="1" applyBorder="1" applyAlignment="1">
      <alignment horizontal="center" vertical="center" wrapText="1"/>
    </xf>
    <xf numFmtId="0" fontId="38" fillId="0" borderId="8" xfId="22" applyFont="1" applyBorder="1" applyAlignment="1">
      <alignment horizontal="center" vertical="center" wrapText="1"/>
    </xf>
    <xf numFmtId="0" fontId="38" fillId="0" borderId="10" xfId="22" applyFont="1" applyBorder="1" applyAlignment="1">
      <alignment horizontal="center" wrapText="1"/>
    </xf>
    <xf numFmtId="0" fontId="38" fillId="0" borderId="12" xfId="22" applyFont="1" applyBorder="1" applyAlignment="1">
      <alignment horizontal="center" wrapText="1"/>
    </xf>
    <xf numFmtId="0" fontId="38" fillId="0" borderId="9" xfId="22" applyFont="1" applyBorder="1" applyAlignment="1">
      <alignment horizontal="center" wrapText="1"/>
    </xf>
    <xf numFmtId="0" fontId="13" fillId="9" borderId="2" xfId="20" applyFont="1" applyFill="1" applyBorder="1" applyAlignment="1">
      <alignment horizontal="left" vertical="top" wrapText="1"/>
    </xf>
    <xf numFmtId="0" fontId="13" fillId="9" borderId="5" xfId="20" applyFont="1" applyFill="1" applyBorder="1" applyAlignment="1">
      <alignment horizontal="left" vertical="top" wrapText="1"/>
    </xf>
    <xf numFmtId="0" fontId="13" fillId="9" borderId="8" xfId="20" applyFont="1" applyFill="1" applyBorder="1" applyAlignment="1">
      <alignment horizontal="left" vertical="top" wrapText="1"/>
    </xf>
    <xf numFmtId="0" fontId="28" fillId="0" borderId="2" xfId="22" applyFont="1" applyBorder="1" applyAlignment="1">
      <alignment horizontal="center" vertical="center" wrapText="1"/>
    </xf>
    <xf numFmtId="0" fontId="5" fillId="9" borderId="0" xfId="20" applyFill="1"/>
    <xf numFmtId="0" fontId="13" fillId="0" borderId="2" xfId="0" applyNumberFormat="1" applyFont="1" applyFill="1" applyBorder="1" applyAlignment="1" applyProtection="1">
      <alignment horizontal="left" vertical="top" wrapText="1"/>
    </xf>
    <xf numFmtId="0" fontId="39" fillId="0" borderId="8" xfId="0" applyNumberFormat="1" applyFont="1" applyFill="1" applyBorder="1" applyAlignment="1" applyProtection="1">
      <alignment horizontal="left" vertical="top" wrapText="1"/>
    </xf>
    <xf numFmtId="164" fontId="9" fillId="0" borderId="9" xfId="1" applyFont="1" applyFill="1" applyBorder="1" applyAlignment="1">
      <alignment vertical="top"/>
    </xf>
    <xf numFmtId="4" fontId="87" fillId="0" borderId="5" xfId="0" applyNumberFormat="1" applyFont="1" applyFill="1" applyBorder="1" applyAlignment="1">
      <alignment horizontal="left" vertical="center"/>
    </xf>
    <xf numFmtId="4" fontId="87" fillId="0" borderId="8" xfId="0" applyNumberFormat="1" applyFont="1" applyFill="1" applyBorder="1" applyAlignment="1">
      <alignment horizontal="left" vertical="center"/>
    </xf>
    <xf numFmtId="43" fontId="13" fillId="0" borderId="9" xfId="20" applyNumberFormat="1" applyFont="1" applyBorder="1" applyAlignment="1">
      <alignment horizontal="center" vertical="center" wrapText="1"/>
    </xf>
    <xf numFmtId="43" fontId="50" fillId="0" borderId="9" xfId="20" applyNumberFormat="1" applyFont="1" applyBorder="1" applyAlignment="1">
      <alignment horizontal="center" vertical="center" wrapText="1"/>
    </xf>
    <xf numFmtId="0" fontId="8" fillId="0" borderId="9" xfId="0" applyFont="1" applyFill="1" applyBorder="1" applyAlignment="1">
      <alignment vertical="center" wrapText="1"/>
    </xf>
    <xf numFmtId="170" fontId="8" fillId="0" borderId="9" xfId="21" applyFont="1" applyFill="1" applyBorder="1" applyAlignment="1" applyProtection="1">
      <alignment vertical="center" wrapText="1"/>
    </xf>
    <xf numFmtId="170" fontId="8" fillId="0" borderId="9" xfId="0" applyNumberFormat="1" applyFont="1" applyFill="1" applyBorder="1" applyAlignment="1">
      <alignment horizontal="justify" vertical="center" wrapText="1"/>
    </xf>
    <xf numFmtId="170" fontId="88" fillId="0" borderId="9" xfId="2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0" borderId="9" xfId="0" applyFont="1" applyFill="1" applyBorder="1" applyAlignment="1">
      <alignment vertical="center" wrapText="1"/>
    </xf>
    <xf numFmtId="0" fontId="13" fillId="0" borderId="9" xfId="22" applyNumberFormat="1" applyFont="1" applyFill="1" applyBorder="1" applyAlignment="1">
      <alignment horizontal="center" vertical="center" wrapText="1"/>
    </xf>
    <xf numFmtId="0" fontId="13" fillId="0" borderId="2" xfId="22" applyFont="1" applyBorder="1" applyAlignment="1" applyProtection="1">
      <alignment horizontal="left" vertical="center" wrapText="1"/>
      <protection locked="0"/>
    </xf>
    <xf numFmtId="0" fontId="13" fillId="0" borderId="9" xfId="32" applyFont="1" applyBorder="1"/>
    <xf numFmtId="0" fontId="28" fillId="0" borderId="9" xfId="22" applyFont="1" applyBorder="1" applyAlignment="1">
      <alignment horizontal="center"/>
    </xf>
    <xf numFmtId="0" fontId="47" fillId="0" borderId="9" xfId="20" applyFont="1" applyBorder="1"/>
    <xf numFmtId="0" fontId="13" fillId="12" borderId="10" xfId="23" applyFont="1" applyFill="1" applyBorder="1" applyAlignment="1">
      <alignment horizontal="left" vertical="center" wrapText="1"/>
    </xf>
    <xf numFmtId="0" fontId="13" fillId="0" borderId="10" xfId="20" applyFont="1" applyBorder="1" applyAlignment="1">
      <alignment horizontal="left" vertical="center" wrapText="1"/>
    </xf>
    <xf numFmtId="0" fontId="13" fillId="0" borderId="11" xfId="20" applyFont="1" applyBorder="1" applyAlignment="1">
      <alignment horizontal="left" vertical="center" wrapText="1"/>
    </xf>
    <xf numFmtId="0" fontId="13" fillId="0" borderId="12" xfId="20" applyFont="1" applyBorder="1" applyAlignment="1">
      <alignment horizontal="left" vertical="center" wrapText="1"/>
    </xf>
    <xf numFmtId="0" fontId="13" fillId="9" borderId="5" xfId="20" applyFont="1" applyFill="1" applyBorder="1" applyAlignment="1">
      <alignment horizontal="left" vertical="top" wrapText="1"/>
    </xf>
    <xf numFmtId="172" fontId="13" fillId="0" borderId="11" xfId="20" applyNumberFormat="1" applyFont="1" applyFill="1" applyBorder="1" applyAlignment="1">
      <alignment horizontal="center" vertical="center" wrapText="1"/>
    </xf>
    <xf numFmtId="4" fontId="13" fillId="0" borderId="11" xfId="20" applyNumberFormat="1" applyFont="1" applyFill="1" applyBorder="1" applyAlignment="1">
      <alignment horizontal="center" vertical="center" wrapText="1"/>
    </xf>
    <xf numFmtId="4" fontId="13" fillId="0" borderId="12" xfId="20" applyNumberFormat="1" applyFont="1" applyFill="1" applyBorder="1" applyAlignment="1">
      <alignment horizontal="center" vertical="center" wrapText="1"/>
    </xf>
    <xf numFmtId="0" fontId="13" fillId="0" borderId="10" xfId="20" applyFont="1" applyFill="1" applyBorder="1" applyAlignment="1">
      <alignment horizontal="left" vertical="center" wrapText="1"/>
    </xf>
    <xf numFmtId="0" fontId="28" fillId="0" borderId="10" xfId="20" applyFont="1" applyBorder="1" applyAlignment="1">
      <alignment horizontal="left" vertical="center" wrapText="1"/>
    </xf>
    <xf numFmtId="0" fontId="13" fillId="9" borderId="0" xfId="20" applyFont="1" applyFill="1" applyBorder="1" applyAlignment="1">
      <alignment horizontal="left" vertical="top" wrapText="1"/>
    </xf>
    <xf numFmtId="4" fontId="44" fillId="0" borderId="0" xfId="20" applyNumberFormat="1" applyFont="1" applyAlignment="1">
      <alignment horizontal="center"/>
    </xf>
    <xf numFmtId="4" fontId="9" fillId="9" borderId="9" xfId="0" applyNumberFormat="1" applyFont="1" applyFill="1" applyBorder="1" applyAlignment="1">
      <alignment horizontal="center" vertical="center" wrapText="1"/>
    </xf>
    <xf numFmtId="4" fontId="9" fillId="8" borderId="9" xfId="4" applyNumberFormat="1" applyFont="1" applyFill="1" applyBorder="1" applyAlignment="1" applyProtection="1">
      <alignment horizontal="center" vertical="center" wrapText="1"/>
    </xf>
    <xf numFmtId="0" fontId="9" fillId="0" borderId="5" xfId="0" applyFont="1" applyFill="1" applyBorder="1" applyAlignment="1">
      <alignment horizontal="left" vertical="center" wrapText="1"/>
    </xf>
    <xf numFmtId="0" fontId="9" fillId="0" borderId="8"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26" fillId="0" borderId="2" xfId="0" applyFont="1" applyFill="1" applyBorder="1" applyAlignment="1" applyProtection="1">
      <alignment vertical="center" wrapText="1"/>
      <protection locked="0"/>
    </xf>
    <xf numFmtId="0" fontId="13" fillId="0" borderId="9" xfId="0" applyFont="1" applyFill="1" applyBorder="1" applyAlignment="1">
      <alignment vertical="center" wrapText="1"/>
    </xf>
    <xf numFmtId="165" fontId="8" fillId="0" borderId="2" xfId="0" applyNumberFormat="1" applyFont="1" applyBorder="1" applyAlignment="1" applyProtection="1">
      <alignment horizontal="center" vertical="center" wrapText="1"/>
    </xf>
    <xf numFmtId="165" fontId="8" fillId="0" borderId="8" xfId="0" applyNumberFormat="1" applyFont="1" applyBorder="1" applyAlignment="1" applyProtection="1">
      <alignment horizontal="center" vertical="center" wrapText="1"/>
    </xf>
    <xf numFmtId="165" fontId="8" fillId="0" borderId="3" xfId="0" applyNumberFormat="1" applyFont="1" applyBorder="1" applyAlignment="1" applyProtection="1">
      <alignment horizontal="center" vertical="center" wrapText="1"/>
    </xf>
    <xf numFmtId="165" fontId="8" fillId="0" borderId="4" xfId="0" applyNumberFormat="1" applyFont="1" applyBorder="1" applyAlignment="1" applyProtection="1">
      <alignment horizontal="center" vertical="center" wrapText="1"/>
    </xf>
    <xf numFmtId="165" fontId="8" fillId="0" borderId="6" xfId="0" applyNumberFormat="1" applyFont="1" applyBorder="1" applyAlignment="1" applyProtection="1">
      <alignment horizontal="center" vertical="center" wrapText="1"/>
    </xf>
    <xf numFmtId="165" fontId="8" fillId="0" borderId="7" xfId="0" applyNumberFormat="1" applyFont="1" applyBorder="1" applyAlignment="1" applyProtection="1">
      <alignment horizontal="center" vertical="center" wrapText="1"/>
    </xf>
    <xf numFmtId="165" fontId="8" fillId="0" borderId="0" xfId="0" applyNumberFormat="1" applyFont="1" applyAlignment="1" applyProtection="1">
      <alignment horizontal="center" vertical="center" wrapText="1"/>
    </xf>
    <xf numFmtId="165" fontId="49" fillId="0" borderId="1" xfId="24" applyNumberFormat="1"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0" borderId="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8" xfId="0" applyFont="1" applyBorder="1" applyAlignment="1">
      <alignment horizontal="center" vertical="center" wrapText="1"/>
    </xf>
    <xf numFmtId="165" fontId="8" fillId="0" borderId="3" xfId="0" applyNumberFormat="1" applyFont="1" applyBorder="1" applyAlignment="1">
      <alignment horizontal="center" vertical="center" wrapText="1"/>
    </xf>
    <xf numFmtId="165" fontId="8" fillId="0" borderId="4" xfId="0" applyNumberFormat="1" applyFont="1" applyBorder="1" applyAlignment="1">
      <alignment horizontal="center" vertical="center" wrapText="1"/>
    </xf>
    <xf numFmtId="165" fontId="8" fillId="0" borderId="6" xfId="0" applyNumberFormat="1" applyFont="1" applyBorder="1" applyAlignment="1">
      <alignment horizontal="center" vertical="center" wrapText="1"/>
    </xf>
    <xf numFmtId="165" fontId="8" fillId="0" borderId="7" xfId="0" applyNumberFormat="1" applyFont="1" applyBorder="1" applyAlignment="1">
      <alignment horizontal="center" vertical="center" wrapText="1"/>
    </xf>
    <xf numFmtId="165" fontId="8" fillId="0" borderId="0" xfId="0" applyNumberFormat="1" applyFont="1" applyAlignment="1">
      <alignment horizontal="center" vertical="center" wrapText="1"/>
    </xf>
    <xf numFmtId="165" fontId="49" fillId="0" borderId="1" xfId="24" applyNumberFormat="1" applyFont="1" applyBorder="1" applyAlignment="1">
      <alignment horizontal="center" vertical="center" wrapText="1"/>
    </xf>
    <xf numFmtId="165" fontId="8" fillId="0" borderId="2" xfId="0" applyNumberFormat="1" applyFont="1" applyBorder="1" applyAlignment="1">
      <alignment horizontal="center" vertical="center" wrapText="1"/>
    </xf>
    <xf numFmtId="165" fontId="8" fillId="0" borderId="8" xfId="0" applyNumberFormat="1" applyFont="1" applyBorder="1" applyAlignment="1">
      <alignment horizontal="center" vertical="center" wrapText="1"/>
    </xf>
    <xf numFmtId="165" fontId="8" fillId="0" borderId="2" xfId="0" applyNumberFormat="1" applyFont="1" applyBorder="1" applyAlignment="1" applyProtection="1">
      <alignment horizontal="center" vertical="center" wrapText="1"/>
      <protection locked="0"/>
    </xf>
    <xf numFmtId="165" fontId="8" fillId="0" borderId="8" xfId="0" applyNumberFormat="1" applyFont="1" applyBorder="1" applyAlignment="1" applyProtection="1">
      <alignment horizontal="center" vertical="center" wrapText="1"/>
      <protection locked="0"/>
    </xf>
    <xf numFmtId="0" fontId="8" fillId="0" borderId="2" xfId="0" applyFont="1" applyBorder="1" applyAlignment="1">
      <alignment horizontal="center" vertical="top" wrapText="1"/>
    </xf>
    <xf numFmtId="0" fontId="8" fillId="0" borderId="5" xfId="0" applyFont="1" applyBorder="1" applyAlignment="1">
      <alignment horizontal="center" vertical="top" wrapText="1"/>
    </xf>
    <xf numFmtId="0" fontId="19" fillId="7" borderId="10" xfId="0" applyFont="1" applyFill="1" applyBorder="1" applyAlignment="1">
      <alignment horizontal="left"/>
    </xf>
    <xf numFmtId="0" fontId="19" fillId="7" borderId="11" xfId="0" applyFont="1" applyFill="1" applyBorder="1" applyAlignment="1">
      <alignment horizontal="left"/>
    </xf>
    <xf numFmtId="0" fontId="19" fillId="7" borderId="12" xfId="0" applyFont="1" applyFill="1" applyBorder="1" applyAlignment="1">
      <alignment horizontal="left"/>
    </xf>
    <xf numFmtId="0" fontId="49" fillId="0" borderId="0" xfId="24" applyFont="1" applyAlignment="1">
      <alignment horizontal="center"/>
    </xf>
    <xf numFmtId="0" fontId="8" fillId="0" borderId="9" xfId="0" applyFont="1" applyBorder="1" applyAlignment="1">
      <alignment horizontal="left" vertical="center" wrapText="1"/>
    </xf>
    <xf numFmtId="165" fontId="8" fillId="0" borderId="10" xfId="0" applyNumberFormat="1" applyFont="1" applyBorder="1" applyAlignment="1">
      <alignment horizontal="center" vertical="center" wrapText="1"/>
    </xf>
    <xf numFmtId="165" fontId="8" fillId="0" borderId="12" xfId="0" applyNumberFormat="1" applyFont="1" applyBorder="1" applyAlignment="1">
      <alignment horizontal="center" vertical="center" wrapText="1"/>
    </xf>
    <xf numFmtId="0" fontId="12" fillId="0" borderId="12" xfId="0" applyFont="1" applyBorder="1" applyAlignment="1">
      <alignment horizontal="center" vertical="center" wrapText="1"/>
    </xf>
    <xf numFmtId="165" fontId="8" fillId="0" borderId="9" xfId="0" applyNumberFormat="1" applyFont="1" applyBorder="1" applyAlignment="1">
      <alignment horizontal="center" vertical="center" wrapText="1"/>
    </xf>
    <xf numFmtId="0" fontId="8" fillId="7" borderId="10" xfId="0" applyFont="1" applyFill="1" applyBorder="1" applyAlignment="1">
      <alignment horizontal="left" vertical="top" wrapText="1"/>
    </xf>
    <xf numFmtId="0" fontId="8" fillId="7" borderId="11" xfId="0" applyFont="1" applyFill="1" applyBorder="1" applyAlignment="1">
      <alignment horizontal="left" vertical="top" wrapText="1"/>
    </xf>
    <xf numFmtId="0" fontId="8" fillId="7" borderId="12" xfId="0" applyFont="1" applyFill="1" applyBorder="1" applyAlignment="1">
      <alignment horizontal="left" vertical="top" wrapText="1"/>
    </xf>
    <xf numFmtId="0" fontId="8" fillId="7" borderId="10" xfId="0" applyFont="1" applyFill="1" applyBorder="1" applyAlignment="1">
      <alignment horizontal="left"/>
    </xf>
    <xf numFmtId="0" fontId="8" fillId="7" borderId="11" xfId="0" applyFont="1" applyFill="1" applyBorder="1" applyAlignment="1">
      <alignment horizontal="left"/>
    </xf>
    <xf numFmtId="0" fontId="8" fillId="7" borderId="12" xfId="0" applyFont="1" applyFill="1" applyBorder="1" applyAlignment="1">
      <alignment horizontal="left"/>
    </xf>
    <xf numFmtId="0" fontId="20" fillId="0" borderId="0" xfId="4" applyFont="1" applyAlignment="1">
      <alignment horizontal="center" vertical="center" wrapText="1"/>
    </xf>
    <xf numFmtId="165" fontId="49" fillId="0" borderId="0" xfId="24" applyNumberFormat="1" applyFont="1" applyAlignment="1">
      <alignment horizontal="center" vertical="center" wrapText="1"/>
    </xf>
    <xf numFmtId="165" fontId="22" fillId="0" borderId="0" xfId="4" applyNumberFormat="1" applyFont="1" applyAlignment="1">
      <alignment horizontal="center" vertical="center" wrapText="1"/>
    </xf>
    <xf numFmtId="0" fontId="8" fillId="7" borderId="10" xfId="0" applyFont="1" applyFill="1" applyBorder="1" applyAlignment="1">
      <alignment horizontal="left" wrapText="1"/>
    </xf>
    <xf numFmtId="165" fontId="8" fillId="17" borderId="10" xfId="0" applyNumberFormat="1" applyFont="1" applyFill="1" applyBorder="1" applyAlignment="1">
      <alignment horizontal="center" vertical="center" wrapText="1"/>
    </xf>
    <xf numFmtId="0" fontId="12" fillId="17" borderId="12" xfId="0" applyFont="1" applyFill="1" applyBorder="1" applyAlignment="1">
      <alignment horizontal="center" vertical="center" wrapText="1"/>
    </xf>
    <xf numFmtId="0" fontId="19" fillId="0" borderId="10" xfId="0" applyFont="1" applyFill="1" applyBorder="1" applyAlignment="1">
      <alignment horizontal="left"/>
    </xf>
    <xf numFmtId="0" fontId="19" fillId="0" borderId="11" xfId="0" applyFont="1" applyFill="1" applyBorder="1" applyAlignment="1">
      <alignment horizontal="left"/>
    </xf>
    <xf numFmtId="0" fontId="19" fillId="0" borderId="12" xfId="0" applyFont="1" applyFill="1" applyBorder="1" applyAlignment="1">
      <alignment horizontal="left"/>
    </xf>
    <xf numFmtId="165" fontId="8" fillId="0" borderId="3" xfId="20" applyNumberFormat="1" applyFont="1" applyBorder="1" applyAlignment="1" applyProtection="1">
      <alignment horizontal="center" vertical="center" wrapText="1"/>
    </xf>
    <xf numFmtId="165" fontId="8" fillId="0" borderId="4" xfId="20" applyNumberFormat="1" applyFont="1" applyBorder="1" applyAlignment="1" applyProtection="1">
      <alignment horizontal="center" vertical="center" wrapText="1"/>
    </xf>
    <xf numFmtId="165" fontId="8" fillId="0" borderId="6" xfId="20" applyNumberFormat="1" applyFont="1" applyBorder="1" applyAlignment="1" applyProtection="1">
      <alignment horizontal="center" vertical="center" wrapText="1"/>
    </xf>
    <xf numFmtId="165" fontId="8" fillId="0" borderId="7" xfId="20" applyNumberFormat="1" applyFont="1" applyBorder="1" applyAlignment="1" applyProtection="1">
      <alignment horizontal="center" vertical="center" wrapText="1"/>
    </xf>
    <xf numFmtId="0" fontId="9" fillId="0" borderId="11" xfId="20" applyFont="1" applyBorder="1" applyAlignment="1" applyProtection="1">
      <alignment horizontal="left" vertical="center" wrapText="1"/>
    </xf>
    <xf numFmtId="0" fontId="9" fillId="0" borderId="12" xfId="20" applyFont="1" applyBorder="1" applyAlignment="1" applyProtection="1">
      <alignment horizontal="left" vertical="center" wrapText="1"/>
    </xf>
    <xf numFmtId="0" fontId="9" fillId="0" borderId="10" xfId="20" applyFont="1" applyBorder="1" applyAlignment="1" applyProtection="1">
      <alignment horizontal="left" vertical="center" wrapText="1"/>
    </xf>
    <xf numFmtId="0" fontId="8" fillId="0" borderId="0" xfId="20" applyFont="1" applyAlignment="1" applyProtection="1">
      <alignment horizontal="left" vertical="center" wrapText="1"/>
    </xf>
    <xf numFmtId="0" fontId="8" fillId="0" borderId="2" xfId="20" applyFont="1" applyBorder="1" applyAlignment="1" applyProtection="1">
      <alignment horizontal="center" vertical="center" wrapText="1"/>
    </xf>
    <xf numFmtId="0" fontId="8" fillId="0" borderId="5" xfId="20" applyFont="1" applyBorder="1" applyAlignment="1" applyProtection="1">
      <alignment horizontal="center" vertical="center" wrapText="1"/>
    </xf>
    <xf numFmtId="0" fontId="8" fillId="0" borderId="8" xfId="20" applyFont="1" applyBorder="1" applyAlignment="1" applyProtection="1">
      <alignment horizontal="center" vertical="center" wrapText="1"/>
    </xf>
    <xf numFmtId="0" fontId="9" fillId="0" borderId="10" xfId="20" applyFont="1" applyFill="1" applyBorder="1" applyAlignment="1" applyProtection="1">
      <alignment horizontal="left" vertical="center" wrapText="1"/>
    </xf>
    <xf numFmtId="0" fontId="9" fillId="0" borderId="11" xfId="20" applyFont="1" applyFill="1" applyBorder="1" applyAlignment="1" applyProtection="1">
      <alignment horizontal="left" vertical="center" wrapText="1"/>
    </xf>
    <xf numFmtId="0" fontId="9" fillId="0" borderId="12" xfId="20" applyFont="1" applyFill="1" applyBorder="1" applyAlignment="1" applyProtection="1">
      <alignment horizontal="left" vertical="center" wrapText="1"/>
    </xf>
    <xf numFmtId="0" fontId="9" fillId="13" borderId="10" xfId="20" applyFont="1" applyFill="1" applyBorder="1" applyAlignment="1" applyProtection="1">
      <alignment horizontal="left" vertical="center" wrapText="1"/>
    </xf>
    <xf numFmtId="0" fontId="9" fillId="13" borderId="11" xfId="20" applyFont="1" applyFill="1" applyBorder="1" applyAlignment="1" applyProtection="1">
      <alignment horizontal="left" vertical="center" wrapText="1"/>
    </xf>
    <xf numFmtId="0" fontId="9" fillId="13" borderId="12" xfId="20" applyFont="1" applyFill="1" applyBorder="1" applyAlignment="1" applyProtection="1">
      <alignment horizontal="left" vertical="center" wrapText="1"/>
    </xf>
    <xf numFmtId="0" fontId="8" fillId="0" borderId="10" xfId="20" applyFont="1" applyBorder="1" applyAlignment="1" applyProtection="1">
      <alignment horizontal="left" vertical="center" wrapText="1"/>
    </xf>
    <xf numFmtId="0" fontId="8" fillId="0" borderId="11" xfId="20" applyFont="1" applyBorder="1" applyAlignment="1" applyProtection="1">
      <alignment horizontal="left" vertical="center" wrapText="1"/>
    </xf>
    <xf numFmtId="0" fontId="8" fillId="0" borderId="12" xfId="20" applyFont="1" applyBorder="1" applyAlignment="1" applyProtection="1">
      <alignment horizontal="left" vertical="center" wrapText="1"/>
    </xf>
    <xf numFmtId="165" fontId="21" fillId="0" borderId="0" xfId="20" applyNumberFormat="1" applyFont="1" applyAlignment="1" applyProtection="1">
      <alignment horizontal="center" vertical="center" wrapText="1"/>
    </xf>
    <xf numFmtId="0" fontId="8" fillId="0" borderId="2" xfId="20" applyFont="1" applyBorder="1" applyAlignment="1" applyProtection="1">
      <alignment horizontal="left" vertical="top" wrapText="1"/>
    </xf>
    <xf numFmtId="0" fontId="8" fillId="0" borderId="5" xfId="20" applyFont="1" applyBorder="1" applyAlignment="1" applyProtection="1">
      <alignment horizontal="left" vertical="top" wrapText="1"/>
    </xf>
    <xf numFmtId="0" fontId="8" fillId="0" borderId="8" xfId="20" applyFont="1" applyBorder="1" applyAlignment="1" applyProtection="1">
      <alignment horizontal="left" vertical="top" wrapText="1"/>
    </xf>
    <xf numFmtId="165" fontId="8" fillId="0" borderId="2" xfId="20" applyNumberFormat="1" applyFont="1" applyBorder="1" applyAlignment="1" applyProtection="1">
      <alignment horizontal="center" vertical="center" wrapText="1"/>
    </xf>
    <xf numFmtId="165" fontId="8" fillId="0" borderId="5" xfId="20" applyNumberFormat="1" applyFont="1" applyBorder="1" applyAlignment="1" applyProtection="1">
      <alignment horizontal="center" vertical="center" wrapText="1"/>
    </xf>
    <xf numFmtId="0" fontId="13" fillId="0" borderId="2" xfId="20" applyFont="1" applyBorder="1" applyAlignment="1">
      <alignment horizontal="left" vertical="top" wrapText="1"/>
    </xf>
    <xf numFmtId="0" fontId="13" fillId="0" borderId="5" xfId="20" applyFont="1" applyBorder="1" applyAlignment="1">
      <alignment horizontal="left" vertical="top" wrapText="1"/>
    </xf>
    <xf numFmtId="0" fontId="13" fillId="0" borderId="8" xfId="20" applyFont="1" applyBorder="1" applyAlignment="1">
      <alignment horizontal="left" vertical="top" wrapText="1"/>
    </xf>
    <xf numFmtId="0" fontId="24" fillId="0" borderId="9" xfId="20" applyFont="1" applyBorder="1" applyAlignment="1">
      <alignment horizontal="center"/>
    </xf>
    <xf numFmtId="0" fontId="8" fillId="15" borderId="10" xfId="20" applyFont="1" applyFill="1" applyBorder="1" applyAlignment="1">
      <alignment horizontal="left" vertical="center" wrapText="1"/>
    </xf>
    <xf numFmtId="0" fontId="8" fillId="15" borderId="11" xfId="20" applyFont="1" applyFill="1" applyBorder="1" applyAlignment="1">
      <alignment horizontal="left" vertical="center" wrapText="1"/>
    </xf>
    <xf numFmtId="0" fontId="26" fillId="0" borderId="10" xfId="20" applyFont="1" applyBorder="1" applyAlignment="1">
      <alignment horizontal="left" vertical="top" wrapText="1"/>
    </xf>
    <xf numFmtId="0" fontId="26" fillId="0" borderId="11" xfId="20" applyFont="1" applyBorder="1" applyAlignment="1">
      <alignment horizontal="left" vertical="top" wrapText="1"/>
    </xf>
    <xf numFmtId="0" fontId="26" fillId="0" borderId="12" xfId="20" applyFont="1" applyBorder="1" applyAlignment="1">
      <alignment horizontal="left" vertical="top" wrapText="1"/>
    </xf>
    <xf numFmtId="0" fontId="24" fillId="0" borderId="2" xfId="20" applyFont="1" applyBorder="1" applyAlignment="1">
      <alignment horizontal="center" wrapText="1"/>
    </xf>
    <xf numFmtId="0" fontId="24" fillId="0" borderId="5" xfId="20" applyFont="1" applyBorder="1" applyAlignment="1">
      <alignment horizontal="center" wrapText="1"/>
    </xf>
    <xf numFmtId="0" fontId="24" fillId="0" borderId="8" xfId="20" applyFont="1" applyBorder="1" applyAlignment="1">
      <alignment horizontal="center" wrapText="1"/>
    </xf>
    <xf numFmtId="0" fontId="26" fillId="0" borderId="9" xfId="20" applyFont="1" applyBorder="1" applyAlignment="1">
      <alignment horizontal="center"/>
    </xf>
    <xf numFmtId="0" fontId="9" fillId="15" borderId="10" xfId="20" applyFont="1" applyFill="1" applyBorder="1" applyAlignment="1">
      <alignment horizontal="left" vertical="center" wrapText="1"/>
    </xf>
    <xf numFmtId="0" fontId="9" fillId="15" borderId="11" xfId="20" applyFont="1" applyFill="1" applyBorder="1" applyAlignment="1">
      <alignment horizontal="left" vertical="center" wrapText="1"/>
    </xf>
    <xf numFmtId="0" fontId="35" fillId="0" borderId="2" xfId="20" applyFont="1" applyBorder="1" applyAlignment="1">
      <alignment horizontal="left" vertical="center" wrapText="1"/>
    </xf>
    <xf numFmtId="0" fontId="35" fillId="0" borderId="5" xfId="20" applyFont="1" applyBorder="1" applyAlignment="1">
      <alignment horizontal="left" vertical="center" wrapText="1"/>
    </xf>
    <xf numFmtId="0" fontId="35" fillId="0" borderId="8" xfId="20" applyFont="1" applyBorder="1" applyAlignment="1">
      <alignment horizontal="left" vertical="center" wrapText="1"/>
    </xf>
    <xf numFmtId="0" fontId="8" fillId="13" borderId="10" xfId="20" applyFont="1" applyFill="1" applyBorder="1" applyAlignment="1">
      <alignment horizontal="left" vertical="center" wrapText="1"/>
    </xf>
    <xf numFmtId="0" fontId="8" fillId="13" borderId="11" xfId="20" applyFont="1" applyFill="1" applyBorder="1" applyAlignment="1">
      <alignment horizontal="left" vertical="center" wrapText="1"/>
    </xf>
    <xf numFmtId="0" fontId="8" fillId="13" borderId="12" xfId="20" applyFont="1" applyFill="1" applyBorder="1" applyAlignment="1">
      <alignment horizontal="left" vertical="center" wrapText="1"/>
    </xf>
    <xf numFmtId="0" fontId="9" fillId="15" borderId="12" xfId="20" applyFont="1" applyFill="1" applyBorder="1" applyAlignment="1">
      <alignment horizontal="left" vertical="center" wrapText="1"/>
    </xf>
    <xf numFmtId="165" fontId="8" fillId="0" borderId="9" xfId="20" applyNumberFormat="1" applyFont="1" applyBorder="1" applyAlignment="1">
      <alignment horizontal="center" vertical="center" wrapText="1"/>
    </xf>
    <xf numFmtId="0" fontId="9" fillId="13" borderId="10" xfId="20" applyFont="1" applyFill="1" applyBorder="1" applyAlignment="1">
      <alignment horizontal="left" vertical="center" wrapText="1"/>
    </xf>
    <xf numFmtId="0" fontId="9" fillId="13" borderId="11" xfId="20" applyFont="1" applyFill="1" applyBorder="1" applyAlignment="1">
      <alignment horizontal="left" vertical="center" wrapText="1"/>
    </xf>
    <xf numFmtId="0" fontId="9" fillId="13" borderId="12" xfId="20" applyFont="1" applyFill="1" applyBorder="1" applyAlignment="1">
      <alignment horizontal="left" vertical="center" wrapText="1"/>
    </xf>
    <xf numFmtId="0" fontId="33" fillId="0" borderId="0" xfId="20" applyFont="1" applyAlignment="1">
      <alignment horizontal="center" vertical="top" wrapText="1"/>
    </xf>
    <xf numFmtId="0" fontId="33" fillId="0" borderId="0" xfId="20" applyFont="1" applyAlignment="1">
      <alignment horizontal="center" vertical="top"/>
    </xf>
    <xf numFmtId="0" fontId="49" fillId="0" borderId="0" xfId="24" applyFont="1" applyAlignment="1">
      <alignment horizontal="center" vertical="top" wrapText="1"/>
    </xf>
    <xf numFmtId="0" fontId="49" fillId="0" borderId="0" xfId="24" applyFont="1" applyAlignment="1">
      <alignment horizontal="center" vertical="top"/>
    </xf>
    <xf numFmtId="0" fontId="8" fillId="0" borderId="2" xfId="20" applyFont="1" applyBorder="1" applyAlignment="1">
      <alignment horizontal="center" vertical="center" wrapText="1"/>
    </xf>
    <xf numFmtId="0" fontId="8" fillId="0" borderId="8" xfId="20" applyFont="1" applyBorder="1" applyAlignment="1">
      <alignment horizontal="center" vertical="center" wrapText="1"/>
    </xf>
    <xf numFmtId="165" fontId="8" fillId="0" borderId="2" xfId="20" applyNumberFormat="1" applyFont="1" applyBorder="1" applyAlignment="1">
      <alignment horizontal="center" vertical="center" wrapText="1"/>
    </xf>
    <xf numFmtId="165" fontId="8" fillId="0" borderId="8" xfId="20" applyNumberFormat="1" applyFont="1" applyBorder="1" applyAlignment="1">
      <alignment horizontal="center" vertical="center" wrapText="1"/>
    </xf>
    <xf numFmtId="0" fontId="13" fillId="18" borderId="10" xfId="23" applyFont="1" applyFill="1" applyBorder="1" applyAlignment="1">
      <alignment horizontal="left" vertical="center" wrapText="1"/>
    </xf>
    <xf numFmtId="0" fontId="13" fillId="18" borderId="11" xfId="23" applyFont="1" applyFill="1" applyBorder="1" applyAlignment="1">
      <alignment horizontal="left" vertical="center" wrapText="1"/>
    </xf>
    <xf numFmtId="0" fontId="13" fillId="18" borderId="12" xfId="23" applyFont="1" applyFill="1" applyBorder="1" applyAlignment="1">
      <alignment horizontal="left" vertical="center" wrapText="1"/>
    </xf>
    <xf numFmtId="0" fontId="13" fillId="0" borderId="2" xfId="23" applyFont="1" applyBorder="1" applyAlignment="1">
      <alignment horizontal="center"/>
    </xf>
    <xf numFmtId="0" fontId="13" fillId="0" borderId="5" xfId="23" applyFont="1" applyBorder="1" applyAlignment="1">
      <alignment horizontal="center"/>
    </xf>
    <xf numFmtId="0" fontId="13" fillId="0" borderId="8" xfId="23" applyFont="1" applyBorder="1" applyAlignment="1">
      <alignment horizontal="center"/>
    </xf>
    <xf numFmtId="0" fontId="13" fillId="12" borderId="10" xfId="23" applyFont="1" applyFill="1" applyBorder="1" applyAlignment="1">
      <alignment horizontal="left" vertical="center" wrapText="1"/>
    </xf>
    <xf numFmtId="0" fontId="13" fillId="12" borderId="11" xfId="23" applyFont="1" applyFill="1" applyBorder="1" applyAlignment="1">
      <alignment horizontal="left" vertical="center" wrapText="1"/>
    </xf>
    <xf numFmtId="0" fontId="13" fillId="12" borderId="12" xfId="23" applyFont="1" applyFill="1" applyBorder="1" applyAlignment="1">
      <alignment horizontal="left" vertical="center" wrapText="1"/>
    </xf>
    <xf numFmtId="0" fontId="28" fillId="9" borderId="2" xfId="23" applyFont="1" applyFill="1" applyBorder="1" applyAlignment="1">
      <alignment horizontal="left" vertical="top" wrapText="1"/>
    </xf>
    <xf numFmtId="0" fontId="13" fillId="9" borderId="5" xfId="23" applyFont="1" applyFill="1" applyBorder="1" applyAlignment="1">
      <alignment horizontal="left" vertical="top"/>
    </xf>
    <xf numFmtId="0" fontId="13" fillId="9" borderId="8" xfId="23" applyFont="1" applyFill="1" applyBorder="1" applyAlignment="1">
      <alignment horizontal="left" vertical="top"/>
    </xf>
    <xf numFmtId="0" fontId="28" fillId="13" borderId="10" xfId="23" applyFont="1" applyFill="1" applyBorder="1" applyAlignment="1">
      <alignment horizontal="left" vertical="center" wrapText="1"/>
    </xf>
    <xf numFmtId="0" fontId="28" fillId="13" borderId="11" xfId="23" applyFont="1" applyFill="1" applyBorder="1" applyAlignment="1">
      <alignment horizontal="left" vertical="center" wrapText="1"/>
    </xf>
    <xf numFmtId="0" fontId="28" fillId="13" borderId="12" xfId="23" applyFont="1" applyFill="1" applyBorder="1" applyAlignment="1">
      <alignment horizontal="left" vertical="center" wrapText="1"/>
    </xf>
    <xf numFmtId="0" fontId="13" fillId="9" borderId="2" xfId="23" applyFont="1" applyFill="1" applyBorder="1" applyAlignment="1">
      <alignment horizontal="left" vertical="top" wrapText="1"/>
    </xf>
    <xf numFmtId="0" fontId="13" fillId="9" borderId="5" xfId="23" applyFont="1" applyFill="1" applyBorder="1" applyAlignment="1">
      <alignment horizontal="left" vertical="top" wrapText="1"/>
    </xf>
    <xf numFmtId="0" fontId="13" fillId="9" borderId="8" xfId="23" applyFont="1" applyFill="1" applyBorder="1" applyAlignment="1">
      <alignment horizontal="left" vertical="top" wrapText="1"/>
    </xf>
    <xf numFmtId="0" fontId="28" fillId="0" borderId="2" xfId="23" applyFont="1" applyBorder="1" applyAlignment="1">
      <alignment horizontal="left" vertical="center" wrapText="1"/>
    </xf>
    <xf numFmtId="0" fontId="13" fillId="0" borderId="5" xfId="23" applyFont="1" applyBorder="1" applyAlignment="1">
      <alignment horizontal="left" vertical="center" wrapText="1"/>
    </xf>
    <xf numFmtId="0" fontId="13" fillId="0" borderId="8" xfId="23" applyFont="1" applyBorder="1" applyAlignment="1">
      <alignment horizontal="left" vertical="center" wrapText="1"/>
    </xf>
    <xf numFmtId="0" fontId="13" fillId="9" borderId="2" xfId="23" applyFont="1" applyFill="1" applyBorder="1" applyAlignment="1">
      <alignment horizontal="center"/>
    </xf>
    <xf numFmtId="0" fontId="13" fillId="9" borderId="5" xfId="23" applyFont="1" applyFill="1" applyBorder="1" applyAlignment="1">
      <alignment horizontal="center"/>
    </xf>
    <xf numFmtId="0" fontId="13" fillId="9" borderId="8" xfId="23" applyFont="1" applyFill="1" applyBorder="1" applyAlignment="1">
      <alignment horizontal="center"/>
    </xf>
    <xf numFmtId="165" fontId="28" fillId="0" borderId="10" xfId="23" applyNumberFormat="1" applyFont="1" applyBorder="1" applyAlignment="1">
      <alignment horizontal="center" vertical="center" wrapText="1"/>
    </xf>
    <xf numFmtId="165" fontId="28" fillId="0" borderId="12" xfId="23" applyNumberFormat="1" applyFont="1" applyBorder="1" applyAlignment="1">
      <alignment horizontal="center" vertical="center" wrapText="1"/>
    </xf>
    <xf numFmtId="165" fontId="28" fillId="0" borderId="9" xfId="23" applyNumberFormat="1" applyFont="1" applyBorder="1" applyAlignment="1">
      <alignment horizontal="center" vertical="center" wrapText="1"/>
    </xf>
    <xf numFmtId="0" fontId="49" fillId="0" borderId="0" xfId="24" applyFont="1" applyAlignment="1">
      <alignment horizontal="left" vertical="center"/>
    </xf>
    <xf numFmtId="0" fontId="28" fillId="0" borderId="2" xfId="23" applyFont="1" applyBorder="1" applyAlignment="1">
      <alignment horizontal="center" vertical="center" wrapText="1"/>
    </xf>
    <xf numFmtId="0" fontId="28" fillId="0" borderId="8" xfId="23" applyFont="1" applyBorder="1" applyAlignment="1">
      <alignment horizontal="center" vertical="center" wrapText="1"/>
    </xf>
    <xf numFmtId="0" fontId="28" fillId="0" borderId="9" xfId="23" applyFont="1" applyBorder="1" applyAlignment="1">
      <alignment horizontal="center" vertical="center" wrapText="1"/>
    </xf>
    <xf numFmtId="0" fontId="13" fillId="0" borderId="5" xfId="23" applyFont="1" applyBorder="1" applyAlignment="1">
      <alignment horizontal="center" vertical="center" wrapText="1"/>
    </xf>
    <xf numFmtId="0" fontId="13" fillId="0" borderId="9" xfId="20" applyFont="1" applyFill="1" applyBorder="1" applyAlignment="1">
      <alignment horizontal="left" wrapText="1"/>
    </xf>
    <xf numFmtId="0" fontId="13" fillId="0" borderId="9" xfId="20" applyFont="1" applyFill="1" applyBorder="1" applyAlignment="1">
      <alignment horizontal="left"/>
    </xf>
    <xf numFmtId="0" fontId="13" fillId="0" borderId="9" xfId="20" applyFont="1" applyBorder="1" applyAlignment="1">
      <alignment horizontal="left" wrapText="1"/>
    </xf>
    <xf numFmtId="0" fontId="13" fillId="0" borderId="9" xfId="20" applyFont="1" applyBorder="1" applyAlignment="1">
      <alignment horizontal="left"/>
    </xf>
    <xf numFmtId="0" fontId="13" fillId="0" borderId="10" xfId="20" applyFont="1" applyBorder="1" applyAlignment="1">
      <alignment horizontal="left" vertical="center" wrapText="1"/>
    </xf>
    <xf numFmtId="0" fontId="13" fillId="0" borderId="11" xfId="20" applyFont="1" applyBorder="1" applyAlignment="1">
      <alignment horizontal="left" vertical="center" wrapText="1"/>
    </xf>
    <xf numFmtId="0" fontId="13" fillId="0" borderId="12" xfId="20" applyFont="1" applyBorder="1" applyAlignment="1">
      <alignment horizontal="left" vertical="center" wrapText="1"/>
    </xf>
    <xf numFmtId="0" fontId="13" fillId="9" borderId="2" xfId="20" applyFont="1" applyFill="1" applyBorder="1" applyAlignment="1">
      <alignment horizontal="left" vertical="top" wrapText="1"/>
    </xf>
    <xf numFmtId="0" fontId="13" fillId="9" borderId="5" xfId="20" applyFont="1" applyFill="1" applyBorder="1" applyAlignment="1">
      <alignment horizontal="left" vertical="top" wrapText="1"/>
    </xf>
    <xf numFmtId="0" fontId="13" fillId="9" borderId="8" xfId="20" applyFont="1" applyFill="1" applyBorder="1" applyAlignment="1">
      <alignment horizontal="left" vertical="top" wrapText="1"/>
    </xf>
    <xf numFmtId="0" fontId="13" fillId="14" borderId="10" xfId="20" applyFont="1" applyFill="1" applyBorder="1" applyAlignment="1">
      <alignment horizontal="left" vertical="center" wrapText="1"/>
    </xf>
    <xf numFmtId="0" fontId="13" fillId="14" borderId="11" xfId="20" applyFont="1" applyFill="1" applyBorder="1" applyAlignment="1">
      <alignment horizontal="left" vertical="center" wrapText="1"/>
    </xf>
    <xf numFmtId="0" fontId="13" fillId="14" borderId="12" xfId="20" applyFont="1" applyFill="1" applyBorder="1" applyAlignment="1">
      <alignment horizontal="left" vertical="center" wrapText="1"/>
    </xf>
    <xf numFmtId="0" fontId="13" fillId="0" borderId="2" xfId="20" applyFont="1" applyBorder="1" applyAlignment="1">
      <alignment horizontal="left" vertical="center" wrapText="1"/>
    </xf>
    <xf numFmtId="0" fontId="13" fillId="0" borderId="5" xfId="20" applyFont="1" applyBorder="1" applyAlignment="1">
      <alignment horizontal="left" vertical="center"/>
    </xf>
    <xf numFmtId="0" fontId="13" fillId="0" borderId="8" xfId="20" applyFont="1" applyBorder="1" applyAlignment="1">
      <alignment horizontal="left" vertical="center"/>
    </xf>
    <xf numFmtId="0" fontId="13" fillId="0" borderId="10" xfId="20" applyFont="1" applyBorder="1" applyAlignment="1">
      <alignment horizontal="left" vertical="center"/>
    </xf>
    <xf numFmtId="0" fontId="13" fillId="0" borderId="11" xfId="20" applyFont="1" applyBorder="1" applyAlignment="1">
      <alignment horizontal="left" vertical="center"/>
    </xf>
    <xf numFmtId="0" fontId="13" fillId="0" borderId="12" xfId="20" applyFont="1" applyBorder="1" applyAlignment="1">
      <alignment horizontal="left" vertical="center"/>
    </xf>
    <xf numFmtId="165" fontId="28" fillId="0" borderId="2" xfId="20" applyNumberFormat="1" applyFont="1" applyBorder="1" applyAlignment="1">
      <alignment horizontal="center" vertical="center" wrapText="1"/>
    </xf>
    <xf numFmtId="165" fontId="28" fillId="0" borderId="5" xfId="20" applyNumberFormat="1" applyFont="1" applyBorder="1" applyAlignment="1">
      <alignment horizontal="center" vertical="center" wrapText="1"/>
    </xf>
    <xf numFmtId="165" fontId="28" fillId="0" borderId="8" xfId="20" applyNumberFormat="1" applyFont="1" applyBorder="1" applyAlignment="1">
      <alignment horizontal="center" vertical="center" wrapText="1"/>
    </xf>
    <xf numFmtId="0" fontId="13" fillId="0" borderId="2" xfId="20" applyFont="1" applyBorder="1" applyAlignment="1">
      <alignment horizontal="center" vertical="center" wrapText="1"/>
    </xf>
    <xf numFmtId="0" fontId="13" fillId="0" borderId="5" xfId="20" applyFont="1" applyBorder="1" applyAlignment="1">
      <alignment horizontal="center" vertical="center" wrapText="1"/>
    </xf>
    <xf numFmtId="0" fontId="13" fillId="0" borderId="8" xfId="20" applyFont="1" applyBorder="1" applyAlignment="1">
      <alignment horizontal="center" vertical="center" wrapText="1"/>
    </xf>
    <xf numFmtId="49" fontId="28" fillId="0" borderId="2" xfId="20" applyNumberFormat="1" applyFont="1" applyBorder="1" applyAlignment="1">
      <alignment horizontal="center" vertical="center" wrapText="1"/>
    </xf>
    <xf numFmtId="49" fontId="28" fillId="0" borderId="8" xfId="20" applyNumberFormat="1" applyFont="1" applyBorder="1" applyAlignment="1">
      <alignment horizontal="center" vertical="center" wrapText="1"/>
    </xf>
    <xf numFmtId="165" fontId="28" fillId="0" borderId="10" xfId="20" applyNumberFormat="1" applyFont="1" applyBorder="1" applyAlignment="1">
      <alignment horizontal="center" vertical="center" wrapText="1"/>
    </xf>
    <xf numFmtId="165" fontId="28" fillId="0" borderId="12" xfId="20" applyNumberFormat="1" applyFont="1" applyBorder="1" applyAlignment="1">
      <alignment horizontal="center" vertical="center" wrapText="1"/>
    </xf>
    <xf numFmtId="49" fontId="28" fillId="0" borderId="4" xfId="20" applyNumberFormat="1" applyFont="1" applyBorder="1" applyAlignment="1">
      <alignment horizontal="center" vertical="center" wrapText="1"/>
    </xf>
    <xf numFmtId="49" fontId="28" fillId="0" borderId="7" xfId="20" applyNumberFormat="1" applyFont="1" applyBorder="1" applyAlignment="1">
      <alignment horizontal="center" vertical="center" wrapText="1"/>
    </xf>
    <xf numFmtId="0" fontId="49" fillId="0" borderId="0" xfId="24" applyFont="1" applyAlignment="1">
      <alignment horizontal="center" vertical="center" wrapText="1"/>
    </xf>
    <xf numFmtId="0" fontId="28" fillId="0" borderId="2" xfId="20" applyFont="1" applyBorder="1" applyAlignment="1">
      <alignment horizontal="center" vertical="center" wrapText="1"/>
    </xf>
    <xf numFmtId="0" fontId="28" fillId="0" borderId="5" xfId="20" applyFont="1" applyBorder="1" applyAlignment="1">
      <alignment horizontal="center" vertical="center" wrapText="1"/>
    </xf>
    <xf numFmtId="0" fontId="28" fillId="0" borderId="8" xfId="20" applyFont="1" applyBorder="1" applyAlignment="1">
      <alignment horizontal="center" vertical="center" wrapText="1"/>
    </xf>
    <xf numFmtId="165" fontId="28" fillId="0" borderId="11" xfId="20" applyNumberFormat="1" applyFont="1" applyBorder="1" applyAlignment="1">
      <alignment horizontal="center" vertical="center" wrapText="1"/>
    </xf>
    <xf numFmtId="165" fontId="28" fillId="0" borderId="10" xfId="22" applyNumberFormat="1" applyFont="1" applyBorder="1" applyAlignment="1">
      <alignment horizontal="center" vertical="center" wrapText="1"/>
    </xf>
    <xf numFmtId="165" fontId="28" fillId="0" borderId="12" xfId="22" applyNumberFormat="1" applyFont="1" applyBorder="1" applyAlignment="1">
      <alignment horizontal="center" vertical="center" wrapText="1"/>
    </xf>
    <xf numFmtId="165" fontId="28" fillId="0" borderId="9" xfId="22" applyNumberFormat="1" applyFont="1" applyBorder="1" applyAlignment="1">
      <alignment horizontal="center" vertical="center" wrapText="1"/>
    </xf>
    <xf numFmtId="0" fontId="13" fillId="0" borderId="9" xfId="22" applyFont="1" applyBorder="1" applyAlignment="1">
      <alignment horizontal="center" wrapText="1"/>
    </xf>
    <xf numFmtId="0" fontId="13" fillId="14" borderId="10" xfId="22" applyFont="1" applyFill="1" applyBorder="1" applyAlignment="1">
      <alignment horizontal="left" vertical="center" wrapText="1"/>
    </xf>
    <xf numFmtId="0" fontId="13" fillId="14" borderId="11" xfId="22" applyFont="1" applyFill="1" applyBorder="1" applyAlignment="1">
      <alignment horizontal="left" vertical="center" wrapText="1"/>
    </xf>
    <xf numFmtId="0" fontId="13" fillId="14" borderId="12" xfId="22" applyFont="1" applyFill="1" applyBorder="1" applyAlignment="1">
      <alignment horizontal="left" vertical="center" wrapText="1"/>
    </xf>
    <xf numFmtId="0" fontId="28" fillId="0" borderId="9" xfId="22" applyFont="1" applyBorder="1" applyAlignment="1">
      <alignment horizontal="center" vertical="center" wrapText="1"/>
    </xf>
    <xf numFmtId="0" fontId="28" fillId="0" borderId="2" xfId="22" applyFont="1" applyBorder="1" applyAlignment="1">
      <alignment horizontal="center" vertical="center" wrapText="1"/>
    </xf>
    <xf numFmtId="0" fontId="28" fillId="0" borderId="8" xfId="22" applyFont="1" applyBorder="1" applyAlignment="1">
      <alignment horizontal="center" vertical="center" wrapText="1"/>
    </xf>
    <xf numFmtId="0" fontId="28" fillId="9" borderId="2" xfId="22" applyFont="1" applyFill="1" applyBorder="1" applyAlignment="1">
      <alignment horizontal="center" vertical="center" wrapText="1"/>
    </xf>
    <xf numFmtId="0" fontId="28" fillId="9" borderId="8" xfId="22" applyFont="1" applyFill="1" applyBorder="1" applyAlignment="1">
      <alignment horizontal="center" vertical="center" wrapText="1"/>
    </xf>
    <xf numFmtId="0" fontId="28" fillId="9" borderId="10" xfId="22" applyFont="1" applyFill="1" applyBorder="1" applyAlignment="1">
      <alignment horizontal="center" vertical="center" wrapText="1"/>
    </xf>
    <xf numFmtId="0" fontId="28" fillId="9" borderId="12" xfId="22" applyFont="1" applyFill="1" applyBorder="1" applyAlignment="1">
      <alignment horizontal="center" vertical="center" wrapText="1"/>
    </xf>
  </cellXfs>
  <cellStyles count="58">
    <cellStyle name="Гиперссылка" xfId="24" builtinId="8"/>
    <cellStyle name="Обычный" xfId="0" builtinId="0"/>
    <cellStyle name="Обычный 10" xfId="36"/>
    <cellStyle name="Обычный 2" xfId="4"/>
    <cellStyle name="Обычный 2 2" xfId="25"/>
    <cellStyle name="Обычный 2 5" xfId="12"/>
    <cellStyle name="Обычный 3" xfId="20"/>
    <cellStyle name="Обычный 3 2" xfId="13"/>
    <cellStyle name="Обычный 3 2 2" xfId="32"/>
    <cellStyle name="Обычный 3 2 2 2" xfId="54"/>
    <cellStyle name="Обычный 3 2 3" xfId="40"/>
    <cellStyle name="Обычный 3 3" xfId="11"/>
    <cellStyle name="Обычный 3 4" xfId="44"/>
    <cellStyle name="Обычный 4" xfId="7"/>
    <cellStyle name="Обычный 5" xfId="16"/>
    <cellStyle name="Обычный 5 2" xfId="6"/>
    <cellStyle name="Обычный 5 2 2" xfId="30"/>
    <cellStyle name="Обычный 5 2 2 2" xfId="52"/>
    <cellStyle name="Обычный 5 2 3" xfId="38"/>
    <cellStyle name="Обычный 5 3" xfId="22"/>
    <cellStyle name="Обычный 5 3 2" xfId="46"/>
    <cellStyle name="Обычный 5 4" xfId="34"/>
    <cellStyle name="Обычный 5 4 2" xfId="56"/>
    <cellStyle name="Обычный 5 5" xfId="42"/>
    <cellStyle name="Обычный 6" xfId="9"/>
    <cellStyle name="Обычный 6 2" xfId="15"/>
    <cellStyle name="Обычный 6 2 2" xfId="33"/>
    <cellStyle name="Обычный 6 2 2 2" xfId="55"/>
    <cellStyle name="Обычный 6 2 3" xfId="41"/>
    <cellStyle name="Обычный 6 3" xfId="17"/>
    <cellStyle name="Обычный 6 3 2" xfId="35"/>
    <cellStyle name="Обычный 6 3 2 2" xfId="57"/>
    <cellStyle name="Обычный 6 3 3" xfId="43"/>
    <cellStyle name="Обычный 6 4" xfId="23"/>
    <cellStyle name="Обычный 6 4 2" xfId="47"/>
    <cellStyle name="Обычный 6 5" xfId="31"/>
    <cellStyle name="Обычный 6 5 2" xfId="53"/>
    <cellStyle name="Обычный 6 6" xfId="39"/>
    <cellStyle name="Обычный 7" xfId="10"/>
    <cellStyle name="Обычный 8" xfId="14"/>
    <cellStyle name="Обычный 9" xfId="26"/>
    <cellStyle name="Обычный 9 2" xfId="48"/>
    <cellStyle name="Процентный 2" xfId="18"/>
    <cellStyle name="Финансовый" xfId="1" builtinId="3"/>
    <cellStyle name="Финансовый 2" xfId="5"/>
    <cellStyle name="Финансовый 2 2" xfId="21"/>
    <cellStyle name="Финансовый 2 2 2" xfId="45"/>
    <cellStyle name="Финансовый 2 3" xfId="29"/>
    <cellStyle name="Финансовый 2 3 2" xfId="51"/>
    <cellStyle name="Финансовый 3" xfId="3"/>
    <cellStyle name="Финансовый 3 2" xfId="28"/>
    <cellStyle name="Финансовый 3 2 2" xfId="50"/>
    <cellStyle name="Финансовый 3 3" xfId="37"/>
    <cellStyle name="Финансовый 4" xfId="19"/>
    <cellStyle name="Финансовый 5" xfId="2"/>
    <cellStyle name="Финансовый 6" xfId="27"/>
    <cellStyle name="Финансовый 6 2" xfId="49"/>
    <cellStyle name="Финансовый 7" xfId="8"/>
  </cellStyles>
  <dxfs count="0"/>
  <tableStyles count="0" defaultTableStyle="TableStyleMedium2" defaultPivotStyle="PivotStyleMedium9"/>
  <colors>
    <mruColors>
      <color rgb="FF6CF8CD"/>
      <color rgb="FF6CF4C0"/>
      <color rgb="FF000000"/>
      <color rgb="FF13EDC3"/>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usernames" Target="revisions/userNam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9;&#1069;/&#1054;&#1058;&#1044;&#1045;&#1051;%20&#1040;&#1053;&#1040;&#1051;&#1048;&#1058;&#1048;&#1050;&#1048;/&#1052;&#1059;&#1053;&#1048;&#1062;&#1048;&#1055;&#1040;&#1051;&#1068;&#1053;&#1067;&#1045;%20&#1080;%20&#1043;&#1054;&#1057;.%20&#1055;&#1056;&#1054;&#1043;&#1056;&#1040;&#1052;&#1052;&#1067;/&#1048;&#1047;&#1052;&#1045;&#1053;&#1045;&#1053;&#1048;&#1071;%20&#1087;&#1086;%20&#1087;&#1088;&#1086;&#1075;&#1088;&#1072;&#1084;&#1084;&#1072;&#1084;%20(&#8470;362-&#1043;&#1044;)%2017.01.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Documents\&#1055;&#1088;&#1086;&#1075;&#1088;&#1072;&#1084;&#1084;&#1099;\&#1057;&#1077;&#1090;&#1077;&#1074;&#1099;&#1077;%20&#1075;&#1088;&#1072;&#1092;&#1080;&#1082;&#1080;\&#1054;&#1090;&#1095;&#1077;&#1090;%20&#1085;&#1072;%2001.08.2024\&#1057;&#1077;&#1090;&#1077;&#1074;&#1086;&#1081;%20&#1075;&#1088;&#1072;&#1092;&#1080;&#1082;%20&#1079;&#1072;%20&#1080;&#1102;&#1083;&#11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quot;Образование&quot;"/>
      <sheetName val="02 &quot;Соерж.объект.гор.хоз.&quot;"/>
      <sheetName val="03 &quot;Формирование ком.гор.ср.&quot;"/>
      <sheetName val="04 &quot;Культурное простр.&quot;"/>
      <sheetName val="05 &quot;Физ.культура&quot;"/>
      <sheetName val="06 &quot;Сод-е занятости&quot;"/>
      <sheetName val="07 &quot;АПК&quot;"/>
      <sheetName val="08 &quot;Развитие жил.сферы&quot;"/>
      <sheetName val="09 &quot;Развитие ЖКХ&quot;"/>
      <sheetName val="10 &quot;Проф.правонар.&quot;"/>
      <sheetName val="11 &quot;Безоп.жизни.&quot;"/>
      <sheetName val="12 &quot;Экологическая безопасность"/>
      <sheetName val="13 &quot;Соц.-экон. развитие&quot;"/>
      <sheetName val="14&quot;Трансп.система&quot;"/>
      <sheetName val="15&quot;Муницип.финансы&quot;"/>
      <sheetName val="16 &quot;Разв.институтов&quot;"/>
      <sheetName val="17 &quot;Муницип. имущество&quot;"/>
      <sheetName val="18 &quot;Укрепление межнац.соглас.&quot;"/>
      <sheetName val="19 &quot;Муницип. служба&quot;"/>
      <sheetName val="свод"/>
    </sheetNames>
    <sheetDataSet>
      <sheetData sheetId="0"/>
      <sheetData sheetId="1"/>
      <sheetData sheetId="2"/>
      <sheetData sheetId="3">
        <row r="8">
          <cell r="C8">
            <v>494514.2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158074.99999999997</v>
          </cell>
        </row>
      </sheetData>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МП СОГХ (2)"/>
      <sheetName val="19.МП СОГХ"/>
      <sheetName val="УКС"/>
      <sheetName val="КСАТ"/>
    </sheetNames>
    <sheetDataSet>
      <sheetData sheetId="0"/>
      <sheetData sheetId="1"/>
      <sheetData sheetId="2">
        <row r="25">
          <cell r="H25">
            <v>139.28</v>
          </cell>
          <cell r="I25">
            <v>58.84</v>
          </cell>
          <cell r="J25">
            <v>95.47</v>
          </cell>
          <cell r="K25">
            <v>95.47</v>
          </cell>
          <cell r="L25">
            <v>2083.61</v>
          </cell>
          <cell r="M25">
            <v>2164.06</v>
          </cell>
          <cell r="N25">
            <v>620.52</v>
          </cell>
          <cell r="O25">
            <v>620.46</v>
          </cell>
          <cell r="P25">
            <v>331.97</v>
          </cell>
          <cell r="Q25">
            <v>331.97</v>
          </cell>
          <cell r="R25">
            <v>819.74</v>
          </cell>
          <cell r="S25">
            <v>599.91</v>
          </cell>
          <cell r="T25">
            <v>5736.15</v>
          </cell>
          <cell r="U25">
            <v>5263.76</v>
          </cell>
          <cell r="V25">
            <v>2697.29</v>
          </cell>
          <cell r="X25">
            <v>8764.11</v>
          </cell>
          <cell r="Z25">
            <v>27106.13</v>
          </cell>
          <cell r="AB25">
            <v>1562.97</v>
          </cell>
          <cell r="AD25">
            <v>3637.56</v>
          </cell>
        </row>
        <row r="31">
          <cell r="L31">
            <v>576.30999999999995</v>
          </cell>
          <cell r="S31">
            <v>576.30999999999995</v>
          </cell>
          <cell r="Z31">
            <v>1199.4000000000001</v>
          </cell>
          <cell r="AB31">
            <v>10728.800000000001</v>
          </cell>
        </row>
        <row r="43">
          <cell r="J43">
            <v>1136.68</v>
          </cell>
          <cell r="K43">
            <v>2528.5500000000002</v>
          </cell>
          <cell r="L43">
            <v>817.05</v>
          </cell>
          <cell r="M43">
            <v>817.05</v>
          </cell>
          <cell r="N43">
            <v>509.07</v>
          </cell>
          <cell r="O43">
            <v>509.07</v>
          </cell>
          <cell r="P43">
            <v>14.54</v>
          </cell>
          <cell r="R43">
            <v>109.61</v>
          </cell>
          <cell r="T43">
            <v>706.92</v>
          </cell>
          <cell r="V43">
            <v>1073.97</v>
          </cell>
          <cell r="X43">
            <v>1386.93</v>
          </cell>
          <cell r="Z43">
            <v>1379.96</v>
          </cell>
          <cell r="AB43">
            <v>117.71</v>
          </cell>
        </row>
        <row r="49">
          <cell r="J49">
            <v>4416.78</v>
          </cell>
          <cell r="K49">
            <v>3753.79</v>
          </cell>
          <cell r="L49">
            <v>3914.74</v>
          </cell>
          <cell r="M49">
            <v>3423.23</v>
          </cell>
          <cell r="N49">
            <v>3468.85</v>
          </cell>
          <cell r="O49">
            <v>3385.52</v>
          </cell>
          <cell r="P49">
            <v>2966.74</v>
          </cell>
          <cell r="Q49">
            <v>2326.7800000000002</v>
          </cell>
          <cell r="R49">
            <v>2418.04</v>
          </cell>
          <cell r="S49">
            <v>2843.9</v>
          </cell>
          <cell r="T49">
            <v>2437.6799999999998</v>
          </cell>
          <cell r="U49">
            <v>3049.43</v>
          </cell>
          <cell r="V49">
            <v>3029.84</v>
          </cell>
          <cell r="X49">
            <v>3464.74</v>
          </cell>
          <cell r="Z49">
            <v>5454.8399999999992</v>
          </cell>
          <cell r="AB49">
            <v>4724.75</v>
          </cell>
          <cell r="AD49">
            <v>4842.1600000000008</v>
          </cell>
        </row>
        <row r="55">
          <cell r="L55">
            <v>453.21</v>
          </cell>
          <cell r="M55">
            <v>470</v>
          </cell>
          <cell r="N55">
            <v>501.52000000000004</v>
          </cell>
          <cell r="O55">
            <v>540.30999999999995</v>
          </cell>
          <cell r="P55">
            <v>474.94</v>
          </cell>
          <cell r="Q55">
            <v>414.16</v>
          </cell>
          <cell r="R55">
            <v>427.2</v>
          </cell>
          <cell r="S55">
            <v>453.33</v>
          </cell>
          <cell r="T55">
            <v>476.99</v>
          </cell>
          <cell r="U55">
            <v>507.9</v>
          </cell>
          <cell r="V55">
            <v>518.82000000000005</v>
          </cell>
          <cell r="X55">
            <v>466.76</v>
          </cell>
          <cell r="Z55">
            <v>518.83000000000004</v>
          </cell>
          <cell r="AB55">
            <v>847.31999999999994</v>
          </cell>
          <cell r="AD55">
            <v>323.39</v>
          </cell>
        </row>
        <row r="61">
          <cell r="Z61">
            <v>992.2</v>
          </cell>
        </row>
        <row r="66">
          <cell r="H66">
            <v>526.79999999999995</v>
          </cell>
          <cell r="I66">
            <v>248.69</v>
          </cell>
          <cell r="J66">
            <v>68.5</v>
          </cell>
          <cell r="K66">
            <v>129.43</v>
          </cell>
          <cell r="M66">
            <v>217.18</v>
          </cell>
        </row>
        <row r="67">
          <cell r="J67">
            <v>888.35</v>
          </cell>
          <cell r="K67">
            <v>327.91</v>
          </cell>
          <cell r="L67">
            <v>1234.31</v>
          </cell>
          <cell r="M67">
            <v>327.39999999999998</v>
          </cell>
          <cell r="N67">
            <v>774.46999999999991</v>
          </cell>
          <cell r="O67">
            <v>699.64</v>
          </cell>
          <cell r="P67">
            <v>510.59</v>
          </cell>
          <cell r="Q67">
            <v>56.55</v>
          </cell>
          <cell r="R67">
            <v>603.70000000000005</v>
          </cell>
          <cell r="S67">
            <v>104.65</v>
          </cell>
          <cell r="T67">
            <v>1205.71</v>
          </cell>
          <cell r="U67">
            <v>1099.72</v>
          </cell>
          <cell r="V67">
            <v>576.46</v>
          </cell>
          <cell r="X67">
            <v>576.45000000000005</v>
          </cell>
          <cell r="Z67">
            <v>576.46</v>
          </cell>
          <cell r="AB67">
            <v>570.6</v>
          </cell>
          <cell r="AD67">
            <v>1740.2</v>
          </cell>
        </row>
        <row r="73">
          <cell r="N73">
            <v>330.3</v>
          </cell>
          <cell r="O73">
            <v>461.81</v>
          </cell>
          <cell r="T73">
            <v>606.1</v>
          </cell>
          <cell r="U73">
            <v>598.14</v>
          </cell>
        </row>
        <row r="79">
          <cell r="Z79">
            <v>3884</v>
          </cell>
        </row>
        <row r="85">
          <cell r="T85">
            <v>600</v>
          </cell>
          <cell r="V85">
            <v>70</v>
          </cell>
        </row>
      </sheetData>
      <sheetData sheetId="3">
        <row r="19">
          <cell r="H19">
            <v>5009.18</v>
          </cell>
          <cell r="I19">
            <v>1954.18</v>
          </cell>
          <cell r="J19">
            <v>7202.25</v>
          </cell>
          <cell r="K19">
            <v>4076.99</v>
          </cell>
          <cell r="L19">
            <v>6738.31</v>
          </cell>
          <cell r="M19">
            <v>3595.14</v>
          </cell>
          <cell r="N19">
            <v>5721.53</v>
          </cell>
          <cell r="O19">
            <v>4581.09</v>
          </cell>
          <cell r="P19">
            <v>6300.2099999999991</v>
          </cell>
          <cell r="Q19">
            <v>4011.42</v>
          </cell>
          <cell r="R19">
            <v>11553</v>
          </cell>
          <cell r="S19">
            <v>4311.21</v>
          </cell>
          <cell r="T19">
            <v>5837.2800000000007</v>
          </cell>
          <cell r="U19">
            <v>9962.83</v>
          </cell>
          <cell r="V19">
            <v>13987.58</v>
          </cell>
          <cell r="X19">
            <v>3520.33</v>
          </cell>
          <cell r="Z19">
            <v>4565.5</v>
          </cell>
          <cell r="AB19">
            <v>4081.58</v>
          </cell>
          <cell r="AD19">
            <v>3925.89</v>
          </cell>
        </row>
      </sheetData>
    </sheetDataSet>
  </externalBook>
</externalLink>
</file>

<file path=xl/revisions/_rels/revisionHeaders.xml.rels><?xml version="1.0" encoding="UTF-8" standalone="yes"?>
<Relationships xmlns="http://schemas.openxmlformats.org/package/2006/relationships"><Relationship Id="rId286" Type="http://schemas.openxmlformats.org/officeDocument/2006/relationships/revisionLog" Target="revisionLog63.xml"/><Relationship Id="rId252" Type="http://schemas.openxmlformats.org/officeDocument/2006/relationships/revisionLog" Target="revisionLog41.xml"/><Relationship Id="rId273" Type="http://schemas.openxmlformats.org/officeDocument/2006/relationships/revisionLog" Target="revisionLog50.xml"/><Relationship Id="rId294" Type="http://schemas.openxmlformats.org/officeDocument/2006/relationships/revisionLog" Target="revisionLog71.xml"/><Relationship Id="rId299" Type="http://schemas.openxmlformats.org/officeDocument/2006/relationships/revisionLog" Target="revisionLog76.xml"/><Relationship Id="rId303" Type="http://schemas.openxmlformats.org/officeDocument/2006/relationships/revisionLog" Target="revisionLog80.xml"/><Relationship Id="rId260" Type="http://schemas.openxmlformats.org/officeDocument/2006/relationships/revisionLog" Target="revisionLog97.xml"/><Relationship Id="rId265" Type="http://schemas.openxmlformats.org/officeDocument/2006/relationships/revisionLog" Target="revisionLog102.xml"/><Relationship Id="rId281" Type="http://schemas.openxmlformats.org/officeDocument/2006/relationships/revisionLog" Target="revisionLog58.xml"/><Relationship Id="rId308" Type="http://schemas.openxmlformats.org/officeDocument/2006/relationships/revisionLog" Target="revisionLog4.xml"/><Relationship Id="rId316" Type="http://schemas.openxmlformats.org/officeDocument/2006/relationships/revisionLog" Target="revisionLog12.xml"/><Relationship Id="rId311" Type="http://schemas.openxmlformats.org/officeDocument/2006/relationships/revisionLog" Target="revisionLog7.xml"/><Relationship Id="rId297" Type="http://schemas.openxmlformats.org/officeDocument/2006/relationships/revisionLog" Target="revisionLog74.xml"/><Relationship Id="rId306" Type="http://schemas.openxmlformats.org/officeDocument/2006/relationships/revisionLog" Target="revisionLog2.xml"/><Relationship Id="rId292" Type="http://schemas.openxmlformats.org/officeDocument/2006/relationships/revisionLog" Target="revisionLog69.xml"/><Relationship Id="rId255" Type="http://schemas.openxmlformats.org/officeDocument/2006/relationships/revisionLog" Target="revisionLog94.xml"/><Relationship Id="rId263" Type="http://schemas.openxmlformats.org/officeDocument/2006/relationships/revisionLog" Target="revisionLog100.xml"/><Relationship Id="rId268" Type="http://schemas.openxmlformats.org/officeDocument/2006/relationships/revisionLog" Target="revisionLog105.xml"/><Relationship Id="rId271" Type="http://schemas.openxmlformats.org/officeDocument/2006/relationships/revisionLog" Target="revisionLog48.xml"/><Relationship Id="rId276" Type="http://schemas.openxmlformats.org/officeDocument/2006/relationships/revisionLog" Target="revisionLog53.xml"/><Relationship Id="rId284" Type="http://schemas.openxmlformats.org/officeDocument/2006/relationships/revisionLog" Target="revisionLog61.xml"/><Relationship Id="rId289" Type="http://schemas.openxmlformats.org/officeDocument/2006/relationships/revisionLog" Target="revisionLog66.xml"/><Relationship Id="rId301" Type="http://schemas.openxmlformats.org/officeDocument/2006/relationships/revisionLog" Target="revisionLog78.xml"/><Relationship Id="rId288" Type="http://schemas.openxmlformats.org/officeDocument/2006/relationships/revisionLog" Target="revisionLog65.xml"/><Relationship Id="rId267" Type="http://schemas.openxmlformats.org/officeDocument/2006/relationships/revisionLog" Target="revisionLog104.xml"/><Relationship Id="rId259" Type="http://schemas.openxmlformats.org/officeDocument/2006/relationships/revisionLog" Target="revisionLog96.xml"/><Relationship Id="rId254" Type="http://schemas.openxmlformats.org/officeDocument/2006/relationships/revisionLog" Target="revisionLog43.xml"/><Relationship Id="rId314" Type="http://schemas.openxmlformats.org/officeDocument/2006/relationships/revisionLog" Target="revisionLog10.xml"/><Relationship Id="rId300" Type="http://schemas.openxmlformats.org/officeDocument/2006/relationships/revisionLog" Target="revisionLog77.xml"/><Relationship Id="rId305" Type="http://schemas.openxmlformats.org/officeDocument/2006/relationships/revisionLog" Target="revisionLog1.xml"/><Relationship Id="rId262" Type="http://schemas.openxmlformats.org/officeDocument/2006/relationships/revisionLog" Target="revisionLog99.xml"/><Relationship Id="rId270" Type="http://schemas.openxmlformats.org/officeDocument/2006/relationships/revisionLog" Target="revisionLog47.xml"/><Relationship Id="rId275" Type="http://schemas.openxmlformats.org/officeDocument/2006/relationships/revisionLog" Target="revisionLog52.xml"/><Relationship Id="rId283" Type="http://schemas.openxmlformats.org/officeDocument/2006/relationships/revisionLog" Target="revisionLog60.xml"/><Relationship Id="rId291" Type="http://schemas.openxmlformats.org/officeDocument/2006/relationships/revisionLog" Target="revisionLog68.xml"/><Relationship Id="rId296" Type="http://schemas.openxmlformats.org/officeDocument/2006/relationships/revisionLog" Target="revisionLog73.xml"/><Relationship Id="rId313" Type="http://schemas.openxmlformats.org/officeDocument/2006/relationships/revisionLog" Target="revisionLog9.xml"/><Relationship Id="rId318" Type="http://schemas.openxmlformats.org/officeDocument/2006/relationships/revisionLog" Target="revisionLog14.xml"/><Relationship Id="rId295" Type="http://schemas.openxmlformats.org/officeDocument/2006/relationships/revisionLog" Target="revisionLog72.xml"/><Relationship Id="rId287" Type="http://schemas.openxmlformats.org/officeDocument/2006/relationships/revisionLog" Target="revisionLog64.xml"/><Relationship Id="rId279" Type="http://schemas.openxmlformats.org/officeDocument/2006/relationships/revisionLog" Target="revisionLog56.xml"/><Relationship Id="rId309" Type="http://schemas.openxmlformats.org/officeDocument/2006/relationships/revisionLog" Target="revisionLog5.xml"/><Relationship Id="rId274" Type="http://schemas.openxmlformats.org/officeDocument/2006/relationships/revisionLog" Target="revisionLog51.xml"/><Relationship Id="rId253" Type="http://schemas.openxmlformats.org/officeDocument/2006/relationships/revisionLog" Target="revisionLog42.xml"/><Relationship Id="rId258" Type="http://schemas.openxmlformats.org/officeDocument/2006/relationships/revisionLog" Target="revisionLog45.xml"/><Relationship Id="rId261" Type="http://schemas.openxmlformats.org/officeDocument/2006/relationships/revisionLog" Target="revisionLog98.xml"/><Relationship Id="rId266" Type="http://schemas.openxmlformats.org/officeDocument/2006/relationships/revisionLog" Target="revisionLog103.xml"/><Relationship Id="rId282" Type="http://schemas.openxmlformats.org/officeDocument/2006/relationships/revisionLog" Target="revisionLog59.xml"/><Relationship Id="rId290" Type="http://schemas.openxmlformats.org/officeDocument/2006/relationships/revisionLog" Target="revisionLog67.xml"/><Relationship Id="rId304" Type="http://schemas.openxmlformats.org/officeDocument/2006/relationships/revisionLog" Target="revisionLog81.xml"/><Relationship Id="rId257" Type="http://schemas.openxmlformats.org/officeDocument/2006/relationships/revisionLog" Target="revisionLog44.xml"/><Relationship Id="rId278" Type="http://schemas.openxmlformats.org/officeDocument/2006/relationships/revisionLog" Target="revisionLog55.xml"/><Relationship Id="rId312" Type="http://schemas.openxmlformats.org/officeDocument/2006/relationships/revisionLog" Target="revisionLog8.xml"/><Relationship Id="rId317" Type="http://schemas.openxmlformats.org/officeDocument/2006/relationships/revisionLog" Target="revisionLog13.xml"/><Relationship Id="rId277" Type="http://schemas.openxmlformats.org/officeDocument/2006/relationships/revisionLog" Target="revisionLog54.xml"/><Relationship Id="rId298" Type="http://schemas.openxmlformats.org/officeDocument/2006/relationships/revisionLog" Target="revisionLog75.xml"/><Relationship Id="rId285" Type="http://schemas.openxmlformats.org/officeDocument/2006/relationships/revisionLog" Target="revisionLog62.xml"/><Relationship Id="rId269" Type="http://schemas.openxmlformats.org/officeDocument/2006/relationships/revisionLog" Target="revisionLog46.xml"/><Relationship Id="rId264" Type="http://schemas.openxmlformats.org/officeDocument/2006/relationships/revisionLog" Target="revisionLog101.xml"/><Relationship Id="rId256" Type="http://schemas.openxmlformats.org/officeDocument/2006/relationships/revisionLog" Target="revisionLog95.xml"/><Relationship Id="rId251" Type="http://schemas.openxmlformats.org/officeDocument/2006/relationships/revisionLog" Target="revisionLog40.xml"/><Relationship Id="rId272" Type="http://schemas.openxmlformats.org/officeDocument/2006/relationships/revisionLog" Target="revisionLog49.xml"/><Relationship Id="rId280" Type="http://schemas.openxmlformats.org/officeDocument/2006/relationships/revisionLog" Target="revisionLog57.xml"/><Relationship Id="rId293" Type="http://schemas.openxmlformats.org/officeDocument/2006/relationships/revisionLog" Target="revisionLog70.xml"/><Relationship Id="rId302" Type="http://schemas.openxmlformats.org/officeDocument/2006/relationships/revisionLog" Target="revisionLog79.xml"/><Relationship Id="rId307" Type="http://schemas.openxmlformats.org/officeDocument/2006/relationships/revisionLog" Target="revisionLog3.xml"/><Relationship Id="rId310" Type="http://schemas.openxmlformats.org/officeDocument/2006/relationships/revisionLog" Target="revisionLog6.xml"/><Relationship Id="rId315" Type="http://schemas.openxmlformats.org/officeDocument/2006/relationships/revisionLog" Target="revisionLog1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E08F1A2-466C-4E28-B62D-E6AD5658D66A}" diskRevisions="1" revisionId="15525" version="84">
  <header guid="{BEAE5738-61D9-4305-812C-0CDB9D43BCE0}" dateTime="2024-07-17T15:36:34" maxSheetId="24" userName="Степаненко Наталья Алексеевна" r:id="rId251" minRId="10004" maxRId="10007">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A1ADD69-0423-4AED-9695-E4EF701B5246}" dateTime="2024-07-19T16:26:35" maxSheetId="24" userName="Мартынова Снежана Владимировна" r:id="rId252" minRId="1000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0B4D937C-8096-447B-B1E0-234972355D33}" dateTime="2024-07-19T16:30:28" maxSheetId="24" userName="Мартынова Снежана Владимировна" r:id="rId253" minRId="10020" maxRId="10028">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B3C76E3-E2C3-48B6-BC57-ACDA8E8E4B11}" dateTime="2024-07-19T16:33:45" maxSheetId="24" userName="Мартынова Снежана Владимировна" r:id="rId254" minRId="10040" maxRId="1004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F63F6347-4279-4DBD-B172-D65A7A5B853C}" dateTime="2024-07-19T16:41:01" maxSheetId="24" userName="Мартынова Снежана Владимировна" r:id="rId255" minRId="10042" maxRId="10046">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51BAE897-AC91-46AB-90D5-03BD0DA10AC0}" dateTime="2024-07-19T16:49:42" maxSheetId="24" userName="Мартынова Снежана Владимировна" r:id="rId256" minRId="10047" maxRId="1005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33E9972C-6507-4956-B340-97599843E94C}" dateTime="2024-07-22T18:12:59" maxSheetId="24" userName="Подворчан Оксана" r:id="rId257" minRId="10051">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7868C792-F1EB-4BD9-B0C8-63E2B27D81FE}" dateTime="2024-07-23T12:04:56" maxSheetId="24" userName="Лукманова Эльвира Наильевна" r:id="rId258" minRId="10052" maxRId="1008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F667520A-D35B-4859-ADB4-8A66F0897EB6}" dateTime="2024-08-02T15:00:14" maxSheetId="24" userName="Подворчан Оксана" r:id="rId259" minRId="10083" maxRId="10152">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2306FDD3-A076-4565-BA70-4F431648B6F4}" dateTime="2024-08-02T16:12:30" maxSheetId="24" userName="Подворчан Оксана" r:id="rId260" minRId="10164" maxRId="10185">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48F5A30A-D394-47AE-955B-755EF8129918}" dateTime="2024-08-02T16:50:43" maxSheetId="24" userName="Подворчан Оксана" r:id="rId261" minRId="10197" maxRId="10223">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8FF76A05-FAEA-4FA8-A446-D1DE5E0EDEF9}" dateTime="2024-08-02T16:58:00" maxSheetId="24" userName="Подворчан Оксана" r:id="rId262" minRId="10235" maxRId="10250">
    <sheetIdMap count="23">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Map>
  </header>
  <header guid="{E256AD5F-F020-4D13-98E6-9F6885D7BBF2}" dateTime="2024-08-05T11:24:50" maxSheetId="25" userName="Цыганкова Ирина Анатольевн" r:id="rId263" minRId="10251" maxRId="10282">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4EC4867C-BA2B-41AA-8A7D-1D2036C40054}" dateTime="2024-08-05T11:34:22" maxSheetId="25" userName="Цыганкова Ирина Анатольевн" r:id="rId264" minRId="10294" maxRId="10303">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53F95EAC-2A89-4C4C-B4F1-C5242A56FB55}" dateTime="2024-08-05T11:38:47" maxSheetId="25" userName="Подворчан Оксана" r:id="rId265" minRId="10315" maxRId="1036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ABA22766-A898-490F-AE9B-34C2600EB6D3}" dateTime="2024-08-05T11:41:25" maxSheetId="25" userName="Цыганкова Ирина Анатольевн" r:id="rId266" minRId="10362" maxRId="1037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0C66B9BC-B1E5-4423-854D-FD452AA4B0A1}" dateTime="2024-08-05T11:47:42" maxSheetId="25" userName="Цыганкова Ирина Анатольевн" r:id="rId267" minRId="10391" maxRId="10394">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47F9A520-5E75-4EE7-BA59-98624E773A55}" dateTime="2024-08-05T11:54:03" maxSheetId="25" userName="Цыганкова Ирина Анатольевн" r:id="rId268" minRId="1040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4ABD59FE-8E9A-4BC5-9456-596542674ED8}" dateTime="2024-08-05T14:07:26" maxSheetId="25" userName="Грязнова Екатерина Владимировна" r:id="rId269" minRId="10407" maxRId="1041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C7C4A1D9-BF7F-43BA-9AE9-828ED3B0A076}" dateTime="2024-08-05T14:09:22" maxSheetId="25" userName="Грязнова Екатерина Владимировна" r:id="rId270" minRId="10417">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E094B921-A821-4D3F-BAC1-1E05902B1F82}" dateTime="2024-08-05T18:01:24" maxSheetId="25" userName="Хамадуллина Анастасия Олеговна" r:id="rId271" minRId="10418" maxRId="10463">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C4A66540-DAC0-4D2F-AD72-8740E7D50AE6}" dateTime="2024-08-06T09:23:01" maxSheetId="25" userName="Хамадуллина Анастасия Олеговна" r:id="rId272" minRId="10464">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4860D849-3400-403C-AF87-BA04410EE399}" dateTime="2024-08-06T11:17:23" maxSheetId="25" userName="Кудла Александр Владимирович" r:id="rId273" minRId="10476" maxRId="1175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1AD7FFE1-7BCB-47DC-851A-6C3F0588C670}" dateTime="2024-08-06T12:25:52" maxSheetId="25" userName="Ларионова Галина Владимировна" r:id="rId274" minRId="11768" maxRId="13695">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DBEF3B87-5546-4316-84B7-38BF4EFFDB2C}" dateTime="2024-08-06T12:28:34" maxSheetId="25" userName="Ларионова Галина Владимировна" r:id="rId275" minRId="13707" maxRId="1370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3AD3C892-DEE5-4FDF-A759-0EBE59988098}" dateTime="2024-08-08T10:26:59" maxSheetId="25" userName="Цёвка Елена Александровна" r:id="rId27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5C4F3E1A-CC61-4854-87EF-723036DEB31B}" dateTime="2024-08-09T11:31:12" maxSheetId="25" userName="Смекалин Дмитрий Александрович" r:id="rId277" minRId="13732" maxRId="1374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8E6F7B61-4186-4C94-ACAA-B9D12ADC3911}" dateTime="2024-08-09T11:37:43" maxSheetId="25" userName="Смекалин Дмитрий Александрович" r:id="rId278" minRId="13753" maxRId="13767">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96193B4D-181A-48D7-83C4-43A21BBA34D7}" dateTime="2024-08-09T11:40:58" maxSheetId="25" userName="Смекалин Дмитрий Александрович" r:id="rId279" minRId="13768" maxRId="13775">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3298F8E9-1A10-4054-B150-DA5EEA4EBF66}" dateTime="2024-08-09T11:43:36" maxSheetId="25" userName="Смекалин Дмитрий Александрович" r:id="rId280" minRId="13776" maxRId="1377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81816083-473A-4FC1-9D13-D0BAE0340992}" dateTime="2024-08-09T11:44:36" maxSheetId="25" userName="Смекалин Дмитрий Александрович" r:id="rId281" minRId="13780" maxRId="13782">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B62A295B-B0F1-45A2-BE59-80409191A54E}" dateTime="2024-08-12T08:47:51" maxSheetId="25" userName="Цыганкова Ирина Анатольевн" r:id="rId282" minRId="13783" maxRId="1378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9D4D85D8-BF61-48E0-A74F-8AAF67449F7E}" dateTime="2024-08-12T16:24:45" maxSheetId="25" userName="агомедов Алихан Магомедханович" r:id="rId283" minRId="13789" maxRId="1410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768814F3-BABB-4119-B22D-07E3E8A18ECB}" dateTime="2024-08-12T16:52:28" maxSheetId="25" userName="агомедов Алихан Магомедханович" r:id="rId284" minRId="1410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18208C99-C138-4E45-A501-CEB60630A14F}" dateTime="2024-08-12T17:06:52" maxSheetId="25" userName="агомедов Алихан Магомедханович" r:id="rId285" minRId="14110">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146D7989-647B-45A4-9D3B-2329BFCA3B6E}" dateTime="2024-08-12T17:09:52" maxSheetId="25" userName="агомедов Алихан Магомедханович" r:id="rId286" minRId="1411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A26A4A34-78E8-4A9D-846F-C03B54D15095}" dateTime="2024-08-12T17:16:14" maxSheetId="25" userName="агомедов Алихан Магомедханович" r:id="rId287" minRId="14112">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F8EC20FE-4624-4A56-9887-F516692C11F7}" dateTime="2024-08-12T17:19:44" maxSheetId="25" userName="агомедов Алихан Магомедханович" r:id="rId288" minRId="14113">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22D941A3-139E-4314-BD06-29BBFAC81DE1}" dateTime="2024-08-12T17:44:21" maxSheetId="25" userName="агомедов Алихан Магомедханович" r:id="rId289" minRId="14114">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B2E76EC6-9376-4ABB-8BCA-460DB6D008E0}" dateTime="2024-08-13T12:27:00" maxSheetId="25" userName="Митина Екатерина Сергеевна" r:id="rId290" minRId="14115">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D39314F8-1BE8-456C-B8B1-863110FC5269}" dateTime="2024-08-13T12:29:13" maxSheetId="25" userName="Подворчан Оксана" r:id="rId291" minRId="14127" maxRId="1431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39473836-A431-4BAA-B3C3-5B22DB9A4B10}" dateTime="2024-08-13T14:23:12" maxSheetId="25" userName="Подворчан Оксана" r:id="rId292" minRId="14330" maxRId="14482">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651EDB7A-7EA1-49D7-9011-A352417F95A0}" dateTime="2024-08-13T14:23:46" maxSheetId="25" userName="Митина Екатерина Сергеевна" r:id="rId293" minRId="14494" maxRId="14525">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764A61A4-DA85-4307-A90F-4EF1510756E8}" dateTime="2024-08-13T14:25:58" maxSheetId="25" userName="Митина Екатерина Сергеевна" r:id="rId294" minRId="14526" maxRId="14530">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91E21576-24B5-473F-BB94-404CF9F5F0CB}" dateTime="2024-08-13T15:01:42" maxSheetId="25" userName="Подворчан Оксана" r:id="rId295" minRId="14531" maxRId="14544">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65A941D0-F420-4C7C-9A6F-9AEE28668A0D}" dateTime="2024-08-13T15:04:27" maxSheetId="25" userName="Подворчан Оксана" r:id="rId296" minRId="14545" maxRId="1454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05C79B5A-5659-4D3D-BBFA-46D6424922D5}" dateTime="2024-08-13T16:05:47" maxSheetId="25" userName="Подворчан Оксана" r:id="rId297" minRId="14558" maxRId="14560">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C7A79058-8C50-422C-AB59-E21CA957D03B}" dateTime="2024-08-13T16:48:33" maxSheetId="25" userName="Подворчан Оксана" r:id="rId298" minRId="14561" maxRId="1457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6BCF74D5-CCD4-456E-9A70-26132755CFAF}" dateTime="2024-08-13T16:51:23" maxSheetId="25" userName="Подворчан Оксана" r:id="rId299" minRId="14579" maxRId="1470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40A8B1B8-62FE-46EC-A607-A44E08A1DEA3}" dateTime="2024-08-13T16:52:17" maxSheetId="25" userName="Подворчан Оксана" r:id="rId300" minRId="1470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2E3478BB-32E3-40B1-BDBB-2E3CC4DF12D2}" dateTime="2024-08-13T16:55:55" maxSheetId="25" userName="Подворчан Оксана" r:id="rId301" minRId="14710" maxRId="14713">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C7B0E9FD-5399-4959-834B-9AF9110A1443}" dateTime="2024-08-13T17:07:49" maxSheetId="25" userName="Подворчан Оксана" r:id="rId302" minRId="14714" maxRId="14717">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84EE3BE8-1EC2-4D41-9FCC-188FE43DC9A9}" dateTime="2024-08-15T10:59:17" maxSheetId="25" userName="Подворчан Оксана" r:id="rId303" minRId="1471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87D6FACC-AD60-42E2-A008-0F309BFE5819}" dateTime="2024-08-15T11:09:23" maxSheetId="25" userName="Подворчан Оксана" r:id="rId304" minRId="14730">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3FF17B11-4272-4F2D-94ED-89F5F7231BA1}" dateTime="2024-08-15T11:10:54" maxSheetId="25" userName="Подворчан Оксана" r:id="rId305" minRId="1473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BF1A4518-D0CE-4979-A718-0F6783DA6F21}" dateTime="2024-08-15T11:17:38" maxSheetId="25" userName="Подворчан Оксана" r:id="rId30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C52F38DE-DFE1-4F31-92D8-1CCDB7623F64}" dateTime="2024-08-15T12:15:15" maxSheetId="25" userName="Колесник Елена Николаевна" r:id="rId307" minRId="14743" maxRId="1475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504E5544-C396-499D-B8B9-269DC6D9E5B1}" dateTime="2024-08-15T12:22:23" maxSheetId="25" userName="Колесник Елена Николаевна" r:id="rId308" minRId="14752" maxRId="14756">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954C7755-5876-4D3E-A02C-9AD606071663}" dateTime="2024-08-16T16:37:37" maxSheetId="25" userName="Цыганкова Ирина Анатольевн" r:id="rId309" minRId="14768" maxRId="14797">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1DB4E79C-7DD8-42CD-A90A-2AAB1A570A9E}" dateTime="2024-08-16T16:39:06" maxSheetId="25" userName="Цыганкова Ирина Анатольевн" r:id="rId310" minRId="14798" maxRId="1479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8E20F649-DECA-4A9F-9BCD-D5E9EBE2FDDC}" dateTime="2024-08-17T21:29:28" maxSheetId="25" userName="Корнишина Марина Геннадьевна" r:id="rId31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A4EE6491-7C73-4053-8F81-0A01B180DA9E}" dateTime="2024-08-19T18:01:09" maxSheetId="25" userName="Шамерзоева Татьяна Федоровна" r:id="rId312" minRId="14811" maxRId="14824">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9299A524-886B-49C7-BC17-8C063C4C787F}" dateTime="2024-08-20T11:32:13" maxSheetId="25" userName="Шамерзоева Татьяна Федоровна" r:id="rId313" minRId="14836" maxRId="14858">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E1C9631A-BD78-4B3C-A89E-1438FE2B3989}" dateTime="2024-08-20T11:33:54" maxSheetId="25" userName="Шамерзоева Татьяна Федоровна" r:id="rId314" minRId="14859">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C1C88683-5506-47BF-B242-8C0798C75326}" dateTime="2024-08-27T14:38:49" maxSheetId="25" userName="Тихонова Лариса Анатольевна" r:id="rId315" minRId="14860" maxRId="14921">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45192013-A72D-4CBC-96B0-5937A512A302}" dateTime="2024-08-27T15:29:04" maxSheetId="25" userName="Тихонова Лариса Анатольевна" r:id="rId316" minRId="14922" maxRId="14923">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24050C23-E83C-41B8-A529-4F436E58A54D}" dateTime="2024-08-27T16:21:34" maxSheetId="25" userName="Тихонова Лариса Анатольевна" r:id="rId317" minRId="14924" maxRId="14933">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 guid="{2E08F1A2-466C-4E28-B62D-E6AD5658D66A}" dateTime="2024-08-27T16:40:05" maxSheetId="25" userName="Тихонова Лариса Анатольевна" r:id="rId318" minRId="14945" maxRId="15514">
    <sheetIdMap count="2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4"/>
      <sheetId val="22"/>
      <sheetId val="2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31"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-37 , март-30, апрель- 40, май - 49, июнь -22 , июль -28 (ВСЕГО- 231).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t>
        </r>
        <r>
          <rPr>
            <u/>
            <sz val="8"/>
            <rFont val="Times New Roman"/>
            <family val="1"/>
            <charset val="204"/>
          </rPr>
          <t xml:space="preserve">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t>
        </r>
        <r>
          <rPr>
            <sz val="8"/>
            <rFont val="Times New Roman"/>
            <family val="1"/>
            <charset val="204"/>
          </rPr>
          <t xml:space="preserve">- 02.03.2024 на базе ресурсного центра прошел мастер-класс в рамках проекта Гранта Губернатора Югры «Этно-мастерская для молодежи «Юх».                                        </t>
        </r>
        <r>
          <rPr>
            <u/>
            <sz val="8"/>
            <rFont val="Times New Roman"/>
            <family val="1"/>
            <charset val="204"/>
          </rPr>
          <t xml:space="preserve">                                                   </t>
        </r>
        <r>
          <rPr>
            <sz val="8"/>
            <rFont val="Times New Roman"/>
            <family val="1"/>
            <charset val="204"/>
          </rPr>
          <t xml:space="preserve">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-22-28.06.2024 специалист РЦ Беседин С.Н. приял участие в Форуме уральской молодежи «Утро»;
- 07.07.2024 специалисты РЦ приняли участие в мероприятии «Иван Купала» с мастер-классом по изготовлению славянских оберегов,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t>
        </r>
      </is>
    </oc>
    <nc r="AF23" t="inlineStr">
      <is>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Реализация образовательного проекта "Школа  актива НКО":   - 30.01.2024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-37 , март-30, апрель- 40, май - 49, июнь -22 , июль -28 (ВСЕГО- 231).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-22-28.06.2024 специалист РЦ Беседин С.Н. приял участие в Форуме уральской молодежи «Утро»;
- 07.07.2024 специалисты РЦ приняли участие в мероприятии «Иван Купала» с мастер-классом по изготовлению славянских оберегов,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t>
      </is>
    </nc>
  </rcc>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59" sId="3">
    <oc r="AF22" t="inlineStr">
      <is>
        <t>1. На основании Постановления Администрации города Когалыма от 23.05.20243 № 986 плановые асигнования в сумме 360,0 тыс.руб. доведены до получателя.</t>
      </is>
    </oc>
    <nc r="AF22" t="inlineStr">
      <is>
        <t>1. На основании Постановления Администрации города Когалыма от 23.05.2024 № 986 плановые асигнования в сумме 360,0 тыс.руб. доведены до получателя.
2. На основании Постановления Администрации города Когалыма от 16.07.2024 № 1324 плановые асигнования в сумме 270,0 тыс.руб. доведены до получателя.</t>
      </is>
    </nc>
  </rcc>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0251" sheetId="24" name="[!!! Заполнять!!! Сводный сетевой шаблон 2024.xlsx]Лист4" sheetPosition="21"/>
  <rcc rId="10252" sId="21">
    <oc r="C3" t="inlineStr">
      <is>
        <t>План на 01.07.2024</t>
      </is>
    </oc>
    <nc r="C3" t="inlineStr">
      <is>
        <t>План на 01.08.2024</t>
      </is>
    </nc>
  </rcc>
  <rcc rId="10253" sId="21">
    <oc r="D3" t="inlineStr">
      <is>
        <t>Профинансировано на 01.07.2024</t>
      </is>
    </oc>
    <nc r="D3" t="inlineStr">
      <is>
        <t>Профинансировано на 01.08.2024</t>
      </is>
    </nc>
  </rcc>
  <rcc rId="10254" sId="21">
    <oc r="E3" t="inlineStr">
      <is>
        <t>Кассовый расход на 01.07.2024</t>
      </is>
    </oc>
    <nc r="E3" t="inlineStr">
      <is>
        <t>Кассовый расход на 01.08.2024</t>
      </is>
    </nc>
  </rcc>
  <rcc rId="10255" sId="21">
    <oc r="C12">
      <f>H12+J12+L12+N12+P12+R12</f>
    </oc>
    <nc r="C12">
      <f>H12+J12+L12+N12+P12+R12+T12</f>
    </nc>
  </rcc>
  <rcc rId="10256" sId="21">
    <oc r="C23">
      <f>H23+J23+L23+N23+P23+R23</f>
    </oc>
    <nc r="C23">
      <f>H23+J23+L23+N23+P23+R23+T23</f>
    </nc>
  </rcc>
  <rcc rId="10257" sId="21">
    <oc r="C24">
      <f>H24+J24+L24+N24+P24+R24</f>
    </oc>
    <nc r="C24">
      <f>H24+J24+L24+N24+P24+R24+T24</f>
    </nc>
  </rcc>
  <rcc rId="10258" sId="21">
    <oc r="C26">
      <f>H26+J26+L26+N26+P26+R26</f>
    </oc>
    <nc r="C26">
      <f>H26+J26+L26+N26+P26+R26+T26</f>
    </nc>
  </rcc>
  <rcc rId="10259" sId="21">
    <oc r="C30">
      <f>H30+J30+L30+N30+P30+R30</f>
    </oc>
    <nc r="C30">
      <f>H30+J30+L30+N30+P30+R30+T30</f>
    </nc>
  </rcc>
  <rcc rId="10260" sId="21">
    <oc r="C35">
      <f>H35+J35+L35+N35+P35+R35</f>
    </oc>
    <nc r="C35">
      <f>H35+J35+L35+N35+P35+R35+T35</f>
    </nc>
  </rcc>
  <rcc rId="10261" sId="21">
    <oc r="C36">
      <f>H36+J36+L36+N36+P36+R36</f>
    </oc>
    <nc r="C36">
      <f>H36+J36+L36+N36+P36+R36+T36</f>
    </nc>
  </rcc>
  <rcc rId="10262" sId="21">
    <oc r="C38">
      <f>H38+J38+L38+N38+P38+R38</f>
    </oc>
    <nc r="C38">
      <f>H38+J38+L38+N38+P38+R38+T38</f>
    </nc>
  </rcc>
  <rcc rId="10263" sId="21">
    <oc r="C41">
      <f>H41+J41+L41+N41+P41+R41</f>
    </oc>
    <nc r="C41">
      <f>H41+J41+L41+N41+P41+R41+T41</f>
    </nc>
  </rcc>
  <rcc rId="10264" sId="21">
    <oc r="C42">
      <f>H42+J42+L42+N42+P42+R42</f>
    </oc>
    <nc r="C42">
      <f>H42+J42+L42+N42+P42+R42+T42</f>
    </nc>
  </rcc>
  <rcc rId="10265" sId="21">
    <oc r="C43">
      <f>H43+J43+L43+N43+P43+R43</f>
    </oc>
    <nc r="C43">
      <f>H43+J43+L43+N43+P43+R43+T43</f>
    </nc>
  </rcc>
  <rcc rId="10266" sId="21">
    <oc r="C44">
      <f>H44+J44+L44+N44+P44+R44</f>
    </oc>
    <nc r="C44">
      <f>H44+J44+L44+N44+P44+R44+T44</f>
    </nc>
  </rcc>
  <rcc rId="10267" sId="21">
    <oc r="C47">
      <f>H47+J47+L47+N47+P47+R47</f>
    </oc>
    <nc r="C47">
      <f>H47+J47+L47+N47+P47+R47+T47</f>
    </nc>
  </rcc>
  <rcc rId="10268" sId="21">
    <oc r="C48">
      <f>H48+J48+L48+N48+P48+R48</f>
    </oc>
    <nc r="C48">
      <f>H48+J48+L48+N48+P48+R48+T48</f>
    </nc>
  </rcc>
  <rcc rId="10269" sId="21">
    <oc r="C49">
      <f>H49+J49+L49+N49+P49+R49</f>
    </oc>
    <nc r="C49">
      <f>H49+J49+L49+N49+P49+R49+T49</f>
    </nc>
  </rcc>
  <rcc rId="10270" sId="21">
    <oc r="C50">
      <f>H50+J50+L50+N50+P50+R50</f>
    </oc>
    <nc r="C50">
      <f>H50+J50+L50+N50+P50+R50+T50</f>
    </nc>
  </rcc>
  <rcc rId="10271" sId="21">
    <oc r="C66">
      <f>H66+J66+L66+N66+P66+R66</f>
    </oc>
    <nc r="C66">
      <f>H66+J66+L66+N66+P66+R66+T66</f>
    </nc>
  </rcc>
  <rcc rId="10272" sId="21">
    <oc r="C72">
      <f>H72+J72+L72+N72+P72+R72</f>
    </oc>
    <nc r="C72">
      <f>H72+J72+L72+N72+P72+R72+T72</f>
    </nc>
  </rcc>
  <rcc rId="10273" sId="21">
    <oc r="C78">
      <f>H78+J78+L78+N78+P78+R78</f>
    </oc>
    <nc r="C78">
      <f>H78+J78+L78+N78+P78+R78+T78</f>
    </nc>
  </rcc>
  <rcc rId="10274" sId="21">
    <oc r="C84">
      <f>H84+J84+L84+N84+P84</f>
    </oc>
    <nc r="C84">
      <f>H84+J84+L84+N84+P84+R84</f>
    </nc>
  </rcc>
  <rcc rId="10275" sId="21">
    <oc r="C90">
      <f>H90+J90+L90+N90+P90+R90</f>
    </oc>
    <nc r="C90">
      <f>H90+J90+L90+N90+P90+R90+T90</f>
    </nc>
  </rcc>
  <rcc rId="10276" sId="21">
    <oc r="C96">
      <f>H96+J96+L96+N96+P96+R96</f>
    </oc>
    <nc r="C96">
      <f>H96+J96+L96+N96+P96+R96+T96</f>
    </nc>
  </rcc>
  <rcc rId="10277" sId="21">
    <oc r="C102">
      <f>H102+J102+L102+N102+P102+R102</f>
    </oc>
    <nc r="C102">
      <f>H102+J102+L102+N102+P102+R102+T102</f>
    </nc>
  </rcc>
  <rcc rId="10278" sId="21">
    <oc r="C108">
      <f>H108+J108+L108+N108+P108+R108</f>
    </oc>
    <nc r="C108">
      <f>H108+J108+L108+N108+P108+R108+T108</f>
    </nc>
  </rcc>
  <rcc rId="10279" sId="21">
    <oc r="C114">
      <f>H114+J114+L114+N114+P114+R114</f>
    </oc>
    <nc r="C114">
      <f>H114+J114+L114+N114+P114+R114+T114</f>
    </nc>
  </rcc>
  <rcc rId="10280" sId="21">
    <oc r="C133">
      <f>H133+J133+L133+N133+P133+R133</f>
    </oc>
    <nc r="C133">
      <f>H133+J133+L133+N133+P133+R133+T133</f>
    </nc>
  </rcc>
  <rcc rId="10281" sId="21">
    <oc r="C139">
      <f>H139+J139+L139+N139+P139+R139</f>
    </oc>
    <nc r="C139">
      <f>H139+J139+L139+N139+P139+R139+T139</f>
    </nc>
  </rcc>
  <rcc rId="10282" sId="21">
    <oc r="C145">
      <f>H145+J145+L145+N145+P145+R145</f>
    </oc>
    <nc r="C145">
      <f>H145+J145+L145+N145+P145+R145+T145</f>
    </nc>
  </rcc>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4" customView="1" name="Z_0C2B9C2A_7B94_41EF_A2E6_F8AC9A67DE25_.wvu.FilterData" hidden="1" oldHidden="1">
    <formula>'11.МП РО'!$A$4:$A$380</formula>
    <oldFormula>'11.МП РО'!$A$4:$A$380</oldFormula>
  </rdn>
  <rdn rId="0" localSheetId="17" customView="1" name="Z_0C2B9C2A_7B94_41EF_A2E6_F8AC9A67DE25_.wvu.Rows" hidden="1" oldHidden="1">
    <formula>'13.МП РЖС'!$122:$127</formula>
    <oldFormula>'13.МП РЖС'!$122:$127</oldFormula>
  </rdn>
  <rdn rId="0" localSheetId="17" customView="1" name="Z_0C2B9C2A_7B94_41EF_A2E6_F8AC9A67DE25_.wvu.Cols" hidden="1" oldHidden="1">
    <formula>'13.МП РЖС'!$AG:$AG</formula>
    <oldFormula>'13.МП РЖС'!$AG:$AG</oldFormula>
  </rdn>
  <rcv guid="{0C2B9C2A-7B94-41EF-A2E6-F8AC9A67DE25}" action="add"/>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94" sId="21" numFmtId="4">
    <nc r="U12">
      <v>3421.84</v>
    </nc>
  </rcc>
  <rcc rId="10295" sId="21" numFmtId="4">
    <nc r="U24">
      <v>15</v>
    </nc>
  </rcc>
  <rcc rId="10296" sId="21" numFmtId="4">
    <oc r="T26">
      <v>2806.29</v>
    </oc>
    <nc r="T26"/>
  </rcc>
  <rcc rId="10297" sId="21" numFmtId="4">
    <oc r="X26">
      <v>56431.37</v>
    </oc>
    <nc r="X26"/>
  </rcc>
  <rcc rId="10298" sId="21" numFmtId="4">
    <oc r="AB26">
      <v>286.83999999999997</v>
    </oc>
    <nc r="AB26"/>
  </rcc>
  <rcc rId="10299" sId="21" numFmtId="4">
    <oc r="AD26">
      <v>2321.06</v>
    </oc>
    <nc r="AD26"/>
  </rcc>
  <rcc rId="10300" sId="21" numFmtId="4">
    <oc r="Z26">
      <v>65420.44</v>
    </oc>
    <nc r="Z26">
      <v>127266</v>
    </nc>
  </rcc>
  <rcc rId="10301" sId="21" numFmtId="4">
    <oc r="Z23">
      <v>54338.400000000001</v>
    </oc>
    <nc r="Z23">
      <v>132545.4</v>
    </nc>
  </rcc>
  <rcc rId="10302" sId="21" numFmtId="4">
    <oc r="Z24">
      <v>10414.299999999999</v>
    </oc>
    <nc r="Z24">
      <v>15694.3</v>
    </nc>
  </rcc>
  <rcc rId="10303" sId="21">
    <oc r="AF22" t="inlineStr">
      <is>
        <r>
          <rPr>
            <b/>
            <sz val="12"/>
            <rFont val="Times New Roman"/>
            <family val="1"/>
            <charset val="204"/>
          </rPr>
          <t>МКУ "УКС и ЖКК г.Когалыма":</t>
        </r>
        <r>
          <rPr>
            <sz val="12"/>
            <rFont val="Times New Roman"/>
            <family val="1"/>
            <charset val="204"/>
          </rPr>
          <t xml:space="preserve">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54 339,0 тыс.руб. на ремонт автомобильных дорог г.Когалыма, в т.ч.:
- на участок улицы Дружбы Народов (от кольцевого пересечения улиц Дружбы Народов-Береговая до моста через реку Ингуягун на км 2+289 автодороги улица Дружбы Народов), 0,15 км, в сумме 4 716,0 тыс.руб.;
- на участок улицы Повховское шоссе (подходы к Путепроводу), 0,75 км, в сумме 29 670,0 тыс.руб.;
- на участок улицы проспект Нефтяников (поворот на ПТП), 0,27 км, в сумме 6 765,0 тыс.руб.;
- на участок улицы Романтиков (участок от улицы Береговая до улицы Нефтяников), 0,40 км, в сумме 13 188,0 тыс.руб.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 Услуги по МК оказаны и оплачены в полном объеме.
Закючены МК:  
- от 13.05.2024 №0187300013724000073 на выполнение работ по ремонту автомобильных дорог города Когалыма (участок ул. Проспект Нефтяников поворот на ПТП) на сумму 7 324,12 тыс.руб.;
- от 27.05.2024 №35/2024 на оказание услуг по проведению негосударственной экспертизы проверки достоверности сметной стоимости ремонта автомобильных дорог города Когалыма (Шмидта, Бакинская) на сумму 26,0 тыс.руб.;
- от 27.05.2024 №0187300013724000089 на выполнение работ по ремонту автомобильных дорог города Когалыма (участок ул. Романтиков, ул.Береговая до Нефтяников) на сумму 19 418,912 тыс.руб.;
- от 28.05.2024 №0187300013724000099 на выполнение работ по ремонту автомобильных дорог города Когалыма (участок ул.Повховское шоссе (подходы к Путепроводу) на сумму 39 883,29 тыс.руб.
В соответствии с решением Думы г.Когалыма от 19.06.2024 №410-ГД плановые ассигнования:
- в сумме 1 856,8 тыс.руб. перераспределены на п.п.2.2.4.  Перенос кабелей светофорного объекта, расположенного на пересечении улиц Мира - Молодежная в подземную канализацию;
- в сумме 72 927,0 тыс.руб. скорректированы с мероприятия п.п.2.1.3 Реконструкция развязки Восточной (проспект Нефтяников, улица Ноябрьская).</t>
        </r>
      </is>
    </oc>
    <nc r="AF22" t="inlineStr">
      <is>
        <r>
          <rPr>
            <b/>
            <sz val="12"/>
            <rFont val="Times New Roman"/>
            <family val="1"/>
            <charset val="204"/>
          </rPr>
          <t>МКУ "УКС и ЖКК г.Когалыма":</t>
        </r>
        <r>
          <rPr>
            <sz val="12"/>
            <rFont val="Times New Roman"/>
            <family val="1"/>
            <charset val="204"/>
          </rPr>
          <t xml:space="preserve">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54 339,0 тыс.руб. на ремонт автомобильных дорог г.Когалыма, в т.ч.:
- на участок улицы Дружбы Народов (от кольцевого пересечения улиц Дружбы Народов-Береговая до моста через реку Ингуягун на км 2+289 автодороги улица Дружбы Народов), 0,15 км, в сумме 4 716,0 тыс.руб.;
- на участок улицы Повховское шоссе (подходы к Путепроводу), 0,75 км, в сумме 29 670,0 тыс.руб.;
- на участок улицы проспект Нефтяников (поворот на ПТП), 0,27 км, в сумме 6 765,0 тыс.руб.;
- на участок улицы Романтиков (участок от улицы Береговая до улицы Нефтяников), 0,40 км, в сумме 13 188,0 тыс.руб.
Заключен МК от 26.02.2024 №13/2024 на оказание услуг по проведению негосударственной экспертизы проверки достоверности сметной стоимости ремонта автомобильных дорог г.Когалыма на сумму 59,00 тыс.руб. Услуги по МК оказаны и оплачены в полном объеме. Заключен МК от 27.05.2024 №35/2024 на оказание услуг по проведению негосударственной экспертизы проверки достоверности сметной стоимости ремонта автомобильных дорог города Когалыма (Шмидта, Бакинская) на сумму 26,0 тыс.руб.
Закючены МК на выполнение работ по ремонту автомобильных дорог города Когалыма :  
- участок ул. Проспект Нефтяников (поворот на ПТП) на сумму 7 324,12 тыс.руб.;
- участок ул. Романтиков, ул.Береговая до Нефтяников на сумму 19 418,912 тыс.руб.;
- участок ул.Повховское шоссе (подходы к Путепроводу) на сумму 39 883,29 тыс.руб.;
- ул. Бакинская на сумму 35 845,129 тыс.руб.;
- ул. Шмидта на сумму 18 345,151 тыс.руб.
В соответствии с решением Думы г.Когалыма от 19.06.2024 №410-ГД плановые ассигнования:
- в сумме 1 856,8 тыс.руб. перераспределены на п.п.2.2.4.  Перенос кабелей светофорного объекта, расположенного на пересечении улиц Мира - Молодежная в подземную канализацию;
- в сумме 72 927,0 тыс.руб. скорректированы с мероприятия п.п.2.1.3 Реконструкция развязки Восточной (проспект Нефтяников, улица Ноябрьская).</t>
        </r>
      </is>
    </nc>
  </rcc>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4" customView="1" name="Z_0C2B9C2A_7B94_41EF_A2E6_F8AC9A67DE25_.wvu.FilterData" hidden="1" oldHidden="1">
    <formula>'11.МП РО'!$A$4:$A$380</formula>
    <oldFormula>'11.МП РО'!$A$4:$A$380</oldFormula>
  </rdn>
  <rdn rId="0" localSheetId="17" customView="1" name="Z_0C2B9C2A_7B94_41EF_A2E6_F8AC9A67DE25_.wvu.Rows" hidden="1" oldHidden="1">
    <formula>'13.МП РЖС'!$122:$127</formula>
    <oldFormula>'13.МП РЖС'!$122:$127</oldFormula>
  </rdn>
  <rdn rId="0" localSheetId="17" customView="1" name="Z_0C2B9C2A_7B94_41EF_A2E6_F8AC9A67DE25_.wvu.Cols" hidden="1" oldHidden="1">
    <formula>'13.МП РЖС'!$AG:$AG</formula>
    <oldFormula>'13.МП РЖС'!$AG:$AG</oldFormula>
  </rdn>
  <rcv guid="{0C2B9C2A-7B94-41EF-A2E6-F8AC9A67DE25}" action="add"/>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15" sId="11">
    <oc r="W13">
      <f>W19+W25</f>
    </oc>
    <nc r="W13"/>
  </rcc>
  <rcc rId="10316" sId="11">
    <oc r="W14">
      <f>W20+W26</f>
    </oc>
    <nc r="W14"/>
  </rcc>
  <rcc rId="10317" sId="11">
    <oc r="W15">
      <f>W21+W27</f>
    </oc>
    <nc r="W15"/>
  </rcc>
  <rcc rId="10318" sId="11">
    <oc r="W16">
      <f>W22+W28</f>
    </oc>
    <nc r="W16"/>
  </rcc>
  <rcc rId="10319" sId="11">
    <nc r="T33">
      <f>R33</f>
    </nc>
  </rcc>
  <rcc rId="10320" sId="11">
    <nc r="U33">
      <f>S33</f>
    </nc>
  </rcc>
  <rcc rId="10321" sId="11">
    <nc r="T34">
      <f>R34</f>
    </nc>
  </rcc>
  <rcc rId="10322" sId="11">
    <nc r="U34">
      <f>S34</f>
    </nc>
  </rcc>
  <rcc rId="10323" sId="11">
    <nc r="T35">
      <f>R35</f>
    </nc>
  </rcc>
  <rcc rId="10324" sId="11">
    <nc r="U35">
      <f>S35</f>
    </nc>
  </rcc>
  <rcc rId="10325" sId="11">
    <nc r="T36">
      <f>R36</f>
    </nc>
  </rcc>
  <rcc rId="10326" sId="11">
    <nc r="U36">
      <f>S36</f>
    </nc>
  </rcc>
  <rcc rId="10327" sId="11" numFmtId="4">
    <nc r="U32">
      <v>0</v>
    </nc>
  </rcc>
  <rcc rId="10328" sId="11" numFmtId="4">
    <nc r="U31">
      <v>0</v>
    </nc>
  </rcc>
  <rcc rId="10329" sId="11">
    <nc r="U37">
      <f>U38</f>
    </nc>
  </rcc>
  <rcc rId="10330" sId="11">
    <nc r="U38">
      <f>U39+U40+U41+U42</f>
    </nc>
  </rcc>
  <rcc rId="10331" sId="11" numFmtId="4">
    <nc r="U39">
      <v>0</v>
    </nc>
  </rcc>
  <rcc rId="10332" sId="11" numFmtId="4">
    <nc r="U40">
      <v>0</v>
    </nc>
  </rcc>
  <rcc rId="10333" sId="11" numFmtId="4">
    <nc r="U41">
      <v>0</v>
    </nc>
  </rcc>
  <rcc rId="10334" sId="11" numFmtId="4">
    <nc r="U42">
      <v>0</v>
    </nc>
  </rcc>
  <rcc rId="10335" sId="11">
    <oc r="Q68">
      <f>Q74+#REF!+#REF!</f>
    </oc>
    <nc r="Q68">
      <f>Q74+Q80+Q87</f>
    </nc>
  </rcc>
  <rcc rId="10336" sId="11">
    <oc r="P69">
      <f>P75+P81+P88</f>
    </oc>
    <nc r="P69">
      <f>P74+P80+P87</f>
    </nc>
  </rcc>
  <rcc rId="10337" sId="11">
    <oc r="P68">
      <f>P74+#REF!+#REF!</f>
    </oc>
    <nc r="P68">
      <f>P74+P80+P87</f>
    </nc>
  </rcc>
  <rcc rId="10338" sId="11">
    <oc r="P66">
      <f>P67+P68+P69+#REF!+P70</f>
    </oc>
    <nc r="P66">
      <f>P67+P68+P69+P70</f>
    </nc>
  </rcc>
  <rcc rId="10339" sId="11">
    <oc r="Q66">
      <f>Q67+Q68+Q69+#REF!+Q70</f>
    </oc>
    <nc r="Q66">
      <f>Q67+Q68+Q69+Q70</f>
    </nc>
  </rcc>
  <rcc rId="10340" sId="11">
    <oc r="C66">
      <f>C67+C68+C69+#REF!+C70</f>
    </oc>
    <nc r="C66">
      <f>C67+C68+C69+C70</f>
    </nc>
  </rcc>
  <rcc rId="10341" sId="11">
    <nc r="U66">
      <f>U67+U68+U69+U70</f>
    </nc>
  </rcc>
  <rcc rId="10342" sId="11">
    <nc r="U65">
      <f>U66</f>
    </nc>
  </rcc>
  <rcc rId="10343" sId="11" numFmtId="4">
    <nc r="T83">
      <v>0</v>
    </nc>
  </rcc>
  <rcc rId="10344" sId="11" numFmtId="4">
    <nc r="U83">
      <v>0</v>
    </nc>
  </rcc>
  <rrc rId="10345" sId="11" ref="A82:XFD82" action="deleteRow">
    <undo index="1" exp="ref" v="1" dr="U82" r="U78" sId="11"/>
    <undo index="1" exp="ref" v="1" dr="S82" r="S78" sId="11"/>
    <rfmt sheetId="11" xfDxf="1" sqref="A82:XFD82" start="0" length="0">
      <dxf>
        <font>
          <color auto="1"/>
        </font>
      </dxf>
    </rfmt>
    <rcc rId="0" sId="11" s="1" dxf="1">
      <nc r="A82" t="inlineStr">
        <is>
          <t xml:space="preserve">межбюджетные трансферты  за счет бюджетных ассигнований  резервного фонда  Правительства ХМАО-Югры </t>
        </is>
      </nc>
      <ndxf>
        <font>
          <sz val="13"/>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fmt sheetId="11" s="1" sqref="H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I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J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K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L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M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N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O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R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S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T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U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V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W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X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Y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Z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A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B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C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D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E82"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F82" start="0" length="0">
      <dxf>
        <font>
          <b/>
          <sz val="9"/>
          <color auto="1"/>
          <name val="Times New Roman"/>
          <scheme val="none"/>
        </font>
        <alignment vertical="center" wrapText="1" readingOrder="0"/>
        <border outline="0">
          <left style="thin">
            <color indexed="64"/>
          </left>
          <right style="thin">
            <color indexed="64"/>
          </right>
          <top style="thin">
            <color indexed="64"/>
          </top>
          <bottom style="thin">
            <color indexed="64"/>
          </bottom>
        </border>
      </dxf>
    </rfmt>
    <rfmt sheetId="11" sqref="AG82" start="0" length="0">
      <dxf>
        <font>
          <sz val="14"/>
          <color auto="1"/>
          <name val="Times New Roman"/>
          <scheme val="none"/>
        </font>
        <numFmt numFmtId="4" formatCode="#,##0.00"/>
      </dxf>
    </rfmt>
    <rfmt sheetId="11" sqref="AH82" start="0" length="0">
      <dxf>
        <numFmt numFmtId="4" formatCode="#,##0.00"/>
      </dxf>
    </rfmt>
  </rrc>
  <rcc rId="10346" sId="11">
    <oc r="S78">
      <f>S81+#REF!</f>
    </oc>
    <nc r="S78">
      <f>S81+S80</f>
    </nc>
  </rcc>
  <rcc rId="10347" sId="11">
    <oc r="U78">
      <f>U81+#REF!</f>
    </oc>
    <nc r="U78">
      <f>U81+U80</f>
    </nc>
  </rcc>
  <rcc rId="10348" sId="11">
    <oc r="D94">
      <f>D97</f>
    </oc>
    <nc r="D94">
      <f>D97</f>
    </nc>
  </rcc>
  <rcc rId="10349" sId="11">
    <nc r="U94">
      <f>U97</f>
    </nc>
  </rcc>
  <rcc rId="10350" sId="11">
    <oc r="D97">
      <f>D15+D35+D41+D49+D69+#REF!</f>
    </oc>
    <nc r="D97"/>
  </rcc>
  <rcc rId="10351" sId="11" numFmtId="19">
    <oc r="C7">
      <v>45474</v>
    </oc>
    <nc r="C7">
      <v>45505</v>
    </nc>
  </rcc>
  <rcc rId="10352" sId="11" numFmtId="19">
    <oc r="D7">
      <v>45474</v>
    </oc>
    <nc r="D7">
      <v>45505</v>
    </nc>
  </rcc>
  <rcc rId="10353" sId="11" numFmtId="19">
    <oc r="E7">
      <v>45474</v>
    </oc>
    <nc r="E7">
      <v>45505</v>
    </nc>
  </rcc>
  <rcc rId="10354" sId="11">
    <oc r="B89">
      <f>B90+B91+B92+#REF!+B93</f>
    </oc>
    <nc r="B89">
      <f>B90+B91+B92+B93</f>
    </nc>
  </rcc>
  <rcc rId="10355" sId="11">
    <oc r="C89">
      <f>C90+C91+C92+#REF!+C93</f>
    </oc>
    <nc r="C89">
      <f>C90+C91+C92+C93</f>
    </nc>
  </rcc>
  <rcc rId="10356" sId="11">
    <oc r="B94">
      <f>B95+B96+B97+#REF!+B98</f>
    </oc>
    <nc r="B94">
      <f>B95+B96+B97+B98</f>
    </nc>
  </rcc>
  <rcc rId="10357" sId="11">
    <oc r="B97">
      <f>B15+B35+B41+B49+B69</f>
    </oc>
    <nc r="B97">
      <f>B15+B35+B41+B49+B66</f>
    </nc>
  </rcc>
  <rcc rId="10358" sId="11">
    <oc r="B91">
      <f>T57=U61=B14+B34+B40+B48+B68</f>
    </oc>
    <nc r="B91">
      <f>T57=U61=B14+B34+B40+V72B48+B68</f>
    </nc>
  </rcc>
  <rcc rId="10359" sId="11">
    <oc r="E69">
      <f>I69+K69+M69+O69+Q69+S69</f>
    </oc>
    <nc r="E69">
      <f>I69+K69+M69+O69+Q69+E66</f>
    </nc>
  </rcc>
  <rcc rId="10360" sId="11" numFmtId="4">
    <oc r="E68">
      <v>0</v>
    </oc>
    <nc r="E68">
      <f>Q68</f>
    </nc>
  </rcc>
  <rcc rId="10361" sId="11">
    <oc r="C68">
      <f>H68+J68</f>
    </oc>
    <nc r="C68">
      <f>P68</f>
    </nc>
  </rcc>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62" sId="21">
    <oc r="AF28" t="inlineStr">
      <is>
        <r>
          <rPr>
            <b/>
            <sz val="12"/>
            <rFont val="Times New Roman"/>
            <family val="1"/>
            <charset val="204"/>
          </rPr>
          <t>МКУ "УКС и ЖКК г.Когалыма":</t>
        </r>
        <r>
          <rPr>
            <sz val="12"/>
            <rFont val="Times New Roman"/>
            <family val="1"/>
            <charset val="204"/>
          </rPr>
          <t xml:space="preserve">
В соответствии с решением Думы г.Когалыма от 19.06.2024 №410-ГД на данное мероприятие дополнительно перераспределены плановые ассигнования в сумме 767,9 тыс.руб.</t>
        </r>
      </is>
    </oc>
    <nc r="AF28" t="inlineStr">
      <is>
        <r>
          <rPr>
            <b/>
            <sz val="12"/>
            <rFont val="Times New Roman"/>
            <family val="1"/>
            <charset val="204"/>
          </rPr>
          <t>МКУ "УКС и ЖКК г.Когалыма":</t>
        </r>
        <r>
          <rPr>
            <sz val="12"/>
            <rFont val="Times New Roman"/>
            <family val="1"/>
            <charset val="204"/>
          </rPr>
          <t xml:space="preserve">
 В соответствии с решением Думы г.Когалыма от 19.06.2024 №410-ГД на данное мероприятие дополнительно перераспределены плановые ассигнования в сумме 767,9 тыс.руб.
Заключены МК на оказание услуг по проведению лабораторных исследований материалов, применяемых при ремонте автомобильных дорог, в том числе проведение инженерно-геодезических измерений:
- от 10.07.2024 №52/2024 на сумму 227,83 тыс.руб. (на участках автодорог: по проспекту Нефтяников (в районе поворота на ПТП), по ул. Романтиков (от ул.Береговая до ул.Нефтяников), по ул. Дружбы Народов (от кольцевого пересечения улиц Дружбы Народов-Береговая до моста через реку Ингуягун на км 2+289 автодороги улица Дружбы Народов);
- от 24.07.2024 №56/2024 на сумму 265,525 тыс.руб. (на участке автодороги Повховское шоссе, подходы к Путепроводу);
- от 24.07.2024 №57/2024 на сумму 170,885 тыс.руб. (на участке автодороги по ул.Шмидта);
- от 24.07.2024 №58/2024 на сумму 323,325 тыс.руб. (на участке автодороги по ул.Бакинская).</t>
        </r>
      </is>
    </nc>
  </rcc>
  <rcc rId="10363" sId="21" numFmtId="4">
    <nc r="T36">
      <v>180</v>
    </nc>
  </rcc>
  <rcc rId="10364" sId="21" numFmtId="4">
    <nc r="U36">
      <v>180</v>
    </nc>
  </rcc>
  <rcc rId="10365" sId="21" numFmtId="4">
    <oc r="T35">
      <v>5612.58</v>
    </oc>
    <nc r="T35"/>
  </rcc>
  <rcc rId="10366" sId="21" numFmtId="4">
    <oc r="T38">
      <v>8418.8700000000008</v>
    </oc>
    <nc r="T38"/>
  </rcc>
  <rcc rId="10367" sId="21" numFmtId="4">
    <nc r="V38">
      <v>5612.6</v>
    </nc>
  </rcc>
  <rcc rId="10368" sId="21" numFmtId="4">
    <nc r="V35">
      <v>5612.6</v>
    </nc>
  </rcc>
  <rcc rId="10369" sId="21" numFmtId="4">
    <oc r="X35">
      <v>112862.75</v>
    </oc>
    <nc r="X35">
      <v>41529.199999999997</v>
    </nc>
  </rcc>
  <rcc rId="10370" sId="21" numFmtId="4">
    <oc r="X38">
      <v>169294.13</v>
    </oc>
    <nc r="X38">
      <v>41529.199999999997</v>
    </nc>
  </rcc>
  <rcc rId="10371" sId="21" numFmtId="4">
    <oc r="Z35">
      <v>22162.876</v>
    </oc>
    <nc r="Z35">
      <v>31064.9</v>
    </nc>
  </rcc>
  <rcc rId="10372" sId="21" numFmtId="4">
    <oc r="Z36">
      <v>387.71</v>
    </oc>
    <nc r="Z36">
      <v>5486.75</v>
    </nc>
  </rcc>
  <rcc rId="10373" sId="21" numFmtId="4">
    <oc r="Z38">
      <v>33244.31</v>
    </oc>
    <nc r="Z38">
      <v>106323.26</v>
    </nc>
  </rcc>
  <rcc rId="10374" sId="21" numFmtId="4">
    <oc r="AB35">
      <v>573.66999999999996</v>
    </oc>
    <nc r="AB35"/>
  </rcc>
  <rcc rId="10375" sId="21" numFmtId="4">
    <oc r="AD35">
      <v>15201.82</v>
    </oc>
    <nc r="AD35"/>
  </rcc>
  <rcc rId="10376" sId="21" numFmtId="4">
    <oc r="AD36">
      <v>11786.32</v>
    </oc>
    <nc r="AD36">
      <v>1227.28</v>
    </nc>
  </rcc>
  <rcc rId="10377" sId="21" numFmtId="4">
    <oc r="AD38">
      <v>17523.939999999999</v>
    </oc>
    <nc r="AD38">
      <v>30403.7</v>
    </nc>
  </rcc>
  <rcc rId="10378" sId="21" numFmtId="4">
    <oc r="AB38">
      <v>860.51</v>
    </oc>
    <nc r="AB38">
      <v>45473</v>
    </nc>
  </rcc>
  <rcc rId="10379" sId="21">
    <oc r="AF34" t="inlineStr">
      <is>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2024 году на сумму 180,0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
В соответствии с решением Думы г.Когалыма от 19.06.2024 №410-ГД:
-  скоррректированы плановые ассигнования в сумме 72 927,0 тыс.руб. на мероприятие п.п.2.1.1. Ремонт, в том числе капитальный, автомобильных дорог общего пользования местного значения (в том числе проезды и устройство ливневой канализации);
- выделены плановые ассигнования в сумме 1 227,2 тыс .руб. на оказание услуг по лабораторному сопровождению СМР по объекту Реконструкция развязки Восточной (проспект Нефтяников, улица Ноябрьская).</t>
        </r>
      </is>
    </oc>
    <nc r="AF34" t="inlineStr">
      <is>
        <r>
          <rPr>
            <b/>
            <sz val="12"/>
            <rFont val="Times New Roman"/>
            <family val="1"/>
            <charset val="204"/>
          </rPr>
          <t>МКУ "УКС и ЖКК г.Когалыма":</t>
        </r>
        <r>
          <rPr>
            <sz val="12"/>
            <rFont val="Times New Roman"/>
            <family val="1"/>
            <charset val="204"/>
          </rPr>
          <t xml:space="preserve">
Заключен МК от 04.08.2023 с ООО Строительная Компания «ЮВ и С» на выполнение работ на сумму 366 990,6 тыс.руб. 
Сроки выполнения работ: 1 этап с 04.08.2023 по 16.11.2023; 2 этап с 01.01.2024 по 18.10.2024.
В 2023 году выполнен и оплачен 1 этап на сумму 84 566,83 тыс.руб.
Заключен МК от 02.10.2023 №24-23АН с ООО "Югорский Проектный Институт" на оказание услуг по авторскому надзору по объекту на сумму 737,669 тыс.руб. В 2023 году выполнены и оплачены работы на сумму 169,959 тыс.руб.; в 2024 году на сумму 180,0 тыс.руб. 
На основании приказа КФ от 31.01.2024 №13-О, в соответствии с распоряжением Правительства ХМАО-Югры от 26.01.2024 №21-рп "О Соглашении о сотрудничестве между Правительством ХМАО-Югры и ПАО "ЛУКОЙЛ" на 2024-2028 годы", доведены плановые ассигнования в сумме 156 414,0 тыс.руб.
В соответствии с решением Думы г.Когалыма от 19.06.2024 №410-ГД:
-  скоррректированы плановые ассигнования в сумме 72 927,0 тыс.руб. на мероприятие п.п.2.1.1. Ремонт, в том числе капитальный, автомобильных дорог общего пользования местного значения (в том числе проезды и устройство ливневой канализации);
- выделены плановые ассигнования в сумме 1 227,2 тыс .руб. на оказание услуг по лабораторному сопровождению СМР по объекту Реконструкция развязки Восточной (проспект Нефтяников, улица Ноябрьская).
Заключен МК от 23.07.2024 №0187300013724000170 на оказание услуг по осуществлению лабораторного и инструментального контроля качества работ на объекте: Реконструкция развязки Восточной (проспект Нефтяников, улица Ноябрьская) в городе Когалыме  на сумму 1 227,2 тыс.руб.</t>
        </r>
      </is>
    </nc>
  </rcc>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4" customView="1" name="Z_0C2B9C2A_7B94_41EF_A2E6_F8AC9A67DE25_.wvu.FilterData" hidden="1" oldHidden="1">
    <formula>'11.МП РО'!$A$4:$A$380</formula>
    <oldFormula>'11.МП РО'!$A$4:$A$380</oldFormula>
  </rdn>
  <rdn rId="0" localSheetId="17" customView="1" name="Z_0C2B9C2A_7B94_41EF_A2E6_F8AC9A67DE25_.wvu.Rows" hidden="1" oldHidden="1">
    <formula>'13.МП РЖС'!$122:$127</formula>
    <oldFormula>'13.МП РЖС'!$122:$127</oldFormula>
  </rdn>
  <rdn rId="0" localSheetId="17" customView="1" name="Z_0C2B9C2A_7B94_41EF_A2E6_F8AC9A67DE25_.wvu.Cols" hidden="1" oldHidden="1">
    <formula>'13.МП РЖС'!$AG:$AG</formula>
    <oldFormula>'13.МП РЖС'!$AG:$AG</oldFormula>
  </rdn>
  <rcv guid="{0C2B9C2A-7B94-41EF-A2E6-F8AC9A67DE25}" action="add"/>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1" sqref="A57:AE57" start="0" length="2147483647">
    <dxf>
      <font>
        <color rgb="FFFF0000"/>
      </font>
    </dxf>
  </rfmt>
  <rfmt sheetId="21" sqref="A63:AE63" start="0" length="2147483647">
    <dxf>
      <font>
        <color rgb="FFFF0000"/>
      </font>
    </dxf>
  </rfmt>
  <rfmt sheetId="21" sqref="A69:AE69" start="0" length="2147483647">
    <dxf>
      <font>
        <color rgb="FFFF0000"/>
      </font>
    </dxf>
  </rfmt>
  <rcc rId="10391" sId="21" numFmtId="4">
    <nc r="U78">
      <v>616.26</v>
    </nc>
  </rcc>
  <rcc rId="10392" sId="21" numFmtId="4">
    <nc r="U84">
      <v>16.8</v>
    </nc>
  </rcc>
  <rcc rId="10393" sId="21" numFmtId="4">
    <nc r="U90">
      <v>275</v>
    </nc>
  </rcc>
  <rfmt sheetId="21" sqref="A99" start="0" length="2147483647">
    <dxf>
      <font>
        <color rgb="FFFF0000"/>
      </font>
    </dxf>
  </rfmt>
  <rfmt sheetId="21" sqref="A99" start="0" length="2147483647">
    <dxf>
      <font/>
    </dxf>
  </rfmt>
  <rcc rId="10394" sId="21">
    <nc r="AF101" t="inlineStr">
      <is>
        <t xml:space="preserve"> Заключен МК от 08.07.2024 №0187300013724000139 на выполнение работ по установке светофорных объектов в районе пешеходных пееходов по улице Сибирской в городе Когалыме на сумму 2 109,79 тыс.руб.</t>
      </is>
    </nc>
  </rcc>
  <rfmt sheetId="21" sqref="A130:AE130" start="0" length="2147483647">
    <dxf>
      <font>
        <color rgb="FFFF0000"/>
      </font>
    </dxf>
  </rfmt>
  <rcv guid="{0C2B9C2A-7B94-41EF-A2E6-F8AC9A67DE25}" action="delete"/>
  <rdn rId="0" localSheetId="2" customView="1" name="Z_0C2B9C2A_7B94_41EF_A2E6_F8AC9A67DE25_.wvu.Rows" hidden="1" oldHidden="1">
    <formula>'1.СЗН'!$69:$73</formula>
    <oldFormula>'1.СЗН'!$69:$73</oldFormula>
  </rdn>
  <rdn rId="0" localSheetId="2" customView="1" name="Z_0C2B9C2A_7B94_41EF_A2E6_F8AC9A67DE25_.wvu.FilterData" hidden="1" oldHidden="1">
    <formula>'1.СЗН'!$A$1:$AF$63</formula>
    <oldFormula>'1.СЗН'!$A$1:$AF$63</oldFormula>
  </rdn>
  <rdn rId="0" localSheetId="3" customView="1" name="Z_0C2B9C2A_7B94_41EF_A2E6_F8AC9A67DE25_.wvu.FilterData" hidden="1" oldHidden="1">
    <formula>'2.АПК'!$A$1:$AF$36</formula>
    <oldFormula>'2.АПК'!$A$1:$AF$36</oldFormula>
  </rdn>
  <rdn rId="0" localSheetId="4" customView="1" name="Z_0C2B9C2A_7B94_41EF_A2E6_F8AC9A67DE25_.wvu.FilterData" hidden="1" oldHidden="1">
    <formula>'3.БЖД'!$A$1:$AF$17</formula>
    <oldFormula>'3.БЖД'!$A$1:$AF$17</oldFormula>
  </rdn>
  <rdn rId="0" localSheetId="5" customView="1" name="Z_0C2B9C2A_7B94_41EF_A2E6_F8AC9A67DE25_.wvu.FilterData" hidden="1" oldHidden="1">
    <formula>'4.УМИ'!$A$1:$AF$11</formula>
    <oldFormula>'4.УМИ'!$A$1:$AF$11</oldFormula>
  </rdn>
  <rdn rId="0" localSheetId="6" customView="1" name="Z_0C2B9C2A_7B94_41EF_A2E6_F8AC9A67DE25_.wvu.FilterData" hidden="1" oldHidden="1">
    <formula>'5.Проф. прав.'!$A$1:$AF$12</formula>
    <oldFormula>'5.Проф. прав.'!$A$1:$AF$12</oldFormula>
  </rdn>
  <rdn rId="0" localSheetId="7" customView="1" name="Z_0C2B9C2A_7B94_41EF_A2E6_F8AC9A67DE25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0C2B9C2A_7B94_41EF_A2E6_F8AC9A67DE25_.wvu.FilterData" hidden="1" oldHidden="1">
    <formula>'6.Экстримизм'!$A$1:$AF$11</formula>
    <oldFormula>'6.Экстримизм'!$A$1:$AF$11</oldFormula>
  </rdn>
  <rdn rId="0" localSheetId="14" customView="1" name="Z_0C2B9C2A_7B94_41EF_A2E6_F8AC9A67DE25_.wvu.FilterData" hidden="1" oldHidden="1">
    <formula>'11.МП РО'!$A$4:$A$380</formula>
    <oldFormula>'11.МП РО'!$A$4:$A$380</oldFormula>
  </rdn>
  <rdn rId="0" localSheetId="17" customView="1" name="Z_0C2B9C2A_7B94_41EF_A2E6_F8AC9A67DE25_.wvu.Rows" hidden="1" oldHidden="1">
    <formula>'13.МП РЖС'!$122:$127</formula>
    <oldFormula>'13.МП РЖС'!$122:$127</oldFormula>
  </rdn>
  <rdn rId="0" localSheetId="17" customView="1" name="Z_0C2B9C2A_7B94_41EF_A2E6_F8AC9A67DE25_.wvu.Cols" hidden="1" oldHidden="1">
    <formula>'13.МП РЖС'!$AG:$AG</formula>
    <oldFormula>'13.МП РЖС'!$AG:$AG</oldFormula>
  </rdn>
  <rcv guid="{0C2B9C2A-7B94-41EF-A2E6-F8AC9A67DE25}" action="add"/>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1" sqref="A130:AE130" start="0" length="2147483647">
    <dxf>
      <font>
        <color auto="1"/>
      </font>
    </dxf>
  </rfmt>
  <rcc rId="10406" sId="21" numFmtId="4">
    <nc r="U133">
      <v>622.29999999999995</v>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60" sId="8" numFmtId="4">
    <nc r="U109">
      <v>15486</v>
    </nc>
  </rcc>
  <rcc rId="14861" sId="8" numFmtId="4">
    <nc r="U191">
      <v>97</v>
    </nc>
  </rcc>
  <rcc rId="14862" sId="8" numFmtId="4">
    <nc r="U203">
      <v>17422.874</v>
    </nc>
  </rcc>
  <rcc rId="14863" sId="8" numFmtId="4">
    <nc r="T32">
      <v>0</v>
    </nc>
  </rcc>
  <rcc rId="14864" sId="8" numFmtId="4">
    <nc r="T33">
      <v>0</v>
    </nc>
  </rcc>
  <rcc rId="14865" sId="8" numFmtId="4">
    <nc r="T34">
      <v>0</v>
    </nc>
  </rcc>
  <rcc rId="14866" sId="8" numFmtId="4">
    <nc r="T35">
      <v>0</v>
    </nc>
  </rcc>
  <rcc rId="14867" sId="8" numFmtId="4">
    <nc r="U35">
      <v>0</v>
    </nc>
  </rcc>
  <rcc rId="14868" sId="8" numFmtId="4">
    <nc r="U34">
      <v>0</v>
    </nc>
  </rcc>
  <rcc rId="14869" sId="8" numFmtId="4">
    <nc r="U33">
      <v>0</v>
    </nc>
  </rcc>
  <rcc rId="14870" sId="8" numFmtId="4">
    <nc r="U32">
      <v>0</v>
    </nc>
  </rcc>
  <rcc rId="14871" sId="8" numFmtId="4">
    <nc r="T41">
      <v>0</v>
    </nc>
  </rcc>
  <rcc rId="14872" sId="8" numFmtId="4">
    <nc r="U41">
      <v>0</v>
    </nc>
  </rcc>
  <rcc rId="14873" sId="8" numFmtId="4">
    <nc r="U47">
      <v>7347.34</v>
    </nc>
  </rcc>
  <rcc rId="14874" sId="8">
    <oc r="S55" t="inlineStr">
      <is>
        <t>,</t>
      </is>
    </oc>
    <nc r="S55"/>
  </rcc>
  <rcc rId="14875" sId="8" numFmtId="4">
    <nc r="U52">
      <v>12</v>
    </nc>
  </rcc>
  <rcc rId="14876" sId="8" numFmtId="4">
    <nc r="U53">
      <v>0.7</v>
    </nc>
  </rcc>
  <rcc rId="14877" sId="8" numFmtId="4">
    <nc r="U54">
      <v>0.7</v>
    </nc>
  </rcc>
  <rcc rId="14878" sId="8" numFmtId="4">
    <nc r="U59">
      <v>10.8</v>
    </nc>
  </rcc>
  <rcc rId="14879" sId="8" numFmtId="4">
    <nc r="U60">
      <v>0.85</v>
    </nc>
  </rcc>
  <rcc rId="14880" sId="8" numFmtId="4">
    <nc r="U62">
      <v>0.85</v>
    </nc>
  </rcc>
  <rcc rId="14881" sId="8" numFmtId="4">
    <nc r="U97">
      <v>7005.3490000000002</v>
    </nc>
  </rcc>
  <rcc rId="14882" sId="8" numFmtId="4">
    <nc r="T91">
      <v>0</v>
    </nc>
  </rcc>
  <rcc rId="14883" sId="8" numFmtId="4">
    <nc r="U91">
      <v>0</v>
    </nc>
  </rcc>
  <rcc rId="14884" sId="8" numFmtId="4">
    <nc r="T85">
      <v>0</v>
    </nc>
  </rcc>
  <rcc rId="14885" sId="8" numFmtId="4">
    <nc r="U85">
      <v>0</v>
    </nc>
  </rcc>
  <rcc rId="14886" sId="8" numFmtId="4">
    <nc r="T79">
      <v>0</v>
    </nc>
  </rcc>
  <rcc rId="14887" sId="8" numFmtId="4">
    <nc r="U79">
      <v>0</v>
    </nc>
  </rcc>
  <rcc rId="14888" sId="8" numFmtId="4">
    <nc r="T73">
      <v>0</v>
    </nc>
  </rcc>
  <rcc rId="14889" sId="8" numFmtId="4">
    <nc r="U73">
      <v>0</v>
    </nc>
  </rcc>
  <rcc rId="14890" sId="8" numFmtId="4">
    <nc r="T115">
      <v>0</v>
    </nc>
  </rcc>
  <rcc rId="14891" sId="8" numFmtId="4">
    <nc r="U115">
      <v>1262.5</v>
    </nc>
  </rcc>
  <rcc rId="14892" sId="8" numFmtId="4">
    <nc r="T267">
      <v>0</v>
    </nc>
  </rcc>
  <rcc rId="14893" sId="8" numFmtId="4">
    <nc r="U267">
      <v>0</v>
    </nc>
  </rcc>
  <rcc rId="14894" sId="8" numFmtId="4">
    <nc r="T273">
      <v>0</v>
    </nc>
  </rcc>
  <rcc rId="14895" sId="8" numFmtId="4">
    <nc r="U273">
      <v>0</v>
    </nc>
  </rcc>
  <rcc rId="14896" sId="8" numFmtId="4">
    <nc r="T167">
      <v>0</v>
    </nc>
  </rcc>
  <rcc rId="14897" sId="8" numFmtId="4">
    <nc r="U167">
      <v>0</v>
    </nc>
  </rcc>
  <rcc rId="14898" sId="8" numFmtId="4">
    <nc r="U253">
      <v>5397.4340000000002</v>
    </nc>
  </rcc>
  <rcc rId="14899" sId="8" numFmtId="4">
    <nc r="T246">
      <v>0</v>
    </nc>
  </rcc>
  <rcc rId="14900" sId="8" numFmtId="4">
    <nc r="U246">
      <v>0</v>
    </nc>
  </rcc>
  <rcc rId="14901" sId="8" numFmtId="4">
    <nc r="T173">
      <v>0</v>
    </nc>
  </rcc>
  <rcc rId="14902" sId="8" numFmtId="4">
    <nc r="U173">
      <v>0</v>
    </nc>
  </rcc>
  <rcc rId="14903" sId="8" numFmtId="4">
    <nc r="R21">
      <v>0</v>
    </nc>
  </rcc>
  <rcc rId="14904" sId="8" numFmtId="4">
    <nc r="S21">
      <v>0</v>
    </nc>
  </rcc>
  <rcc rId="14905" sId="8" numFmtId="4">
    <nc r="T21">
      <v>0</v>
    </nc>
  </rcc>
  <rcc rId="14906" sId="8" numFmtId="4">
    <nc r="U21">
      <v>0</v>
    </nc>
  </rcc>
  <rcc rId="14907" sId="8" numFmtId="4">
    <nc r="T121">
      <v>0</v>
    </nc>
  </rcc>
  <rcc rId="14908" sId="8" numFmtId="4">
    <nc r="U121">
      <v>0</v>
    </nc>
  </rcc>
  <rcc rId="14909" sId="8" numFmtId="4">
    <nc r="T141">
      <v>0</v>
    </nc>
  </rcc>
  <rcc rId="14910" sId="8" numFmtId="4">
    <nc r="U141">
      <v>0</v>
    </nc>
  </rcc>
  <rcc rId="14911" sId="8" numFmtId="4">
    <nc r="T161">
      <v>0</v>
    </nc>
  </rcc>
  <rcc rId="14912" sId="8" numFmtId="4">
    <nc r="U161">
      <v>0</v>
    </nc>
  </rcc>
  <rcc rId="14913" sId="8" numFmtId="4">
    <nc r="T197">
      <v>0</v>
    </nc>
  </rcc>
  <rcc rId="14914" sId="8" numFmtId="4">
    <nc r="U197">
      <v>0</v>
    </nc>
  </rcc>
  <rcc rId="14915" sId="8" numFmtId="4">
    <nc r="T209">
      <v>0</v>
    </nc>
  </rcc>
  <rcc rId="14916" sId="8" numFmtId="4">
    <nc r="U209">
      <v>0</v>
    </nc>
  </rcc>
  <rcc rId="14917" sId="8" numFmtId="4">
    <nc r="T215">
      <v>0</v>
    </nc>
  </rcc>
  <rcc rId="14918" sId="8" numFmtId="4">
    <nc r="U215">
      <v>0</v>
    </nc>
  </rcc>
  <rcc rId="14919" sId="8" numFmtId="4">
    <nc r="U229">
      <v>1244.18</v>
    </nc>
  </rcc>
  <rcc rId="14920" sId="8" numFmtId="4">
    <nc r="U235">
      <v>957.596</v>
    </nc>
  </rcc>
  <rcc rId="14921" sId="8" numFmtId="4">
    <nc r="U133">
      <v>5511.15</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22" sId="8" numFmtId="4">
    <oc r="X109">
      <v>27.52</v>
    </oc>
    <nc r="X109">
      <v>27.524999999999999</v>
    </nc>
  </rcc>
  <rcc rId="14923" sId="8" numFmtId="4">
    <oc r="Z109">
      <v>136.01</v>
    </oc>
    <nc r="Z109">
      <v>136</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24" sId="8" odxf="1" dxf="1">
    <oc r="AF106" t="inlineStr">
      <is>
        <t>Отклонение 15 710,310 тыс. руб., из них: 15 390,0 тыс. руб. - консоли светодиодные, заключены три договора с ООО "Группа компаний "Мегаполис" № 1КТ от 02.05.2024г. на сумму  5 228 762,50 руб., №2 КГ от 03.05.2024г. на сумму 4 944 658,66 руб., № 3КГ от 06.05.2024г. на сумму              5 216 578,38 руб., оплата - по факту поставки; 320,31 тыс. руб. - оплата за приобретение костюмов сценических осуществляется по факту поставки товара.</t>
      </is>
    </oc>
    <nc r="AF106" t="inlineStr">
      <is>
        <t>Отклонение 224,310 тыс. руб., из них: 224,310 тыс. руб. - оплата за приобретение костюмов сценических осуществляется по факту поставки товара.</t>
      </is>
    </nc>
    <odxf>
      <font>
        <sz val="12"/>
        <color auto="1"/>
        <name val="Times New Roman"/>
        <scheme val="none"/>
      </font>
    </odxf>
    <ndxf>
      <font>
        <sz val="14"/>
        <color auto="1"/>
        <name val="Times New Roman"/>
        <scheme val="none"/>
      </font>
    </ndxf>
  </rcc>
  <rfmt sheetId="8" sqref="AF107" start="0" length="0">
    <dxf/>
  </rfmt>
  <rfmt sheetId="8" sqref="AF108" start="0" length="0">
    <dxf/>
  </rfmt>
  <rfmt sheetId="8" sqref="AF109" start="0" length="0">
    <dxf/>
  </rfmt>
  <rfmt sheetId="8" sqref="AF106" start="0" length="2147483647">
    <dxf>
      <font>
        <sz val="12"/>
      </font>
    </dxf>
  </rfmt>
  <rfmt sheetId="8" sqref="AF158" start="0" length="0">
    <dxf>
      <font>
        <sz val="14"/>
        <color auto="1"/>
        <name val="Times New Roman"/>
        <scheme val="none"/>
      </font>
    </dxf>
  </rfmt>
  <rfmt sheetId="8" sqref="AF158" start="0" length="2147483647">
    <dxf>
      <font>
        <sz val="12"/>
      </font>
    </dxf>
  </rfmt>
  <rcc rId="14925" sId="8" odxf="1" dxf="1">
    <oc r="AF187" t="inlineStr">
      <is>
        <t>Отклонение - 649,980 тыс.руб. - в том числе: 75,858 тыс. руб. - командировочные расходы,  81,567 тыс. руб. -экономия по оплате транспортных услуг на мер. Новый год, "Проводы зимы", "День Победы" не предоставлены, 389,420 тыс. руб. - оплата за участие в конкурсах-фестивалях, 102,760 тыс. руб.   - украшения для новогодней ели не приобретались,  0,375 тыс. руб. - документы на потребление электроэнергии Снежного городка предоставлены на меньшую сумму.</t>
      </is>
    </oc>
    <nc r="AF187" t="inlineStr">
      <is>
        <t>Отклонение - 552,980 тыс.руб. - в том числе: 75,858 тыс. руб. - командировочные расходы,  81,567 тыс. руб. -экономия по оплате транспортных услуг на мер. Новый год, "Проводы зимы", "День Победы", 292,420 тыс. руб. - оплата за участие в конкурсах-фестивалях, 102,760 тыс. руб.   - украшения для новогодней ели не приобретались,  0,375 тыс. руб. - документы на потребление электроэнергии Снежного городка предоставлены на меньшую сумму.</t>
      </is>
    </nc>
    <odxf>
      <font>
        <sz val="12"/>
        <color auto="1"/>
        <name val="Times New Roman"/>
        <scheme val="none"/>
      </font>
    </odxf>
    <ndxf>
      <font>
        <sz val="14"/>
        <color auto="1"/>
        <name val="Times New Roman"/>
        <scheme val="none"/>
      </font>
    </ndxf>
  </rcc>
  <rfmt sheetId="8" sqref="AF188" start="0" length="0">
    <dxf>
      <font>
        <sz val="14"/>
        <color auto="1"/>
        <name val="Times New Roman"/>
        <scheme val="none"/>
      </font>
    </dxf>
  </rfmt>
  <rfmt sheetId="8" sqref="AF189" start="0" length="0">
    <dxf>
      <font>
        <sz val="14"/>
        <color auto="1"/>
        <name val="Times New Roman"/>
        <scheme val="none"/>
      </font>
    </dxf>
  </rfmt>
  <rfmt sheetId="8" sqref="AF190" start="0" length="0">
    <dxf>
      <font>
        <sz val="14"/>
        <color auto="1"/>
        <name val="Times New Roman"/>
        <scheme val="none"/>
      </font>
    </dxf>
  </rfmt>
  <rfmt sheetId="8" sqref="AF187" start="0" length="2147483647">
    <dxf>
      <font>
        <sz val="12"/>
      </font>
    </dxf>
  </rfmt>
  <rcc rId="14926" sId="8" odxf="1" dxf="1">
    <oc r="AF199" t="inlineStr">
      <is>
        <t>Отклонение - 9524,944 тыс. руб., в том числе: 6287,626 тыс. руб. - заработная плата, 41,829 тыс. руб. - оплата листка нетрудоспособности за счет средств работодателя, 0,727 тыс. руб. - оплата первичного медосмотра не производилась, 1007,475 тыс. руб. - начисление на выплаты по оплате труда,  63,079 тыс. руб. - услуги связи, 8,107 тыс. руб. - экономия по транспортным услугам, 13,515тыс. руб. - экономия по водопотреблению, 99,261 тыс. руб. - услуги по обращению с ТКО, 72,709 тыс. руб. - уборка снега,  217,239 тыс. руб. - экономия по техническому обслуживанию зданий, 104,202 тыс. руб. - экономия по противопожарному обслуживанию,  24,0 тыс. руб. - сопровождение УРМ, 43,055 тыс. руб. - медосмотр, 34,909тыс. руб. - услуги охраны, 30,000 тыс. руб. - канцтовары, 1,617 тыс. руб. -теплопотребление, 108,281тыс.руб.  - энергоснабжение; 773,200 тыс. руб. - налог на землю, 112,590 тыс руб. - содержание объекта благоустройства Набережная реки Ингу-Ягун., 481,523 тыс. руб. - оплата льготного проезда.</t>
      </is>
    </oc>
    <nc r="AF199" t="inlineStr">
      <is>
        <t>Отклонение -8444,635 тыс. руб., в том числе: 5674,615 тыс. руб. - заработная плата, 43,089 тыс. руб. - оплата листка нетрудоспособности за счет средств работодателя, 0,700 тыс. руб. - оплата первичного медосмотра не производилась, 1063,471 тыс. руб. - начисление на выплаты по оплате труда,  72,479 тыс. руб. - услуги связи, 8,060 тыс. руб. - экономия по транспортным услугам, 6,768 тыс. руб. - экономия по водопотреблению, 94,946 тыс. руб. - услуги по обращению с ТКО, 72,709 тыс. руб. - уборка снега,  163,310 тыс. руб. - экономия по техническому обслуживанию зданий, 144,590 тыс. руб. - экономия по противопожарному обслуживанию,  28,0 тыс. руб. - сопровождение УРМ, 31,013тыс. руб. - услуги охраны, 30,000 тыс. руб. - канцтовары, 7,361 тыс. руб. -теплопотребление, 542,771 тыс. руб. - налоги, 186,736 тыс руб. - содержание объекта благоустройства Набережная реки Ингу-Ягун., 274,017 тыс. руб. - оплата льготного проезда.</t>
      </is>
    </nc>
    <odxf>
      <font>
        <sz val="12"/>
        <color auto="1"/>
        <name val="Times New Roman"/>
        <scheme val="none"/>
      </font>
    </odxf>
    <ndxf>
      <font>
        <sz val="14"/>
        <color auto="1"/>
        <name val="Times New Roman"/>
        <scheme val="none"/>
      </font>
    </ndxf>
  </rcc>
  <rfmt sheetId="8" sqref="AF200" start="0" length="0">
    <dxf>
      <font>
        <sz val="14"/>
        <color auto="1"/>
        <name val="Times New Roman"/>
        <scheme val="none"/>
      </font>
    </dxf>
  </rfmt>
  <rfmt sheetId="8" sqref="AF201" start="0" length="0">
    <dxf>
      <font>
        <sz val="14"/>
        <color auto="1"/>
        <name val="Times New Roman"/>
        <scheme val="none"/>
      </font>
    </dxf>
  </rfmt>
  <rfmt sheetId="8" sqref="AF202" start="0" length="0">
    <dxf>
      <font>
        <sz val="14"/>
        <color auto="1"/>
        <name val="Times New Roman"/>
        <scheme val="none"/>
      </font>
    </dxf>
  </rfmt>
  <rfmt sheetId="8" sqref="AF203" start="0" length="0">
    <dxf>
      <font>
        <sz val="14"/>
        <color auto="1"/>
        <name val="Times New Roman"/>
        <scheme val="none"/>
      </font>
    </dxf>
  </rfmt>
  <rfmt sheetId="8" sqref="AF204" start="0" length="0">
    <dxf>
      <font>
        <sz val="14"/>
        <color auto="1"/>
        <name val="Times New Roman"/>
        <scheme val="none"/>
      </font>
    </dxf>
  </rfmt>
  <rfmt sheetId="8" sqref="AF199:AF204" start="0" length="2147483647">
    <dxf>
      <font>
        <sz val="12"/>
      </font>
    </dxf>
  </rfmt>
  <rfmt sheetId="8" sqref="AF30" start="0" length="0">
    <dxf>
      <font>
        <i/>
        <sz val="12"/>
        <color auto="1"/>
        <name val="Times New Roman"/>
        <scheme val="none"/>
      </font>
    </dxf>
  </rfmt>
  <rfmt sheetId="8" sqref="AF30" start="0" length="2147483647">
    <dxf>
      <font>
        <i val="0"/>
      </font>
    </dxf>
  </rfmt>
  <rfmt sheetId="8" sqref="AF37" start="0" length="0">
    <dxf>
      <font>
        <i/>
        <sz val="12"/>
        <color auto="1"/>
        <name val="Times New Roman"/>
        <scheme val="none"/>
      </font>
    </dxf>
  </rfmt>
  <rfmt sheetId="8" sqref="AF37" start="0" length="2147483647">
    <dxf>
      <font>
        <i val="0"/>
      </font>
    </dxf>
  </rfmt>
  <rcc rId="14927" sId="8" odxf="1" dxf="1">
    <oc r="AF43" t="inlineStr">
      <is>
        <t xml:space="preserve">Отклонение возникло:
-по оплате труда и начисления - 4431,46т.р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-2,4т.р. (остаток средств будет освоен в течение 2024г.)                                                                                                                                                                                                - услуги связи -4,93т.р. (в учреждении действует режим экономиии на телефонную связь)                                                                                                                                                                                                                                                                                                                                                                                                                                                                                                                                                                                                                                                                                                                                                                                                                                                                           
-по коммунальным услугам -162,07т.р.(фактические показания счетчиков);
-по работам и услугам по содержанию имущества-170,022т.р. (остаток средств по дог.на тех. обслуживание,содержание,тек. ремонт жил. фонда, также на уборку снега,анализ сточных вод, проектирование, монтаж системы ОПС будут освоены в течение 2024г.)                                                                                                                                                     - прочие работы, услуги- 27,63т.р. (остаток средств на оплату командировочн.расходов, охрану обьекта,спец. оценке усл.труда,производ.контролю,подписке на периодич. издания будет освоен в течение 2024г.р.)                                                                                                                                                                                                                                                                                                                                                                                                                                                                                - социальные компенсации персоналу в натуральной форме - 49,00т.р. (остаток средств будет освоен в течение 2024г.)                                                                                                                         -страхование -0,3т.р. (остаток средств будет освоен в течение 2024г.)                                             -соц. пособия и компенсации персоналу в денежной форме -1,82т.р.  (остаток средств будет освоен в июле 2024г.)                                                                                                                                                                                                                                                                                                                            -увеличение стоимости основных средств -127,56т.р. (остаток средств будет освоен в течение 2024г.)                                                                                                                                                                                                                 - прочие несоциальные выплаты персоналу в натуральной форме - 418,04т.р. (остаток средств будет освоен в течение 2024г. на оплату проезда в отпуск и обратно сотрудн.,а также проезда заочника)                                                                                                                                                                                                                                                                                                                                                                                                                                                                                                                                                                                                                                                                                                                                                                                                                                                                                         </t>
      </is>
    </oc>
    <nc r="AF43" t="inlineStr">
      <is>
        <t xml:space="preserve">Отклонение возникло:
-по оплате труда и начисления - 3454,74т.р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-2,4т.р. (остаток средств будет освоен в течение 2024г.)                                                                                                                                                                                                - услуги связи -8,512т.р. (в учреждении действует режим экономиии на телефонную связь)                                                                                                                                                                                                                                                                                                                                                                                                                                                                                                                                                                                                                                                                                                                                                                                                                                                                           
-по коммунальным услугам -169,21т.р.(фактические показания счетчиков);
-по работам и услугам по содержанию имущества-1276,47т.р. (остаток средств по дог.на тех. обслуживание,содержание,тек. ремонт жил. фонда, также на уборку снега,анализ сточных вод, проектирование,текущий ремонт будут освоены в течение 2024г.)                                                                                                                                                     - прочие работы, услуги- 476,53т.р. (остаток средств на оплату командировочн.расходов, охрану обьекта,спец. оценке усл.труда,производ.контролю,подписке на периодич. издания,ремонт и пусконаладку системы ОПС будет освоен в течение 2024г.р.)                                                                                                                                                                                                                                                                                                                                                                                                                                                                                - социальные компенсации персоналу в натуральной форме - 73,50т.р. (остаток средств будет освоен в течение 2024г.)                                                                                                                         -страхование -0,3т.р. (остаток средств будет освоен в течение 2024г.)                                             -соц. пособия и компенсации персоналу в денежной форме -18,281т.р.  (остаток средств будет освоен в августе 2024г.)                                                                                                                                                                                                                                                                                                                            -увеличение стоимости основных средств -127,56т.р. (остаток средств будет освоен в течение 2024г.)                                                                                                                                                     -увеличение стоитмости прочих оборотных запасов-28,35т.р.(остаток будет олсвоен в августе 2024г. на поставку воды и картриджи)                                                                                                                                                                                                            - прочие несоциальные выплаты персоналу в натуральной форме - 457,724т.р. (остаток средств будет освоен в течение 2024г. на оплату проезда в отпуск и обратно сотрудн.,а также проезда заочника)                                                                                                                                                                                                                                                                                                                                                                                                                                                                                                                                                                                                                                                                                                                                                                                                                                                                                         </t>
      </is>
    </nc>
    <odxf>
      <font>
        <sz val="12"/>
        <color auto="1"/>
        <name val="Times New Roman"/>
        <scheme val="none"/>
      </font>
    </odxf>
    <ndxf>
      <font>
        <sz val="13"/>
        <color auto="1"/>
        <name val="Times New Roman"/>
        <scheme val="none"/>
      </font>
    </ndxf>
  </rcc>
  <rcc rId="14928" sId="8" odxf="1" dxf="1">
    <oc r="AF49" t="inlineStr">
      <is>
        <t>Услуги связи интернет) 47,50 т.р.(ОБ-33,10т.р.,МБ-14,40 т.р.)</t>
      </is>
    </oc>
    <nc r="AF49" t="inlineStr">
      <is>
        <t>Услуги связи интернет) 60,20 т.р.(ОБ-45,10т.р.,МБ-15,10 т.р.)</t>
      </is>
    </nc>
    <odxf>
      <font>
        <i val="0"/>
        <sz val="12"/>
        <color auto="1"/>
        <name val="Times New Roman"/>
        <scheme val="none"/>
      </font>
    </odxf>
    <ndxf>
      <font>
        <i/>
        <sz val="12"/>
        <color auto="1"/>
        <name val="Times New Roman"/>
        <scheme val="none"/>
      </font>
    </ndxf>
  </rcc>
  <rfmt sheetId="8" sqref="AF49" start="0" length="2147483647">
    <dxf>
      <font>
        <i val="0"/>
      </font>
    </dxf>
  </rfmt>
  <rcc rId="14929" sId="8" odxf="1" dxf="1">
    <oc r="AF56" t="inlineStr">
      <is>
        <t>Оказание инфоррмационных услуг (Консультант Плюс) 58,25 т.р. (ОБ-43,20т.р.,МБ-15,05т.р.)</t>
      </is>
    </oc>
    <nc r="AF56" t="inlineStr">
      <is>
        <t>Оказание инфоррмационных услуг (Консультант Плюс) 69,90 т.р. (ОБ-54,00т.р.,МБ-15,90т.р.)</t>
      </is>
    </nc>
    <odxf>
      <font>
        <i val="0"/>
        <sz val="12"/>
        <color auto="1"/>
        <name val="Times New Roman"/>
        <scheme val="none"/>
      </font>
    </odxf>
    <ndxf>
      <font>
        <i/>
        <sz val="12"/>
        <color auto="1"/>
        <name val="Times New Roman"/>
        <scheme val="none"/>
      </font>
    </ndxf>
  </rcc>
  <rfmt sheetId="8" sqref="AF56" start="0" length="2147483647">
    <dxf>
      <font>
        <i val="0"/>
      </font>
    </dxf>
  </rfmt>
  <rcc rId="14930" sId="8" odxf="1" dxf="1">
    <oc r="AF81" t="inlineStr">
      <is>
        <t>Остаток средств в сумме 0,040 т.руб.-прочее приобретение, средства будут использованы в июле.</t>
      </is>
    </oc>
    <nc r="AF81" t="inlineStr">
      <is>
        <t>Остаток средств в сумме 0,040 т.руб.-прочее приобретение, средства будут использованы в августе.</t>
      </is>
    </nc>
    <odxf>
      <font>
        <b val="0"/>
        <sz val="12"/>
        <color auto="1"/>
        <name val="Times New Roman"/>
        <scheme val="none"/>
      </font>
    </odxf>
    <ndxf>
      <font>
        <b/>
        <sz val="10"/>
        <color auto="1"/>
        <name val="Times New Roman"/>
        <scheme val="none"/>
      </font>
    </ndxf>
  </rcc>
  <rfmt sheetId="8" sqref="AF81" start="0" length="2147483647">
    <dxf>
      <font>
        <b val="0"/>
      </font>
    </dxf>
  </rfmt>
  <rfmt sheetId="8" sqref="AF81" start="0" length="2147483647">
    <dxf>
      <font>
        <sz val="12"/>
      </font>
    </dxf>
  </rfmt>
  <rcc rId="14931" sId="8">
    <oc r="AF87" t="inlineStr">
      <is>
        <t>Остаток средств в сумме 5,902 т.руб.-приобретение ОС,  оплата по факту на основании документов на оплату и товарных накладных, средства будут использованы в июле.</t>
      </is>
    </oc>
    <nc r="AF87" t="inlineStr">
      <is>
        <t>Остаток средств в сумме 5,902 т.руб.-приобретение ОС,  оплата по факту на основании документов на оплату и товарных накладных, средства будут использованы в августе</t>
      </is>
    </nc>
  </rcc>
  <rcc rId="14932" sId="8" odxf="1" dxf="1">
    <oc r="AF93" t="inlineStr">
      <is>
        <t>Остаток средств в сумме 5 558,160 т.руб., в т.ч.  остаток по  выплате заработной платы и соц.выплат   - 2 441,211 т.р. , начисл. на зар.плату - 1 593,677 т.руб., оплаты за коммунальные услуги по фактическим расходам и показаниям счетчиков- 342,561 т.р.,оплаты за содержание здания по факту предоставленных документов на оплату от поставщика - 374,326т.руб., оплата услуг связи - 46,461 т.руб., оплата б/л за счет ср-в работод - 101,044 т.руб.оплаты налога на имущество - 421,919 т.руб.оплата командировочных расходов - 27,385 т.руб., приобретение ОС - 23,200 т.руб., оплата проезда в отпуск и обратно - 186,376 т.руб.</t>
      </is>
    </oc>
    <nc r="AF93" t="inlineStr">
      <is>
        <t>Остаток средств в сумме 5 773,011 т.руб., в т.ч.  остаток по  выплате заработной платы и соц.выплат   - 2 390,485 т.р. , начисл. на зар.плату - 1 788,327 т.руб., оплаты за коммунальные услуги по фактическим расходам и показаниям счетчиков- 397,569 т.р.,оплаты за содержание здания по факту предоставленных документов на оплату от поставщика - 375,626т.руб., оплата услуг связи - 0,056 т.руб., оплата б/л за счет ср-в работод - 74,846 т.руб.оплаты налога на имущество - 428,954 т.руб.оплата командировочных расходов - 27,385 т.руб., оплата проезда в отпуск и обратно - 265,263 т.руб.,сан.кур.-24,500 т.руб</t>
      </is>
    </nc>
    <odxf>
      <font>
        <b val="0"/>
        <sz val="12"/>
        <color auto="1"/>
        <name val="Times New Roman"/>
        <scheme val="none"/>
      </font>
    </odxf>
    <ndxf>
      <font>
        <b/>
        <sz val="10"/>
        <color auto="1"/>
        <name val="Times New Roman"/>
        <scheme val="none"/>
      </font>
    </ndxf>
  </rcc>
  <rfmt sheetId="8" sqref="AF93" start="0" length="2147483647">
    <dxf>
      <font>
        <b val="0"/>
      </font>
    </dxf>
  </rfmt>
  <rfmt sheetId="8" sqref="AF93" start="0" length="2147483647">
    <dxf>
      <font>
        <sz val="12"/>
      </font>
    </dxf>
  </rfmt>
  <rcc rId="14933" sId="8" odxf="1" dxf="1">
    <oc r="AF263" t="inlineStr">
      <is>
        <t>Остаток средств в сумме -250,725 т.руб., в т.ч., оплата командировочных расходов -117,225 т.руб.,   приобретение ОС - 18,760 т.руб., прочее приобретение - 10,200 т.руб., сувенирная продукция - 104,540 т.руб. оплата по факту на основании документов на оплату, товарных накладных и акта выполненных работ, средства будут использованы в июне.</t>
      </is>
    </oc>
    <nc r="AF263" t="inlineStr">
      <is>
        <t>Остаток средств в сумме -294,227 т.руб., в т.ч.,  услуги по организации мероприятия  -51,600 т.руб.,оплата командировочных расходов -109,127 т.руб.,   приобретение ОС - 18,760 т.руб., прочее приобретение - 10,200 т.руб., сувенирная продукция - 104,540 т.руб. оплата по факту на основании документов на оплату, товарных накладных и акта выполненных работ, средства будут использованы в августе.</t>
      </is>
    </nc>
    <odxf>
      <font>
        <b val="0"/>
        <sz val="12"/>
        <color auto="1"/>
        <name val="Times New Roman"/>
        <scheme val="none"/>
      </font>
    </odxf>
    <ndxf>
      <font>
        <b/>
        <sz val="10"/>
        <color auto="1"/>
        <name val="Times New Roman"/>
        <scheme val="none"/>
      </font>
    </ndxf>
  </rcc>
  <rfmt sheetId="8" sqref="AF263" start="0" length="2147483647">
    <dxf>
      <font>
        <b val="0"/>
      </font>
    </dxf>
  </rfmt>
  <rfmt sheetId="8" sqref="AF263" start="0" length="2147483647">
    <dxf>
      <font>
        <sz val="12"/>
      </font>
    </dxf>
  </rfmt>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4" customView="1" name="Z_7C130984_112A_4861_AA43_E2940708E3DC_.wvu.FilterData" hidden="1" oldHidden="1">
    <formula>'11.МП РО'!$A$4:$A$380</formula>
    <oldFormula>'11.МП РО'!$A$4:$A$380</oldFormula>
  </rdn>
  <rdn rId="0" localSheetId="17" customView="1" name="Z_7C130984_112A_4861_AA43_E2940708E3DC_.wvu.Rows" hidden="1" oldHidden="1">
    <formula>'13.МП РЖС'!$122:$127</formula>
    <oldFormula>'13.МП РЖС'!$122:$127</oldFormula>
  </rdn>
  <rdn rId="0" localSheetId="17" customView="1" name="Z_7C130984_112A_4861_AA43_E2940708E3DC_.wvu.Cols" hidden="1" oldHidden="1">
    <formula>'13.МП РЖС'!$AG:$AG</formula>
    <oldFormula>'13.МП РЖС'!$AG:$AG</oldFormula>
  </rdn>
  <rcv guid="{7C130984-112A-4861-AA43-E2940708E3DC}"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45" sId="8">
    <oc r="B292">
      <f>B275-B281-B286</f>
    </oc>
    <nc r="B292"/>
  </rcc>
  <rcc rId="14946" sId="8">
    <oc r="C292">
      <f>C275-C281-C286</f>
    </oc>
    <nc r="C292"/>
  </rcc>
  <rcc rId="14947" sId="8">
    <oc r="D292">
      <f>D275-D281-D286</f>
    </oc>
    <nc r="D292"/>
  </rcc>
  <rcc rId="14948" sId="8">
    <oc r="E292">
      <f>E275-E281-E286</f>
    </oc>
    <nc r="E292"/>
  </rcc>
  <rcc rId="14949" sId="8">
    <oc r="H292">
      <f>H275-H281-H286</f>
    </oc>
    <nc r="H292"/>
  </rcc>
  <rcc rId="14950" sId="8">
    <oc r="I292">
      <f>I275-I281-I286</f>
    </oc>
    <nc r="I292"/>
  </rcc>
  <rcc rId="14951" sId="8">
    <oc r="J292">
      <f>J275-J281-J286</f>
    </oc>
    <nc r="J292"/>
  </rcc>
  <rcc rId="14952" sId="8">
    <oc r="K292">
      <f>K275-K281-K286</f>
    </oc>
    <nc r="K292"/>
  </rcc>
  <rcc rId="14953" sId="8">
    <oc r="L292">
      <f>L275-L281-L286</f>
    </oc>
    <nc r="L292"/>
  </rcc>
  <rcc rId="14954" sId="8">
    <oc r="M292">
      <f>M275-M281-M286</f>
    </oc>
    <nc r="M292"/>
  </rcc>
  <rcc rId="14955" sId="8">
    <oc r="N292">
      <f>N275-N281-N286</f>
    </oc>
    <nc r="N292"/>
  </rcc>
  <rcc rId="14956" sId="8">
    <oc r="O292">
      <f>O275-O281-O286</f>
    </oc>
    <nc r="O292"/>
  </rcc>
  <rcc rId="14957" sId="8">
    <oc r="P292">
      <f>P275-P281-P286</f>
    </oc>
    <nc r="P292"/>
  </rcc>
  <rcc rId="14958" sId="8">
    <oc r="Q292">
      <f>Q275-Q281-Q286</f>
    </oc>
    <nc r="Q292"/>
  </rcc>
  <rcc rId="14959" sId="8">
    <oc r="R292">
      <f>R275-R281-R286</f>
    </oc>
    <nc r="R292"/>
  </rcc>
  <rcc rId="14960" sId="8">
    <oc r="S292">
      <f>S275-S281-S286</f>
    </oc>
    <nc r="S292"/>
  </rcc>
  <rcc rId="14961" sId="8">
    <oc r="T292">
      <f>T275-T281-T286</f>
    </oc>
    <nc r="T292"/>
  </rcc>
  <rcc rId="14962" sId="8">
    <oc r="U292">
      <f>U275-U281-U286</f>
    </oc>
    <nc r="U292"/>
  </rcc>
  <rcc rId="14963" sId="8">
    <oc r="V292">
      <f>V275-V281-V286</f>
    </oc>
    <nc r="V292"/>
  </rcc>
  <rcc rId="14964" sId="8">
    <oc r="W292">
      <f>W275-W281-W286</f>
    </oc>
    <nc r="W292"/>
  </rcc>
  <rcc rId="14965" sId="8">
    <oc r="X292">
      <f>X275-X281-X286</f>
    </oc>
    <nc r="X292"/>
  </rcc>
  <rcc rId="14966" sId="8">
    <oc r="Y292">
      <f>Y275-Y281-Y286</f>
    </oc>
    <nc r="Y292"/>
  </rcc>
  <rcc rId="14967" sId="8">
    <oc r="Z292">
      <f>Z275-Z281-Z286</f>
    </oc>
    <nc r="Z292"/>
  </rcc>
  <rcc rId="14968" sId="8">
    <oc r="AA292">
      <f>AA275-AA281-AA286</f>
    </oc>
    <nc r="AA292"/>
  </rcc>
  <rcc rId="14969" sId="8">
    <oc r="AB292">
      <f>AB275-AB281-AB286</f>
    </oc>
    <nc r="AB292"/>
  </rcc>
  <rcc rId="14970" sId="8">
    <oc r="AC292">
      <f>AC275-AC281-AC286</f>
    </oc>
    <nc r="AC292"/>
  </rcc>
  <rcc rId="14971" sId="8">
    <oc r="AD292">
      <f>AD275-AD281-AD286</f>
    </oc>
    <nc r="AD292"/>
  </rcc>
  <rcc rId="14972" sId="8">
    <oc r="AE292">
      <f>AE275-AE281-AE286</f>
    </oc>
    <nc r="AE292"/>
  </rcc>
  <rcc rId="14973" sId="8">
    <oc r="AG292">
      <f>B292-H292-J292-L292-N292-P292-R292-T292-V292-X292-Z292-AB292-AD292</f>
    </oc>
    <nc r="AG292"/>
  </rcc>
  <rcc rId="14974" sId="8">
    <oc r="A293" t="inlineStr">
      <is>
        <t>федеральный бюджет</t>
      </is>
    </oc>
    <nc r="A293"/>
  </rcc>
  <rcc rId="14975" sId="8">
    <oc r="B293">
      <f>B276-B282-B287</f>
    </oc>
    <nc r="B293"/>
  </rcc>
  <rcc rId="14976" sId="8">
    <oc r="C293">
      <f>C276-C282-C287</f>
    </oc>
    <nc r="C293"/>
  </rcc>
  <rcc rId="14977" sId="8">
    <oc r="D293">
      <f>D276-D282-D287</f>
    </oc>
    <nc r="D293"/>
  </rcc>
  <rcc rId="14978" sId="8">
    <oc r="E293">
      <f>E276-E282-E287</f>
    </oc>
    <nc r="E293"/>
  </rcc>
  <rcc rId="14979" sId="8">
    <oc r="H293">
      <f>H276-H282-H287</f>
    </oc>
    <nc r="H293"/>
  </rcc>
  <rcc rId="14980" sId="8">
    <oc r="I293">
      <f>I276-I282-I287</f>
    </oc>
    <nc r="I293"/>
  </rcc>
  <rcc rId="14981" sId="8">
    <oc r="J293">
      <f>J276-J282-J287</f>
    </oc>
    <nc r="J293"/>
  </rcc>
  <rcc rId="14982" sId="8">
    <oc r="K293">
      <f>K276-K282-K287</f>
    </oc>
    <nc r="K293"/>
  </rcc>
  <rcc rId="14983" sId="8">
    <oc r="L293">
      <f>L276-L282-L287</f>
    </oc>
    <nc r="L293"/>
  </rcc>
  <rcc rId="14984" sId="8">
    <oc r="M293">
      <f>M276-M282-M287</f>
    </oc>
    <nc r="M293"/>
  </rcc>
  <rcc rId="14985" sId="8">
    <oc r="N293">
      <f>N276-N282-N287</f>
    </oc>
    <nc r="N293"/>
  </rcc>
  <rcc rId="14986" sId="8">
    <oc r="O293">
      <f>O276-O282-O287</f>
    </oc>
    <nc r="O293"/>
  </rcc>
  <rcc rId="14987" sId="8">
    <oc r="P293">
      <f>P276-P282-P287</f>
    </oc>
    <nc r="P293"/>
  </rcc>
  <rcc rId="14988" sId="8">
    <oc r="Q293">
      <f>Q276-Q282-Q287</f>
    </oc>
    <nc r="Q293"/>
  </rcc>
  <rcc rId="14989" sId="8">
    <oc r="R293">
      <f>R276-R282-R287</f>
    </oc>
    <nc r="R293"/>
  </rcc>
  <rcc rId="14990" sId="8">
    <oc r="S293">
      <f>S276-S282-S287</f>
    </oc>
    <nc r="S293"/>
  </rcc>
  <rcc rId="14991" sId="8">
    <oc r="T293">
      <f>T276-T282-T287</f>
    </oc>
    <nc r="T293"/>
  </rcc>
  <rcc rId="14992" sId="8">
    <oc r="U293">
      <f>U276-U282-U287</f>
    </oc>
    <nc r="U293"/>
  </rcc>
  <rcc rId="14993" sId="8">
    <oc r="V293">
      <f>V276-V282-V287</f>
    </oc>
    <nc r="V293"/>
  </rcc>
  <rcc rId="14994" sId="8">
    <oc r="W293">
      <f>W276-W282-W287</f>
    </oc>
    <nc r="W293"/>
  </rcc>
  <rcc rId="14995" sId="8">
    <oc r="X293">
      <f>X276-X282-X287</f>
    </oc>
    <nc r="X293"/>
  </rcc>
  <rcc rId="14996" sId="8">
    <oc r="Y293">
      <f>Y276-Y282-Y287</f>
    </oc>
    <nc r="Y293"/>
  </rcc>
  <rcc rId="14997" sId="8">
    <oc r="Z293">
      <f>Z276-Z282-Z287</f>
    </oc>
    <nc r="Z293"/>
  </rcc>
  <rcc rId="14998" sId="8">
    <oc r="AA293">
      <f>AA276-AA282-AA287</f>
    </oc>
    <nc r="AA293"/>
  </rcc>
  <rcc rId="14999" sId="8">
    <oc r="AB293">
      <f>AB276-AB282-AB287</f>
    </oc>
    <nc r="AB293"/>
  </rcc>
  <rcc rId="15000" sId="8">
    <oc r="AC293">
      <f>AC276-AC282-AC287</f>
    </oc>
    <nc r="AC293"/>
  </rcc>
  <rcc rId="15001" sId="8">
    <oc r="AD293">
      <f>AD276-AD282-AD287</f>
    </oc>
    <nc r="AD293"/>
  </rcc>
  <rcc rId="15002" sId="8">
    <oc r="AE293">
      <f>AE276-AE282-AE287</f>
    </oc>
    <nc r="AE293"/>
  </rcc>
  <rcc rId="15003" sId="8">
    <oc r="AG293">
      <f>B293-H293-J293-L293-N293-P293-R293-T293-V293-X293-Z293-AB293-AD293</f>
    </oc>
    <nc r="AG293"/>
  </rcc>
  <rcc rId="15004" sId="8">
    <oc r="A294" t="inlineStr">
      <is>
        <t>бюджет автономного округа</t>
      </is>
    </oc>
    <nc r="A294"/>
  </rcc>
  <rcc rId="15005" sId="8">
    <oc r="B294">
      <f>B277-B283-B288</f>
    </oc>
    <nc r="B294"/>
  </rcc>
  <rcc rId="15006" sId="8">
    <oc r="C294">
      <f>C277-C283-C288</f>
    </oc>
    <nc r="C294"/>
  </rcc>
  <rcc rId="15007" sId="8">
    <oc r="D294">
      <f>D277-D283-D288</f>
    </oc>
    <nc r="D294"/>
  </rcc>
  <rcc rId="15008" sId="8">
    <oc r="E294">
      <f>E277-E283-E288</f>
    </oc>
    <nc r="E294"/>
  </rcc>
  <rcc rId="15009" sId="8">
    <oc r="H294">
      <f>H277-H283-H288</f>
    </oc>
    <nc r="H294"/>
  </rcc>
  <rcc rId="15010" sId="8">
    <oc r="I294">
      <f>I277-I283-I288</f>
    </oc>
    <nc r="I294"/>
  </rcc>
  <rcc rId="15011" sId="8">
    <oc r="J294">
      <f>J277-J283-J288</f>
    </oc>
    <nc r="J294"/>
  </rcc>
  <rcc rId="15012" sId="8">
    <oc r="K294">
      <f>K277-K283-K288</f>
    </oc>
    <nc r="K294"/>
  </rcc>
  <rcc rId="15013" sId="8">
    <oc r="L294">
      <f>L277-L283-L288</f>
    </oc>
    <nc r="L294"/>
  </rcc>
  <rcc rId="15014" sId="8">
    <oc r="M294">
      <f>M277-M283-M288</f>
    </oc>
    <nc r="M294"/>
  </rcc>
  <rcc rId="15015" sId="8">
    <oc r="N294">
      <f>N277-N283-N288</f>
    </oc>
    <nc r="N294"/>
  </rcc>
  <rcc rId="15016" sId="8">
    <oc r="O294">
      <f>O277-O283-O288</f>
    </oc>
    <nc r="O294"/>
  </rcc>
  <rcc rId="15017" sId="8">
    <oc r="P294">
      <f>P277-P283-P288</f>
    </oc>
    <nc r="P294"/>
  </rcc>
  <rcc rId="15018" sId="8">
    <oc r="Q294">
      <f>Q277-Q283-Q288</f>
    </oc>
    <nc r="Q294"/>
  </rcc>
  <rcc rId="15019" sId="8">
    <oc r="R294">
      <f>R277-R283-R288</f>
    </oc>
    <nc r="R294"/>
  </rcc>
  <rcc rId="15020" sId="8">
    <oc r="S294">
      <f>S277-S283-S288</f>
    </oc>
    <nc r="S294"/>
  </rcc>
  <rcc rId="15021" sId="8">
    <oc r="T294">
      <f>T277-T283-T288</f>
    </oc>
    <nc r="T294"/>
  </rcc>
  <rcc rId="15022" sId="8">
    <oc r="U294">
      <f>U277-U283-U288</f>
    </oc>
    <nc r="U294"/>
  </rcc>
  <rcc rId="15023" sId="8">
    <oc r="V294">
      <f>V277-V283-V288</f>
    </oc>
    <nc r="V294"/>
  </rcc>
  <rcc rId="15024" sId="8">
    <oc r="W294">
      <f>W277-W283-W288</f>
    </oc>
    <nc r="W294"/>
  </rcc>
  <rcc rId="15025" sId="8">
    <oc r="X294">
      <f>X277-X283-X288</f>
    </oc>
    <nc r="X294"/>
  </rcc>
  <rcc rId="15026" sId="8">
    <oc r="Y294">
      <f>Y277-Y283-Y288</f>
    </oc>
    <nc r="Y294"/>
  </rcc>
  <rcc rId="15027" sId="8">
    <oc r="Z294">
      <f>Z277-Z283-Z288</f>
    </oc>
    <nc r="Z294"/>
  </rcc>
  <rcc rId="15028" sId="8">
    <oc r="AA294">
      <f>AA277-AA283-AA288</f>
    </oc>
    <nc r="AA294"/>
  </rcc>
  <rcc rId="15029" sId="8">
    <oc r="AB294">
      <f>AB277-AB283-AB288</f>
    </oc>
    <nc r="AB294"/>
  </rcc>
  <rcc rId="15030" sId="8">
    <oc r="AC294">
      <f>AC277-AC283-AC288</f>
    </oc>
    <nc r="AC294"/>
  </rcc>
  <rcc rId="15031" sId="8">
    <oc r="AD294">
      <f>AD277-AD283-AD288</f>
    </oc>
    <nc r="AD294"/>
  </rcc>
  <rcc rId="15032" sId="8">
    <oc r="AE294">
      <f>AE277-AE283-AE288</f>
    </oc>
    <nc r="AE294"/>
  </rcc>
  <rcc rId="15033" sId="8">
    <oc r="AG294">
      <f>B294-H294-J294-L294-N294-P294-R294-T294-V294-X294-Z294-AB294-AD294</f>
    </oc>
    <nc r="AG294"/>
  </rcc>
  <rcc rId="15034" sId="8">
    <oc r="A295" t="inlineStr">
      <is>
        <t>бюджет города Когалыма</t>
      </is>
    </oc>
    <nc r="A295"/>
  </rcc>
  <rcc rId="15035" sId="8">
    <oc r="B295">
      <f>B278-B284-B289</f>
    </oc>
    <nc r="B295"/>
  </rcc>
  <rcc rId="15036" sId="8">
    <oc r="C295">
      <f>C278-C284-C289</f>
    </oc>
    <nc r="C295"/>
  </rcc>
  <rcc rId="15037" sId="8">
    <oc r="D295">
      <f>D278-D284-D289</f>
    </oc>
    <nc r="D295"/>
  </rcc>
  <rcc rId="15038" sId="8">
    <oc r="E295">
      <f>E278-E284-E289</f>
    </oc>
    <nc r="E295"/>
  </rcc>
  <rcc rId="15039" sId="8">
    <oc r="H295">
      <f>H278-H284-H289</f>
    </oc>
    <nc r="H295"/>
  </rcc>
  <rcc rId="15040" sId="8">
    <oc r="I295">
      <f>I278-I284-I289</f>
    </oc>
    <nc r="I295"/>
  </rcc>
  <rcc rId="15041" sId="8">
    <oc r="J295">
      <f>J278-J284-J289</f>
    </oc>
    <nc r="J295"/>
  </rcc>
  <rcc rId="15042" sId="8">
    <oc r="K295">
      <f>K278-K284-K289</f>
    </oc>
    <nc r="K295"/>
  </rcc>
  <rcc rId="15043" sId="8">
    <oc r="L295">
      <f>L278-L284-L289</f>
    </oc>
    <nc r="L295"/>
  </rcc>
  <rcc rId="15044" sId="8">
    <oc r="M295">
      <f>M278-M284-M289</f>
    </oc>
    <nc r="M295"/>
  </rcc>
  <rcc rId="15045" sId="8">
    <oc r="N295">
      <f>N278-N284-N289</f>
    </oc>
    <nc r="N295"/>
  </rcc>
  <rcc rId="15046" sId="8">
    <oc r="O295">
      <f>O278-O284-O289</f>
    </oc>
    <nc r="O295"/>
  </rcc>
  <rcc rId="15047" sId="8">
    <oc r="P295">
      <f>P278-P284-P289</f>
    </oc>
    <nc r="P295"/>
  </rcc>
  <rcc rId="15048" sId="8">
    <oc r="Q295">
      <f>Q278-Q284-Q289</f>
    </oc>
    <nc r="Q295"/>
  </rcc>
  <rcc rId="15049" sId="8">
    <oc r="R295">
      <f>R278-R284-R289</f>
    </oc>
    <nc r="R295"/>
  </rcc>
  <rcc rId="15050" sId="8">
    <oc r="S295">
      <f>S278-S284-S289</f>
    </oc>
    <nc r="S295"/>
  </rcc>
  <rcc rId="15051" sId="8">
    <oc r="T295">
      <f>T278-T284-T289</f>
    </oc>
    <nc r="T295"/>
  </rcc>
  <rcc rId="15052" sId="8">
    <oc r="U295">
      <f>U278-U284-U289</f>
    </oc>
    <nc r="U295"/>
  </rcc>
  <rcc rId="15053" sId="8">
    <oc r="V295">
      <f>V278-V284-V289</f>
    </oc>
    <nc r="V295"/>
  </rcc>
  <rcc rId="15054" sId="8">
    <oc r="W295">
      <f>W278-W284-W289</f>
    </oc>
    <nc r="W295"/>
  </rcc>
  <rcc rId="15055" sId="8">
    <oc r="X295">
      <f>X278-X284-X289</f>
    </oc>
    <nc r="X295"/>
  </rcc>
  <rcc rId="15056" sId="8">
    <oc r="Y295">
      <f>Y278-Y284-Y289</f>
    </oc>
    <nc r="Y295"/>
  </rcc>
  <rcc rId="15057" sId="8">
    <oc r="Z295">
      <f>Z278-Z284-Z289</f>
    </oc>
    <nc r="Z295"/>
  </rcc>
  <rcc rId="15058" sId="8">
    <oc r="AA295">
      <f>AA278-AA284-AA289</f>
    </oc>
    <nc r="AA295"/>
  </rcc>
  <rcc rId="15059" sId="8">
    <oc r="AB295">
      <f>AB278-AB284-AB289</f>
    </oc>
    <nc r="AB295"/>
  </rcc>
  <rcc rId="15060" sId="8">
    <oc r="AC295">
      <f>AC278-AC284-AC289</f>
    </oc>
    <nc r="AC295"/>
  </rcc>
  <rcc rId="15061" sId="8">
    <oc r="AD295">
      <f>AD278-AD284-AD289</f>
    </oc>
    <nc r="AD295"/>
  </rcc>
  <rcc rId="15062" sId="8">
    <oc r="AE295">
      <f>AE278-AE284-AE289</f>
    </oc>
    <nc r="AE295"/>
  </rcc>
  <rcc rId="15063" sId="8">
    <oc r="AG295">
      <f>B295-H295-J295-L295-N295-P295-R295-T295-V295-X295-Z295-AB295-AD295</f>
    </oc>
    <nc r="AG295"/>
  </rcc>
  <rcc rId="15064" sId="8">
    <oc r="A296" t="inlineStr">
      <is>
        <t>привлеченные средства</t>
      </is>
    </oc>
    <nc r="A296"/>
  </rcc>
  <rcc rId="15065" sId="8">
    <oc r="B296">
      <f>B279-B285-B290</f>
    </oc>
    <nc r="B296"/>
  </rcc>
  <rcc rId="15066" sId="8">
    <oc r="C296">
      <f>C279-C285-C290</f>
    </oc>
    <nc r="C296"/>
  </rcc>
  <rcc rId="15067" sId="8">
    <oc r="D296">
      <f>D279-D285-D290</f>
    </oc>
    <nc r="D296"/>
  </rcc>
  <rcc rId="15068" sId="8">
    <oc r="E296">
      <f>E279-E285-E290</f>
    </oc>
    <nc r="E296"/>
  </rcc>
  <rcc rId="15069" sId="8">
    <oc r="H296">
      <f>H279-H285-H290</f>
    </oc>
    <nc r="H296"/>
  </rcc>
  <rcc rId="15070" sId="8">
    <oc r="I296">
      <f>I279-I285-I290</f>
    </oc>
    <nc r="I296"/>
  </rcc>
  <rcc rId="15071" sId="8">
    <oc r="J296">
      <f>J279-J285-J290</f>
    </oc>
    <nc r="J296"/>
  </rcc>
  <rcc rId="15072" sId="8">
    <oc r="K296">
      <f>K279-K285-K290</f>
    </oc>
    <nc r="K296"/>
  </rcc>
  <rcc rId="15073" sId="8">
    <oc r="L296">
      <f>L279-L285-L290</f>
    </oc>
    <nc r="L296"/>
  </rcc>
  <rcc rId="15074" sId="8">
    <oc r="M296">
      <f>M279-M285-M290</f>
    </oc>
    <nc r="M296"/>
  </rcc>
  <rcc rId="15075" sId="8">
    <oc r="N296">
      <f>N279-N285-N290</f>
    </oc>
    <nc r="N296"/>
  </rcc>
  <rcc rId="15076" sId="8">
    <oc r="O296">
      <f>O279-O285-O290</f>
    </oc>
    <nc r="O296"/>
  </rcc>
  <rcc rId="15077" sId="8">
    <oc r="P296">
      <f>P279-P285-P290</f>
    </oc>
    <nc r="P296"/>
  </rcc>
  <rcc rId="15078" sId="8">
    <oc r="Q296">
      <f>Q279-Q285-Q290</f>
    </oc>
    <nc r="Q296"/>
  </rcc>
  <rcc rId="15079" sId="8">
    <oc r="R296">
      <f>R279-R285-R290</f>
    </oc>
    <nc r="R296"/>
  </rcc>
  <rcc rId="15080" sId="8">
    <oc r="S296">
      <f>S279-S285-S290</f>
    </oc>
    <nc r="S296"/>
  </rcc>
  <rcc rId="15081" sId="8">
    <oc r="T296">
      <f>T279-T285-T290</f>
    </oc>
    <nc r="T296"/>
  </rcc>
  <rcc rId="15082" sId="8">
    <oc r="U296">
      <f>U279-U285-U290</f>
    </oc>
    <nc r="U296"/>
  </rcc>
  <rcc rId="15083" sId="8">
    <oc r="V296">
      <f>V279-V285-V290</f>
    </oc>
    <nc r="V296"/>
  </rcc>
  <rcc rId="15084" sId="8">
    <oc r="W296">
      <f>W279-W285-W290</f>
    </oc>
    <nc r="W296"/>
  </rcc>
  <rcc rId="15085" sId="8">
    <oc r="X296">
      <f>X279-X285-X290</f>
    </oc>
    <nc r="X296"/>
  </rcc>
  <rcc rId="15086" sId="8">
    <oc r="Y296">
      <f>Y279-Y285-Y290</f>
    </oc>
    <nc r="Y296"/>
  </rcc>
  <rcc rId="15087" sId="8">
    <oc r="Z296">
      <f>Z279-Z285-Z290</f>
    </oc>
    <nc r="Z296"/>
  </rcc>
  <rcc rId="15088" sId="8">
    <oc r="AA296">
      <f>AA279-AA285-AA290</f>
    </oc>
    <nc r="AA296"/>
  </rcc>
  <rcc rId="15089" sId="8">
    <oc r="AB296">
      <f>AB279-AB285-AB290</f>
    </oc>
    <nc r="AB296"/>
  </rcc>
  <rcc rId="15090" sId="8">
    <oc r="AC296">
      <f>AC279-AC285-AC290</f>
    </oc>
    <nc r="AC296"/>
  </rcc>
  <rcc rId="15091" sId="8">
    <oc r="AD296">
      <f>AD279-AD285-AD290</f>
    </oc>
    <nc r="AD296"/>
  </rcc>
  <rcc rId="15092" sId="8">
    <oc r="AE296">
      <f>AE279-AE285-AE290</f>
    </oc>
    <nc r="AE296"/>
  </rcc>
  <rcc rId="15093" sId="8">
    <oc r="AG296">
      <f>B296-H296-J296-L296-N296-P296-R296-T296-V296-X296-Z296-AB296-AD296</f>
    </oc>
    <nc r="AG296"/>
  </rcc>
  <rcc rId="15094" sId="8">
    <oc r="B299">
      <f>B275-'N:\УЭ\ОТДЕЛ АНАЛИТИКИ\МУНИЦИПАЛЬНЫЕ и ГОС. ПРОГРАММЫ\[ИЗМЕНЕНИЯ по программам (№362-ГД) 17.01.2024.xlsx]04 "Культурное простр."'!$C$8</f>
    </oc>
    <nc r="B299"/>
  </rcc>
  <rcc rId="15095" sId="8">
    <oc r="B301">
      <f>B13+B19+B32+B39+B45+B51+B58+B71+B77+B83+B89+B95+B107+B113+B119+B131+B139+B152+B177+B189+B195+B201+B207+B213+B227+B233+B245+B251+B265+B271-B276</f>
    </oc>
    <nc r="B301"/>
  </rcc>
  <rcc rId="15096" sId="8">
    <oc r="C301">
      <f>C13+C19+C32+C39+C45+C51+C58+C71+C77+C83+C89+C95+C107+C113+C119+C131+C139+C152+C177+C189+C195+C201+C207+C213+C227+C233+C245+C251+C265+C271-C276</f>
    </oc>
    <nc r="C301"/>
  </rcc>
  <rcc rId="15097" sId="8">
    <oc r="D301">
      <f>D13+D19+D32+D39+D45+D51+D58+D71+D77+D83+D89+D95+D107+D113+D119+D131+D139+D152+D177+D189+D195+D201+D207+D213+D227+D233+D245+D251+D265+D271-D276</f>
    </oc>
    <nc r="D301"/>
  </rcc>
  <rcc rId="15098" sId="8">
    <oc r="E301">
      <f>E13+E19+E32+E39+E45+E51+E58+E71+E77+E83+E89+E95+E107+E113+E119+E131+E139+E152+E177+E189+E195+E201+E207+E213+E227+E233+E245+E251+E265+E271-E276</f>
    </oc>
    <nc r="E301"/>
  </rcc>
  <rcc rId="15099" sId="8">
    <oc r="F301">
      <f>F13+F19+F32+F39+F45+F51+F58+F71+F77+F83+F89+F95+F107+F113+F119+F131+F139+F152+F177+F189+F195+F201+F207+F213+F227+F233+F245+F251+F265+F271-F276</f>
    </oc>
    <nc r="F301"/>
  </rcc>
  <rcc rId="15100" sId="8">
    <oc r="G301">
      <f>G13+G19+G32+G39+G45+G51+G58+G71+G77+G83+G89+G95+G107+G113+G119+G131+G139+G152+G177+G189+G195+G201+G207+G213+G227+G233+G245+G251+G265+G271-G276</f>
    </oc>
    <nc r="G301"/>
  </rcc>
  <rcc rId="15101" sId="8">
    <oc r="H301">
      <f>H13+H19+H32+H39+H45+H51+H58+H71+H77+H83+H89+H95+H107+H113+H119+H131+H139+H152+H177+H189+H195+H201+H207+H213+H227+H233+H245+H251+H265+H271-H276</f>
    </oc>
    <nc r="H301"/>
  </rcc>
  <rcc rId="15102" sId="8">
    <oc r="I301">
      <f>I13+I19+I32+I39+I45+I51+I58+I71+I77+I83+I89+I95+I107+I113+I119+I131+I139+I152+I177+I189+I195+I201+I207+I213+I227+I233+I245+I251+I265+I271-I276</f>
    </oc>
    <nc r="I301"/>
  </rcc>
  <rcc rId="15103" sId="8">
    <oc r="J301">
      <f>J13+J19+J32+J39+J45+J51+J58+J71+J77+J83+J89+J95+J107+J113+J119+J131+J139+J152+J177+J189+J195+J201+J207+J213+J227+J233+J245+J251+J265+J271-J276</f>
    </oc>
    <nc r="J301"/>
  </rcc>
  <rcc rId="15104" sId="8">
    <oc r="K301">
      <f>K13+K19+K32+K39+K45+K51+K58+K71+K77+K83+K89+K95+K107+K113+K119+K131+K139+K152+K177+K189+K195+K201+K207+K213+K227+K233+K245+K251+K265+K271-K276</f>
    </oc>
    <nc r="K301"/>
  </rcc>
  <rcc rId="15105" sId="8">
    <oc r="L301">
      <f>L13+L19+L32+L39+L45+L51+L58+L71+L77+L83+L89+L95+L107+L113+L119+L131+L139+L152+L177+L189+L195+L201+L207+L213+L227+L233+L245+L251+L265+L271-L276</f>
    </oc>
    <nc r="L301"/>
  </rcc>
  <rcc rId="15106" sId="8">
    <oc r="M301">
      <f>M13+M19+M32+M39+M45+M51+M58+M71+M77+M83+M89+M95+M107+M113+M119+M131+M139+M152+M177+M189+M195+M201+M207+M213+M227+M233+M245+M251+M265+M271-M276</f>
    </oc>
    <nc r="M301"/>
  </rcc>
  <rcc rId="15107" sId="8">
    <oc r="N301">
      <f>N13+N19+N32+N39+N45+N51+N58+N71+N77+N83+N89+N95+N107+N113+N119+N131+N139+N152+N177+N189+N195+N201+N207+N213+N227+N233+N245+N251+N265+N271-N276</f>
    </oc>
    <nc r="N301"/>
  </rcc>
  <rcc rId="15108" sId="8">
    <oc r="O301">
      <f>O13+O19+O32+O39+O45+O51+O58+O71+O77+O83+O89+O95+O107+O113+O119+O131+O139+O152+O177+O189+O195+O201+O207+O213+O227+O233+O245+O251+O265+O271-O276</f>
    </oc>
    <nc r="O301"/>
  </rcc>
  <rcc rId="15109" sId="8">
    <oc r="P301">
      <f>P13+P19+P32+P39+P45+P51+P58+P71+P77+P83+P89+P95+P107+P113+P119+P131+P139+P152+P177+P189+P195+P201+P207+P213+P227+P233+P245+P251+P265+P271-P276</f>
    </oc>
    <nc r="P301"/>
  </rcc>
  <rcc rId="15110" sId="8">
    <oc r="Q301">
      <f>Q13+Q19+Q32+Q39+Q45+Q51+Q58+Q71+Q77+Q83+Q89+Q95+Q107+Q113+Q119+Q131+Q139+Q152+Q177+Q189+Q195+Q201+Q207+Q213+Q227+Q233+Q245+Q251+Q265+Q271-Q276</f>
    </oc>
    <nc r="Q301"/>
  </rcc>
  <rcc rId="15111" sId="8">
    <oc r="R301">
      <f>R13+R19+R32+R39+R45+R51+R58+R71+R77+R83+R89+R95+R107+R113+R119+R131+R139+R152+R177+R189+R195+R201+R207+R213+R227+R233+R245+R251+R265+R271-R276</f>
    </oc>
    <nc r="R301"/>
  </rcc>
  <rcc rId="15112" sId="8">
    <oc r="S301">
      <f>S13+S19+S32+S39+S45+S51+S58+S71+S77+S83+S89+S95+S107+S113+S119+S131+S139+S152+S177+S189+S195+S201+S207+S213+S227+S233+S245+S251+S265+S271-S276</f>
    </oc>
    <nc r="S301"/>
  </rcc>
  <rcc rId="15113" sId="8">
    <oc r="T301">
      <f>T13+T19+T32+T39+T45+T51+T58+T71+T77+T83+T89+T95+T107+T113+T119+T131+T139+T152+T177+T189+T195+T201+T207+T213+T227+T233+T245+T251+T265+T271-T276</f>
    </oc>
    <nc r="T301"/>
  </rcc>
  <rcc rId="15114" sId="8">
    <oc r="U301">
      <f>U13+U19+U32+U39+U45+U51+U58+U71+U77+U83+U89+U95+U107+U113+U119+U131+U139+U152+U177+U189+U195+U201+U207+U213+U227+U233+U245+U251+U265+U271-U276</f>
    </oc>
    <nc r="U301"/>
  </rcc>
  <rcc rId="15115" sId="8">
    <oc r="V301">
      <f>V13+V19+V32+V39+V45+V51+V58+V71+V77+V83+V89+V95+V107+V113+V119+V131+V139+V152+V177+V189+V195+V201+V207+V213+V227+V233+V245+V251+V265+V271-V276</f>
    </oc>
    <nc r="V301"/>
  </rcc>
  <rcc rId="15116" sId="8">
    <oc r="W301">
      <f>W13+W19+W32+W39+W45+W51+W58+W71+W77+W83+W89+W95+W107+W113+W119+W131+W139+W152+W177+W189+W195+W201+W207+W213+W227+W233+W245+W251+W265+W271-W276</f>
    </oc>
    <nc r="W301"/>
  </rcc>
  <rcc rId="15117" sId="8">
    <oc r="X301">
      <f>X13+X19+X32+X39+X45+X51+X58+X71+X77+X83+X89+X95+X107+X113+X119+X131+X139+X152+X177+X189+X195+X201+X207+X213+X227+X233+X245+X251+X265+X271-X276</f>
    </oc>
    <nc r="X301"/>
  </rcc>
  <rcc rId="15118" sId="8">
    <oc r="Y301">
      <f>Y13+Y19+Y32+Y39+Y45+Y51+Y58+Y71+Y77+Y83+Y89+Y95+Y107+Y113+Y119+Y131+Y139+Y152+Y177+Y189+Y195+Y201+Y207+Y213+Y227+Y233+Y245+Y251+Y265+Y271-Y276</f>
    </oc>
    <nc r="Y301"/>
  </rcc>
  <rcc rId="15119" sId="8">
    <oc r="Z301">
      <f>Z13+Z19+Z32+Z39+Z45+Z51+Z58+Z71+Z77+Z83+Z89+Z95+Z107+Z113+Z119+Z131+Z139+Z152+Z177+Z189+Z195+Z201+Z207+Z213+Z227+Z233+Z245+Z251+Z265+Z271-Z276</f>
    </oc>
    <nc r="Z301"/>
  </rcc>
  <rcc rId="15120" sId="8">
    <oc r="AA301">
      <f>AA13+AA19+AA32+AA39+AA45+AA51+AA58+AA71+AA77+AA83+AA89+AA95+AA107+AA113+AA119+AA131+AA139+AA152+AA177+AA189+AA195+AA201+AA207+AA213+AA227+AA233+AA245+AA251+AA265+AA271-AA276</f>
    </oc>
    <nc r="AA301"/>
  </rcc>
  <rcc rId="15121" sId="8">
    <oc r="AB301">
      <f>AB13+AB19+AB32+AB39+AB45+AB51+AB58+AB71+AB77+AB83+AB89+AB95+AB107+AB113+AB119+AB131+AB139+AB152+AB177+AB189+AB195+AB201+AB207+AB213+AB227+AB233+AB245+AB251+AB265+AB271-AB276</f>
    </oc>
    <nc r="AB301"/>
  </rcc>
  <rcc rId="15122" sId="8">
    <oc r="AC301">
      <f>AC13+AC19+AC32+AC39+AC45+AC51+AC58+AC71+AC77+AC83+AC89+AC95+AC107+AC113+AC119+AC131+AC139+AC152+AC177+AC189+AC195+AC201+AC207+AC213+AC227+AC233+AC245+AC251+AC265+AC271-AC276</f>
    </oc>
    <nc r="AC301"/>
  </rcc>
  <rcc rId="15123" sId="8">
    <oc r="AD301">
      <f>AD13+AD19+AD32+AD39+AD45+AD51+AD58+AD71+AD77+AD83+AD89+AD95+AD107+AD113+AD119+AD131+AD139+AD152+AD177+AD189+AD195+AD201+AD207+AD213+AD227+AD233+AD245+AD251+AD265+AD271-AD276</f>
    </oc>
    <nc r="AD301"/>
  </rcc>
  <rcc rId="15124" sId="8">
    <oc r="AE301">
      <f>AE13+AE19+AE32+AE39+AE45+AE51+AE58+AE71+AE77+AE83+AE89+AE95+AE107+AE113+AE119+AE131+AE139+AE152+AE177+AE189+AE195+AE201+AE207+AE213+AE227+AE233+AE245+AE251+AE265+AE271-AE276</f>
    </oc>
    <nc r="AE301"/>
  </rcc>
  <rcc rId="15125" sId="8">
    <oc r="B302">
      <f>B14+B20+B33+B40+B46+B52+B59+B72+B78+B84+B90+B96+B108+B114+B120+B132+B140+B153+B178+B190+B196+B202+B208+B214+B228+B234+B246+B252+B266+B272-B277</f>
    </oc>
    <nc r="B302"/>
  </rcc>
  <rcc rId="15126" sId="8">
    <oc r="C302">
      <f>C14+C20+C33+C40+C46+C52+C59+C72+C78+C84+C90+C96+C108+C114+C120+C132+C140+C153+C178+C190+C196+C202+C208+C214+C228+C234+C246+C252+C266+C272-C277</f>
    </oc>
    <nc r="C302"/>
  </rcc>
  <rcc rId="15127" sId="8">
    <oc r="D302">
      <f>D14+D20+D33+D40+D46+D52+D59+D72+D78+D84+D90+D96+D108+D114+D120+D132+D140+D153+D178+D190+D196+D202+D208+D214+D228+D234+D246+D252+D266+D272-D277</f>
    </oc>
    <nc r="D302"/>
  </rcc>
  <rcc rId="15128" sId="8">
    <oc r="E302">
      <f>E14+E20+E33+E40+E46+E52+E59+E72+E78+E84+E90+E96+E108+E114+E120+E132+E140+E153+E178+E190+E196+E202+E208+E214+E228+E234+E246+E252+E266+E272-E277</f>
    </oc>
    <nc r="E302"/>
  </rcc>
  <rcc rId="15129" sId="8">
    <oc r="F302">
      <f>F14+F20+F33+F40+F46+F52+F59+F72+F78+F84+F90+F96+F108+F114+F120+F132+F140+F153+F178+F190+F196+F202+F208+F214+F228+F234+F246+F252+F266+F272-F277</f>
    </oc>
    <nc r="F302"/>
  </rcc>
  <rcc rId="15130" sId="8">
    <oc r="G302">
      <f>G14+G20+G33+G40+G46+G52+G59+G72+G78+G84+G90+G96+G108+G114+G120+G132+G140+G153+G178+G190+G196+G202+G208+G214+G228+G234+G246+G252+G266+G272-G277</f>
    </oc>
    <nc r="G302"/>
  </rcc>
  <rcc rId="15131" sId="8">
    <oc r="H302">
      <f>H14+H20+H33+H40+H46+H52+H59+H72+H78+H84+H90+H96+H108+H114+H120+H132+H140+H153+H178+H190+H196+H202+H208+H214+H228+H234+H246+H252+H266+H272-H277</f>
    </oc>
    <nc r="H302"/>
  </rcc>
  <rcc rId="15132" sId="8">
    <oc r="I302">
      <f>I14+I20+I33+I40+I46+I52+I59+I72+I78+I84+I90+I96+I108+I114+I120+I132+I140+I153+I178+I190+I196+I202+I208+I214+I228+I234+I246+I252+I266+I272-I277</f>
    </oc>
    <nc r="I302"/>
  </rcc>
  <rcc rId="15133" sId="8">
    <oc r="J302">
      <f>J14+J20+J33+J40+J46+J52+J59+J72+J78+J84+J90+J96+J108+J114+J120+J132+J140+J153+J178+J190+J196+J202+J208+J214+J228+J234+J246+J252+J266+J272-J277</f>
    </oc>
    <nc r="J302"/>
  </rcc>
  <rcc rId="15134" sId="8">
    <oc r="K302">
      <f>K14+K20+K33+K40+K46+K52+K59+K72+K78+K84+K90+K96+K108+K114+K120+K132+K140+K153+K178+K190+K196+K202+K208+K214+K228+K234+K246+K252+K266+K272-K277</f>
    </oc>
    <nc r="K302"/>
  </rcc>
  <rcc rId="15135" sId="8">
    <oc r="L302">
      <f>L14+L20+L33+L40+L46+L52+L59+L72+L78+L84+L90+L96+L108+L114+L120+L132+L140+L153+L178+L190+L196+L202+L208+L214+L228+L234+L246+L252+L266+L272-L277</f>
    </oc>
    <nc r="L302"/>
  </rcc>
  <rcc rId="15136" sId="8">
    <oc r="M302">
      <f>M14+M20+M33+M40+M46+M52+M59+M72+M78+M84+M90+M96+M108+M114+M120+M132+M140+M153+M178+M190+M196+M202+M208+M214+M228+M234+M246+M252+M266+M272-M277</f>
    </oc>
    <nc r="M302"/>
  </rcc>
  <rcc rId="15137" sId="8">
    <oc r="N302">
      <f>N14+N20+N33+N40+N46+N52+N59+N72+N78+N84+N90+N96+N108+N114+N120+N132+N140+N153+N178+N190+N196+N202+N208+N214+N228+N234+N246+N252+N266+N272-N277</f>
    </oc>
    <nc r="N302"/>
  </rcc>
  <rcc rId="15138" sId="8">
    <oc r="O302">
      <f>O14+O20+O33+O40+O46+O52+O59+O72+O78+O84+O90+O96+O108+O114+O120+O132+O140+O153+O178+O190+O196+O202+O208+O214+O228+O234+O246+O252+O266+O272-O277</f>
    </oc>
    <nc r="O302"/>
  </rcc>
  <rcc rId="15139" sId="8">
    <oc r="P302">
      <f>P14+P20+P33+P40+P46+P52+P59+P72+P78+P84+P90+P96+P108+P114+P120+P132+P140+P153+P178+P190+P196+P202+P208+P214+P228+P234+P246+P252+P266+P272-P277</f>
    </oc>
    <nc r="P302"/>
  </rcc>
  <rcc rId="15140" sId="8">
    <oc r="Q302">
      <f>Q14+Q20+Q33+Q40+Q46+Q52+Q59+Q72+Q78+Q84+Q90+Q96+Q108+Q114+Q120+Q132+Q140+Q153+Q178+Q190+Q196+Q202+Q208+Q214+Q228+Q234+Q246+Q252+Q266+Q272-Q277</f>
    </oc>
    <nc r="Q302"/>
  </rcc>
  <rcc rId="15141" sId="8">
    <oc r="R302">
      <f>R14+R20+R33+R40+R46+R52+R59+R72+R78+R84+R90+R96+R108+R114+R120+R132+R140+R153+R178+R190+R196+R202+R208+R214+R228+R234+R246+R252+R266+R272-R277</f>
    </oc>
    <nc r="R302"/>
  </rcc>
  <rcc rId="15142" sId="8">
    <oc r="S302">
      <f>S14+S20+S33+S40+S46+S52+S59+S72+S78+S84+S90+S96+S108+S114+S120+S132+S140+S153+S178+S190+S196+S202+S208+S214+S228+S234+S246+S252+S266+S272-S277</f>
    </oc>
    <nc r="S302"/>
  </rcc>
  <rcc rId="15143" sId="8">
    <oc r="T302">
      <f>T14+T20+T33+T40+T46+T52+T59+T72+T78+T84+T90+T96+T108+T114+T120+T132+T140+T153+T178+T190+T196+T202+T208+T214+T228+T234+T246+T252+T266+T272-T277</f>
    </oc>
    <nc r="T302"/>
  </rcc>
  <rcc rId="15144" sId="8">
    <oc r="U302">
      <f>U14+U20+U33+U40+U46+U52+U59+U72+U78+U84+U90+U96+U108+U114+U120+U132+U140+U153+U178+U190+U196+U202+U208+U214+U228+U234+U246+U252+U266+U272-U277</f>
    </oc>
    <nc r="U302"/>
  </rcc>
  <rcc rId="15145" sId="8">
    <oc r="V302">
      <f>V14+V20+V33+V40+V46+V52+V59+V72+V78+V84+V90+V96+V108+V114+V120+V132+V140+V153+V178+V190+V196+V202+V208+V214+V228+V234+V246+V252+V266+V272-V277</f>
    </oc>
    <nc r="V302"/>
  </rcc>
  <rcc rId="15146" sId="8">
    <oc r="W302">
      <f>W14+W20+W33+W40+W46+W52+W59+W72+W78+W84+W90+W96+W108+W114+W120+W132+W140+W153+W178+W190+W196+W202+W208+W214+W228+W234+W246+W252+W266+W272-W277</f>
    </oc>
    <nc r="W302"/>
  </rcc>
  <rcc rId="15147" sId="8">
    <oc r="X302">
      <f>X14+X20+X33+X40+X46+X52+X59+X72+X78+X84+X90+X96+X108+X114+X120+X132+X140+X153+X178+X190+X196+X202+X208+X214+X228+X234+X246+X252+X266+X272-X277</f>
    </oc>
    <nc r="X302"/>
  </rcc>
  <rcc rId="15148" sId="8">
    <oc r="Y302">
      <f>Y14+Y20+Y33+Y40+Y46+Y52+Y59+Y72+Y78+Y84+Y90+Y96+Y108+Y114+Y120+Y132+Y140+Y153+Y178+Y190+Y196+Y202+Y208+Y214+Y228+Y234+Y246+Y252+Y266+Y272-Y277</f>
    </oc>
    <nc r="Y302"/>
  </rcc>
  <rcc rId="15149" sId="8">
    <oc r="Z302">
      <f>Z14+Z20+Z33+Z40+Z46+Z52+Z59+Z72+Z78+Z84+Z90+Z96+Z108+Z114+Z120+Z132+Z140+Z153+Z178+Z190+Z196+Z202+Z208+Z214+Z228+Z234+Z246+Z252+Z266+Z272-Z277</f>
    </oc>
    <nc r="Z302"/>
  </rcc>
  <rcc rId="15150" sId="8">
    <oc r="AA302">
      <f>AA14+AA20+AA33+AA40+AA46+AA52+AA59+AA72+AA78+AA84+AA90+AA96+AA108+AA114+AA120+AA132+AA140+AA153+AA178+AA190+AA196+AA202+AA208+AA214+AA228+AA234+AA246+AA252+AA266+AA272-AA277</f>
    </oc>
    <nc r="AA302"/>
  </rcc>
  <rcc rId="15151" sId="8">
    <oc r="AB302">
      <f>AB14+AB20+AB33+AB40+AB46+AB52+AB59+AB72+AB78+AB84+AB90+AB96+AB108+AB114+AB120+AB132+AB140+AB153+AB178+AB190+AB196+AB202+AB208+AB214+AB228+AB234+AB246+AB252+AB266+AB272-AB277</f>
    </oc>
    <nc r="AB302"/>
  </rcc>
  <rcc rId="15152" sId="8">
    <oc r="AC302">
      <f>AC14+AC20+AC33+AC40+AC46+AC52+AC59+AC72+AC78+AC84+AC90+AC96+AC108+AC114+AC120+AC132+AC140+AC153+AC178+AC190+AC196+AC202+AC208+AC214+AC228+AC234+AC246+AC252+AC266+AC272-AC277</f>
    </oc>
    <nc r="AC302"/>
  </rcc>
  <rcc rId="15153" sId="8">
    <oc r="AD302">
      <f>AD14+AD20+AD33+AD40+AD46+AD52+AD59+AD72+AD78+AD84+AD90+AD96+AD108+AD114+AD120+AD132+AD140+AD153+AD178+AD190+AD196+AD202+AD208+AD214+AD228+AD234+AD246+AD252+AD266+AD272-AD277</f>
    </oc>
    <nc r="AD302"/>
  </rcc>
  <rcc rId="15154" sId="8">
    <oc r="AE302">
      <f>AE14+AE20+AE33+AE40+AE46+AE52+AE59+AE72+AE78+AE84+AE90+AE96+AE108+AE114+AE120+AE132+AE140+AE153+AE178+AE190+AE196+AE202+AE208+AE214+AE228+AE234+AE246+AE252+AE266+AE272-AE277</f>
    </oc>
    <nc r="AE302"/>
  </rcc>
  <rcc rId="15155" sId="8">
    <oc r="B303">
      <f>B15+B21+B34+B41+B47+B53+B60+B73+B79+B85+B91+B97+B109+B115+B121+B133+B141+B154+B179+B191+B197+B203+B209+B215+B229+B235+B247+B253+B267+B273-B278</f>
    </oc>
    <nc r="B303"/>
  </rcc>
  <rcc rId="15156" sId="8">
    <oc r="C303">
      <f>C15+C21+C34+C41+C47+C53+C60+C73+C79+C85+C91+C97+C109+C115+C121+C133+C141+C154+C179+C191+C197+C203+C209+C215+C229+C235+C247+C253+C267+C273-C278</f>
    </oc>
    <nc r="C303"/>
  </rcc>
  <rcc rId="15157" sId="8">
    <oc r="D303">
      <f>D15+D21+D34+D41+D47+D53+D60+D73+D79+D85+D91+D97+D109+D115+D121+D133+D141+D154+D179+D191+D197+D203+D209+D215+D229+D235+D247+D253+D267+D273-D278</f>
    </oc>
    <nc r="D303"/>
  </rcc>
  <rcc rId="15158" sId="8">
    <oc r="E303">
      <f>E15+E21+E34+E41+E47+E53+E60+E73+E79+E85+E91+E97+E109+E115+E121+E133+E141+E154+E179+E191+E197+E203+E209+E215+E229+E235+E247+E253+E267+E273-E278</f>
    </oc>
    <nc r="E303"/>
  </rcc>
  <rcc rId="15159" sId="8">
    <oc r="F303">
      <f>F15+F21+F34+F41+F47+F53+F60+F73+F79+F85+F91+F97+F109+F115+F121+F133+F141+F154+F179+F191+F197+F203+F209+F215+F229+F235+F247+F253+F267+F273-F278</f>
    </oc>
    <nc r="F303"/>
  </rcc>
  <rcc rId="15160" sId="8">
    <oc r="G303">
      <f>G15+G21+G34+G41+G47+G53+G60+G73+G79+G85+G91+G97+G109+G115+G121+G133+G141+G154+G179+G191+G197+G203+G209+G215+G229+G235+G247+G253+G267+G273-G278</f>
    </oc>
    <nc r="G303"/>
  </rcc>
  <rcc rId="15161" sId="8">
    <oc r="H303">
      <f>H15+H21+H34+H41+H47+H53+H60+H73+H79+H85+H91+H97+H109+H115+H121+H133+H141+H154+H179+H191+H197+H203+H209+H215+H229+H235+H247+H253+H267+H273-H278</f>
    </oc>
    <nc r="H303"/>
  </rcc>
  <rcc rId="15162" sId="8">
    <oc r="I303">
      <f>I15+I21+I34+I41+I47+I53+I60+I73+I79+I85+I91+I97+I109+I115+I121+I133+I141+I154+I179+I191+I197+I203+I209+I215+I229+I235+I247+I253+I267+I273-I278</f>
    </oc>
    <nc r="I303"/>
  </rcc>
  <rcc rId="15163" sId="8">
    <oc r="J303">
      <f>J15+J21+J34+J41+J47+J53+J60+J73+J79+J85+J91+J97+J109+J115+J121+J133+J141+J154+J179+J191+J197+J203+J209+J215+J229+J235+J247+J253+J267+J273-J278</f>
    </oc>
    <nc r="J303"/>
  </rcc>
  <rcc rId="15164" sId="8">
    <oc r="K303">
      <f>K15+K21+K34+K41+K47+K53+K60+K73+K79+K85+K91+K97+K109+K115+K121+K133+K141+K154+K179+K191+K197+K203+K209+K215+K229+K235+K247+K253+K267+K273-K278</f>
    </oc>
    <nc r="K303"/>
  </rcc>
  <rcc rId="15165" sId="8">
    <oc r="L303">
      <f>L15+L21+L34+L41+L47+L53+L60+L73+L79+L85+L91+L97+L109+L115+L121+L133+L141+L154+L179+L191+L197+L203+L209+L215+L229+L235+L247+L253+L267+L273-L278</f>
    </oc>
    <nc r="L303"/>
  </rcc>
  <rcc rId="15166" sId="8">
    <oc r="M303">
      <f>M15+M21+M34+M41+M47+M53+M60+M73+M79+M85+M91+M97+M109+M115+M121+M133+M141+M154+M179+M191+M197+M203+M209+M215+M229+M235+M247+M253+M267+M273-M278</f>
    </oc>
    <nc r="M303"/>
  </rcc>
  <rcc rId="15167" sId="8">
    <oc r="N303">
      <f>N15+N21+N34+N41+N47+N53+N60+N73+N79+N85+N91+N97+N109+N115+N121+N133+N141+N154+N179+N191+N197+N203+N209+N215+N229+N235+N247+N253+N267+N273-N278</f>
    </oc>
    <nc r="N303"/>
  </rcc>
  <rcc rId="15168" sId="8">
    <oc r="O303">
      <f>O15+O21+O34+O41+O47+O53+O60+O73+O79+O85+O91+O97+O109+O115+O121+O133+O141+O154+O179+O191+O197+O203+O209+O215+O229+O235+O247+O253+O267+O273-O278</f>
    </oc>
    <nc r="O303"/>
  </rcc>
  <rcc rId="15169" sId="8">
    <oc r="P303">
      <f>P15+P21+P34+P41+P47+P53+P60+P73+P79+P85+P91+P97+P109+P115+P121+P133+P141+P154+P179+P191+P197+P203+P209+P215+P229+P235+P247+P253+P267+P273-P278</f>
    </oc>
    <nc r="P303"/>
  </rcc>
  <rcc rId="15170" sId="8">
    <oc r="Q303">
      <f>Q15+Q21+Q34+Q41+Q47+Q53+Q60+Q73+Q79+Q85+Q91+Q97+Q109+Q115+Q121+Q133+Q141+Q154+Q179+Q191+Q197+Q203+Q209+Q215+Q229+Q235+Q247+Q253+Q267+Q273-Q278</f>
    </oc>
    <nc r="Q303"/>
  </rcc>
  <rcc rId="15171" sId="8">
    <oc r="R303">
      <f>R15+R21+R34+R41+R47+R53+R60+R73+R79+R85+R91+R97+R109+R115+R121+R133+R141+R154+R179+R191+R197+R203+R209+R215+R229+R235+R247+R253+R267+R273-R278</f>
    </oc>
    <nc r="R303"/>
  </rcc>
  <rcc rId="15172" sId="8">
    <oc r="S303">
      <f>S15+S21+S34+S41+S47+S53+S60+S73+S79+S85+S91+S97+S109+S115+S121+S133+S141+S154+S179+S191+S197+S203+S209+S215+S229+S235+S247+S253+S267+S273-S278</f>
    </oc>
    <nc r="S303"/>
  </rcc>
  <rcc rId="15173" sId="8">
    <oc r="T303">
      <f>T15+T21+T34+T41+T47+T53+T60+T73+T79+T85+T91+T97+T109+T115+T121+T133+T141+T154+T179+T191+T197+T203+T209+T215+T229+T235+T247+T253+T267+T273-T278</f>
    </oc>
    <nc r="T303"/>
  </rcc>
  <rcc rId="15174" sId="8">
    <oc r="U303">
      <f>U15+U21+U34+U41+U47+U53+U60+U73+U79+U85+U91+U97+U109+U115+U121+U133+U141+U154+U179+U191+U197+U203+U209+U215+U229+U235+U247+U253+U267+U273-U278</f>
    </oc>
    <nc r="U303"/>
  </rcc>
  <rcc rId="15175" sId="8">
    <oc r="V303">
      <f>V15+V21+V34+V41+V47+V53+V60+V73+V79+V85+V91+V97+V109+V115+V121+V133+V141+V154+V179+V191+V197+V203+V209+V215+V229+V235+V247+V253+V267+V273-V278</f>
    </oc>
    <nc r="V303"/>
  </rcc>
  <rcc rId="15176" sId="8">
    <oc r="W303">
      <f>W15+W21+W34+W41+W47+W53+W60+W73+W79+W85+W91+W97+W109+W115+W121+W133+W141+W154+W179+W191+W197+W203+W209+W215+W229+W235+W247+W253+W267+W273-W278</f>
    </oc>
    <nc r="W303"/>
  </rcc>
  <rcc rId="15177" sId="8">
    <oc r="X303">
      <f>X15+X21+X34+X41+X47+X53+X60+X73+X79+X85+X91+X97+X109+X115+X121+X133+X141+X154+X179+X191+X197+X203+X209+X215+X229+X235+X247+X253+X267+X273-X278</f>
    </oc>
    <nc r="X303"/>
  </rcc>
  <rcc rId="15178" sId="8">
    <oc r="Y303">
      <f>Y15+Y21+Y34+Y41+Y47+Y53+Y60+Y73+Y79+Y85+Y91+Y97+Y109+Y115+Y121+Y133+Y141+Y154+Y179+Y191+Y197+Y203+Y209+Y215+Y229+Y235+Y247+Y253+Y267+Y273-Y278</f>
    </oc>
    <nc r="Y303"/>
  </rcc>
  <rcc rId="15179" sId="8">
    <oc r="Z303">
      <f>Z15+Z21+Z34+Z41+Z47+Z53+Z60+Z73+Z79+Z85+Z91+Z97+Z109+Z115+Z121+Z133+Z141+Z154+Z179+Z191+Z197+Z203+Z209+Z215+Z229+Z235+Z247+Z253+Z267+Z273-Z278</f>
    </oc>
    <nc r="Z303"/>
  </rcc>
  <rcc rId="15180" sId="8">
    <oc r="AA303">
      <f>AA15+AA21+AA34+AA41+AA47+AA53+AA60+AA73+AA79+AA85+AA91+AA97+AA109+AA115+AA121+AA133+AA141+AA154+AA179+AA191+AA197+AA203+AA209+AA215+AA229+AA235+AA247+AA253+AA267+AA273-AA278</f>
    </oc>
    <nc r="AA303"/>
  </rcc>
  <rcc rId="15181" sId="8">
    <oc r="AB303">
      <f>AB15+AB21+AB34+AB41+AB47+AB53+AB60+AB73+AB79+AB85+AB91+AB97+AB109+AB115+AB121+AB133+AB141+AB154+AB179+AB191+AB197+AB203+AB209+AB215+AB229+AB235+AB247+AB253+AB267+AB273-AB278</f>
    </oc>
    <nc r="AB303"/>
  </rcc>
  <rcc rId="15182" sId="8">
    <oc r="AC303">
      <f>AC15+AC21+AC34+AC41+AC47+AC53+AC60+AC73+AC79+AC85+AC91+AC97+AC109+AC115+AC121+AC133+AC141+AC154+AC179+AC191+AC197+AC203+AC209+AC215+AC229+AC235+AC247+AC253+AC267+AC273-AC278</f>
    </oc>
    <nc r="AC303"/>
  </rcc>
  <rcc rId="15183" sId="8">
    <oc r="AD303">
      <f>AD15+AD21+AD34+AD41+AD47+AD53+AD60+AD73+AD79+AD85+AD91+AD97+AD109+AD115+AD121+AD133+AD141+AD154+AD179+AD191+AD197+AD203+AD209+AD215+AD229+AD235+AD247+AD253+AD267+AD273-AD278</f>
    </oc>
    <nc r="AD303"/>
  </rcc>
  <rcc rId="15184" sId="8">
    <oc r="AE303">
      <f>AE15+AE21+AE34+AE41+AE47+AE53+AE60+AE73+AE79+AE85+AE91+AE97+AE109+AE115+AE121+AE133+AE141+AE154+AE179+AE191+AE197+AE203+AE209+AE215+AE229+AE235+AE247+AE253+AE267+AE273-AE278</f>
    </oc>
    <nc r="AE303"/>
  </rcc>
  <rcc rId="15185" sId="8">
    <oc r="B304">
      <f>B16+B22+B35+B42+B48+B54+B61+B74+B80+B86+B92+B98+B110+B116+B122+B134+B142+B155+B180+B192+B198+B204+B210+B216+B230+B236+B248+B254+B268+B274-B279</f>
    </oc>
    <nc r="B304"/>
  </rcc>
  <rcc rId="15186" sId="8">
    <oc r="C304">
      <f>C16+C22+C35+C42+C48+C54+C61+C74+C80+C86+C92+C98+C110+C116+C122+C134+C142+C155+C180+C192+C198+C204+C210+C216+C230+C236+C248+C254+C268+C274-C279</f>
    </oc>
    <nc r="C304"/>
  </rcc>
  <rcc rId="15187" sId="8">
    <oc r="D304">
      <f>D16+D22+D35+D42+D48+D54+D61+D74+D80+D86+D92+D98+D110+D116+D122+D134+D142+D155+D180+D192+D198+D204+D210+D216+D230+D236+D248+D254+D268+D274-D279</f>
    </oc>
    <nc r="D304"/>
  </rcc>
  <rcc rId="15188" sId="8">
    <oc r="E304">
      <f>E16+E22+E35+E42+E48+E54+E61+E74+E80+E86+E92+E98+E110+E116+E122+E134+E142+E155+E180+E192+E198+E204+E210+E216+E230+E236+E248+E254+E268+E274-E279</f>
    </oc>
    <nc r="E304"/>
  </rcc>
  <rcc rId="15189" sId="8">
    <oc r="F304">
      <f>F16+F22+F35+F42+F48+F54+F61+F74+F80+F86+F92+F98+F110+F116+F122+F134+F142+F155+F180+F192+F198+F204+F210+F216+F230+F236+F248+F254+F268+F274-F279</f>
    </oc>
    <nc r="F304"/>
  </rcc>
  <rcc rId="15190" sId="8">
    <oc r="G304">
      <f>G16+G22+G35+G42+G48+G54+G61+G74+G80+G86+G92+G98+G110+G116+G122+G134+G142+G155+G180+G192+G198+G204+G210+G216+G230+G236+G248+G254+G268+G274-G279</f>
    </oc>
    <nc r="G304"/>
  </rcc>
  <rcc rId="15191" sId="8">
    <oc r="H304">
      <f>H16+H22+H35+H42+H48+H54+H61+H74+H80+H86+H92+H98+H110+H116+H122+H134+H142+H155+H180+H192+H198+H204+H210+H216+H230+H236+H248+H254+H268+H274-H279</f>
    </oc>
    <nc r="H304"/>
  </rcc>
  <rcc rId="15192" sId="8">
    <oc r="I304">
      <f>I16+I22+I35+I42+I48+I54+I61+I74+I80+I86+I92+I98+I110+I116+I122+I134+I142+I155+I180+I192+I198+I204+I210+I216+I230+I236+I248+I254+I268+I274-I279</f>
    </oc>
    <nc r="I304"/>
  </rcc>
  <rcc rId="15193" sId="8">
    <oc r="J304">
      <f>J16+J22+J35+J42+J48+J54+J61+J74+J80+J86+J92+J98+J110+J116+J122+J134+J142+J155+J180+J192+J198+J204+J210+J216+J230+J236+J248+J254+J268+J274-J279</f>
    </oc>
    <nc r="J304"/>
  </rcc>
  <rcc rId="15194" sId="8">
    <oc r="K304">
      <f>K16+K22+K35+K42+K48+K54+K61+K74+K80+K86+K92+K98+K110+K116+K122+K134+K142+K155+K180+K192+K198+K204+K210+K216+K230+K236+K248+K254+K268+K274-K279</f>
    </oc>
    <nc r="K304"/>
  </rcc>
  <rcc rId="15195" sId="8">
    <oc r="L304">
      <f>L16+L22+L35+L42+L48+L54+L61+L74+L80+L86+L92+L98+L110+L116+L122+L134+L142+L155+L180+L192+L198+L204+L210+L216+L230+L236+L248+L254+L268+L274-L279</f>
    </oc>
    <nc r="L304"/>
  </rcc>
  <rcc rId="15196" sId="8">
    <oc r="M304">
      <f>M16+M22+M35+M42+M48+M54+M61+M74+M80+M86+M92+M98+M110+M116+M122+M134+M142+M155+M180+M192+M198+M204+M210+M216+M230+M236+M248+M254+M268+M274-M279</f>
    </oc>
    <nc r="M304"/>
  </rcc>
  <rcc rId="15197" sId="8">
    <oc r="N304">
      <f>N16+N22+N35+N42+N48+N54+N61+N74+N80+N86+N92+N98+N110+N116+N122+N134+N142+N155+N180+N192+N198+N204+N210+N216+N230+N236+N248+N254+N268+N274-N279</f>
    </oc>
    <nc r="N304"/>
  </rcc>
  <rcc rId="15198" sId="8">
    <oc r="O304">
      <f>O16+O22+O35+O42+O48+O54+O61+O74+O80+O86+O92+O98+O110+O116+O122+O134+O142+O155+O180+O192+O198+O204+O210+O216+O230+O236+O248+O254+O268+O274-O279</f>
    </oc>
    <nc r="O304"/>
  </rcc>
  <rcc rId="15199" sId="8">
    <oc r="P304">
      <f>P16+P22+P35+P42+P48+P54+P61+P74+P80+P86+P92+P98+P110+P116+P122+P134+P142+P155+P180+P192+P198+P204+P210+P216+P230+P236+P248+P254+P268+P274-P279</f>
    </oc>
    <nc r="P304"/>
  </rcc>
  <rcc rId="15200" sId="8">
    <oc r="Q304">
      <f>Q16+Q22+Q35+Q42+Q48+Q54+Q61+Q74+Q80+Q86+Q92+Q98+Q110+Q116+Q122+Q134+Q142+Q155+Q180+Q192+Q198+Q204+Q210+Q216+Q230+Q236+Q248+Q254+Q268+Q274-Q279</f>
    </oc>
    <nc r="Q304"/>
  </rcc>
  <rcc rId="15201" sId="8">
    <oc r="R304">
      <f>R16+R22+R35+R42+R48+R54+R61+R74+R80+R86+R92+R98+R110+R116+R122+R134+R142+R155+R180+R192+R198+R204+R210+R216+R230+R236+R248+R254+R268+R274-R279</f>
    </oc>
    <nc r="R304"/>
  </rcc>
  <rcc rId="15202" sId="8">
    <oc r="S304">
      <f>S16+S22+S35+S42+S48+S54+S61+S74+S80+S86+S92+S98+S110+S116+S122+S134+S142+S155+S180+S192+S198+S204+S210+S216+S230+S236+S248+S254+S268+S274-S279</f>
    </oc>
    <nc r="S304"/>
  </rcc>
  <rcc rId="15203" sId="8">
    <oc r="T304">
      <f>T16+T22+T35+T42+T48+T54+T61+T74+T80+T86+T92+T98+T110+T116+T122+T134+T142+T155+T180+T192+T198+T204+T210+T216+T230+T236+T248+T254+T268+T274-T279</f>
    </oc>
    <nc r="T304"/>
  </rcc>
  <rcc rId="15204" sId="8">
    <oc r="U304">
      <f>U16+U22+U35+U42+U48+U54+U61+U74+U80+U86+U92+U98+U110+U116+U122+U134+U142+U155+U180+U192+U198+U204+U210+U216+U230+U236+U248+U254+U268+U274-U279</f>
    </oc>
    <nc r="U304"/>
  </rcc>
  <rcc rId="15205" sId="8">
    <oc r="V304">
      <f>V16+V22+V35+V42+V48+V54+V61+V74+V80+V86+V92+V98+V110+V116+V122+V134+V142+V155+V180+V192+V198+V204+V210+V216+V230+V236+V248+V254+V268+V274-V279</f>
    </oc>
    <nc r="V304"/>
  </rcc>
  <rcc rId="15206" sId="8">
    <oc r="W304">
      <f>W16+W22+W35+W42+W48+W54+W61+W74+W80+W86+W92+W98+W110+W116+W122+W134+W142+W155+W180+W192+W198+W204+W210+W216+W230+W236+W248+W254+W268+W274-W279</f>
    </oc>
    <nc r="W304"/>
  </rcc>
  <rcc rId="15207" sId="8">
    <oc r="X304">
      <f>X16+X22+X35+X42+X48+X54+X61+X74+X80+X86+X92+X98+X110+X116+X122+X134+X142+X155+X180+X192+X198+X204+X210+X216+X230+X236+X248+X254+X268+X274-X279</f>
    </oc>
    <nc r="X304"/>
  </rcc>
  <rcc rId="15208" sId="8">
    <oc r="Y304">
      <f>Y16+Y22+Y35+Y42+Y48+Y54+Y61+Y74+Y80+Y86+Y92+Y98+Y110+Y116+Y122+Y134+Y142+Y155+Y180+Y192+Y198+Y204+Y210+Y216+Y230+Y236+Y248+Y254+Y268+Y274-Y279</f>
    </oc>
    <nc r="Y304"/>
  </rcc>
  <rcc rId="15209" sId="8">
    <oc r="Z304">
      <f>Z16+Z22+Z35+Z42+Z48+Z54+Z61+Z74+Z80+Z86+Z92+Z98+Z110+Z116+Z122+Z134+Z142+Z155+Z180+Z192+Z198+Z204+Z210+Z216+Z230+Z236+Z248+Z254+Z268+Z274-Z279</f>
    </oc>
    <nc r="Z304"/>
  </rcc>
  <rcc rId="15210" sId="8">
    <oc r="AA304">
      <f>AA16+AA22+AA35+AA42+AA48+AA54+AA61+AA74+AA80+AA86+AA92+AA98+AA110+AA116+AA122+AA134+AA142+AA155+AA180+AA192+AA198+AA204+AA210+AA216+AA230+AA236+AA248+AA254+AA268+AA274-AA279</f>
    </oc>
    <nc r="AA304"/>
  </rcc>
  <rcc rId="15211" sId="8">
    <oc r="AB304">
      <f>AB16+AB22+AB35+AB42+AB48+AB54+AB61+AB74+AB80+AB86+AB92+AB98+AB110+AB116+AB122+AB134+AB142+AB155+AB180+AB192+AB198+AB204+AB210+AB216+AB230+AB236+AB248+AB254+AB268+AB274-AB279</f>
    </oc>
    <nc r="AB304"/>
  </rcc>
  <rcc rId="15212" sId="8">
    <oc r="AC304">
      <f>AC16+AC22+AC35+AC42+AC48+AC54+AC61+AC74+AC80+AC86+AC92+AC98+AC110+AC116+AC122+AC134+AC142+AC155+AC180+AC192+AC198+AC204+AC210+AC216+AC230+AC236+AC248+AC254+AC268+AC274-AC279</f>
    </oc>
    <nc r="AC304"/>
  </rcc>
  <rcc rId="15213" sId="8">
    <oc r="AD304">
      <f>AD16+AD22+AD35+AD42+AD48+AD54+AD61+AD74+AD80+AD86+AD92+AD98+AD110+AD116+AD122+AD134+AD142+AD155+AD180+AD192+AD198+AD204+AD210+AD216+AD230+AD236+AD248+AD254+AD268+AD274-AD279</f>
    </oc>
    <nc r="AD304"/>
  </rcc>
  <rcc rId="15214" sId="8">
    <oc r="AE304">
      <f>AE16+AE22+AE35+AE42+AE48+AE54+AE61+AE74+AE80+AE86+AE92+AE98+AE110+AE116+AE122+AE134+AE142+AE155+AE180+AE192+AE198+AE204+AE210+AE216+AE230+AE236+AE248+AE254+AE268+AE274-AE279</f>
    </oc>
    <nc r="AE304"/>
  </rcc>
  <rcc rId="15215" sId="8">
    <oc r="AG11">
      <f>B11-H11-J11-L11-N11-P11-R11-T11-V11-X11-Z11-AB11-AD11</f>
    </oc>
    <nc r="AG11"/>
  </rcc>
  <rcc rId="15216" sId="8">
    <oc r="AG12">
      <f>B12-H12-J12-L12-N12-P12-R12-T12-V12-X12-Z12-AB12-AD12</f>
    </oc>
    <nc r="AG12"/>
  </rcc>
  <rcc rId="15217" sId="8">
    <oc r="AG13">
      <f>B13-H13-J13-L13-N13-P13-R13-T13-V13-X13-Z13-AB13-AD13</f>
    </oc>
    <nc r="AG13"/>
  </rcc>
  <rcc rId="15218" sId="8">
    <oc r="AG14">
      <f>B14-H14-J14-L14-N14-P14-R14-T14-V14-X14-Z14-AB14-AD14</f>
    </oc>
    <nc r="AG14"/>
  </rcc>
  <rcc rId="15219" sId="8">
    <oc r="AG15">
      <f>B15-H15-J15-L15-N15-P15-R15-T15-V15-X15-Z15-AB15-AD15</f>
    </oc>
    <nc r="AG15"/>
  </rcc>
  <rcc rId="15220" sId="8">
    <oc r="AG16">
      <f>B16-H16-J16-L16-N16-P16-R16-T16-V16-X16-Z16-AB16-AD16</f>
    </oc>
    <nc r="AG16"/>
  </rcc>
  <rcc rId="15221" sId="8">
    <oc r="AG17">
      <f>B17-H17-J17-L17-N17-P17-R17-T17-V17-X17-Z17-AB17-AD17</f>
    </oc>
    <nc r="AG17"/>
  </rcc>
  <rcc rId="15222" sId="8">
    <oc r="AG18">
      <f>B18-H18-J18-L18-N18-P18-R18-T18-V18-X18-Z18-AB18-AD18</f>
    </oc>
    <nc r="AG18"/>
  </rcc>
  <rcc rId="15223" sId="8">
    <oc r="AG19">
      <f>B19-H19-J19-L19-N19-P19-R19-T19-V19-X19-Z19-AB19-AD19</f>
    </oc>
    <nc r="AG19"/>
  </rcc>
  <rcc rId="15224" sId="8">
    <oc r="AG20">
      <f>B20-H20-J20-L20-N20-P20-R20-T20-V20-X20-Z20-AB20-AD20</f>
    </oc>
    <nc r="AG20"/>
  </rcc>
  <rcc rId="15225" sId="8">
    <oc r="AG21">
      <f>B21-H21-J21-L21-N21-P21-R21-T21-V21-X21-Z21-AB21-AD21</f>
    </oc>
    <nc r="AG21"/>
  </rcc>
  <rcc rId="15226" sId="8">
    <oc r="AG22">
      <f>B22-H22-J22-L22-N22-P22-R22-T22-V22-X22-Z22-AB22-AD22</f>
    </oc>
    <nc r="AG22"/>
  </rcc>
  <rcc rId="15227" sId="8">
    <oc r="AG23">
      <f>B23-H23-J23-L23-N23-P23-R23-T23-V23-X23-Z23-AB23-AD23</f>
    </oc>
    <nc r="AG23"/>
  </rcc>
  <rcc rId="15228" sId="8">
    <oc r="AG24">
      <f>B24-H24-J24-L24-N24-P24-R24-T24-V24-X24-Z24-AB24-AD24</f>
    </oc>
    <nc r="AG24"/>
  </rcc>
  <rcc rId="15229" sId="8">
    <oc r="AG25">
      <f>B25-H25-J25-L25-N25-P25-R25-T25-V25-X25-Z25-AB25-AD25</f>
    </oc>
    <nc r="AG25"/>
  </rcc>
  <rcc rId="15230" sId="8">
    <oc r="AG26">
      <f>B26-H26-J26-L26-N26-P26-R26-T26-V26-X26-Z26-AB26-AD26</f>
    </oc>
    <nc r="AG26"/>
  </rcc>
  <rcc rId="15231" sId="8">
    <oc r="AG27">
      <f>B27-H27-J27-L27-N27-P27-R27-T27-V27-X27-Z27-AB27-AD27</f>
    </oc>
    <nc r="AG27"/>
  </rcc>
  <rcc rId="15232" sId="8">
    <oc r="AG28">
      <f>B28-H28-J28-L28-N28-P28-R28-T28-V28-X28-Z28-AB28-AD28</f>
    </oc>
    <nc r="AG28"/>
  </rcc>
  <rcc rId="15233" sId="8">
    <oc r="AG29">
      <f>B29-H29-J29-L29-N29-P29-R29-T29-V29-X29-Z29-AB29-AD29</f>
    </oc>
    <nc r="AG29"/>
  </rcc>
  <rcc rId="15234" sId="8">
    <oc r="AG30">
      <f>B30-H30-J30-L30-N30-P30-R30-T30-V30-X30-Z30-AB30-AD30</f>
    </oc>
    <nc r="AG30"/>
  </rcc>
  <rcc rId="15235" sId="8">
    <oc r="AG31">
      <f>B31-H31-J31-L31-N31-P31-R31-T31-V31-X31-Z31-AB31-AD31</f>
    </oc>
    <nc r="AG31"/>
  </rcc>
  <rcc rId="15236" sId="8">
    <oc r="AG32">
      <f>B32-H32-J32-L32-N32-P32-R32-T32-V32-X32-Z32-AB32-AD32</f>
    </oc>
    <nc r="AG32"/>
  </rcc>
  <rcc rId="15237" sId="8">
    <oc r="AG33">
      <f>B33-H33-J33-L33-N33-P33-R33-T33-V33-X33-Z33-AB33-AD33</f>
    </oc>
    <nc r="AG33"/>
  </rcc>
  <rcc rId="15238" sId="8">
    <oc r="AG34">
      <f>B34-H34-J34-L34-N34-P34-R34-T34-V34-X34-Z34-AB34-AD34</f>
    </oc>
    <nc r="AG34"/>
  </rcc>
  <rcc rId="15239" sId="8">
    <oc r="AG35">
      <f>B35-H35-J35-L35-N35-P35-R35-T35-V35-X35-Z35-AB35-AD35</f>
    </oc>
    <nc r="AG35"/>
  </rcc>
  <rcc rId="15240" sId="8">
    <oc r="AG36">
      <f>B36-H36-J36-L36-N36-P36-R36-T36-V36-X36-Z36-AB36-AD36</f>
    </oc>
    <nc r="AG36"/>
  </rcc>
  <rcc rId="15241" sId="8">
    <oc r="AG37">
      <f>B37-H37-J37-L37-N37-P37-R37-T37-V37-X37-Z37-AB37-AD37</f>
    </oc>
    <nc r="AG37"/>
  </rcc>
  <rcc rId="15242" sId="8">
    <oc r="AG38">
      <f>B38-H38-J38-L38-N38-P38-R38-T38-V38-X38-Z38-AB38-AD38</f>
    </oc>
    <nc r="AG38"/>
  </rcc>
  <rcc rId="15243" sId="8">
    <oc r="AG39">
      <f>B39-H39-J39-L39-N39-P39-R39-T39-V39-X39-Z39-AB39-AD39</f>
    </oc>
    <nc r="AG39"/>
  </rcc>
  <rcc rId="15244" sId="8">
    <oc r="AG40">
      <f>B40-H40-J40-L40-N40-P40-R40-T40-V40-X40-Z40-AB40-AD40</f>
    </oc>
    <nc r="AG40"/>
  </rcc>
  <rcc rId="15245" sId="8">
    <oc r="AG41">
      <f>B41-H41-J41-L41-N41-P41-R41-T41-V41-X41-Z41-AB41-AD41</f>
    </oc>
    <nc r="AG41"/>
  </rcc>
  <rcc rId="15246" sId="8">
    <oc r="AG42">
      <f>B42-H42-J42-L42-N42-P42-R42-T42-V42-X42-Z42-AB42-AD42</f>
    </oc>
    <nc r="AG42"/>
  </rcc>
  <rcc rId="15247" sId="8">
    <oc r="AG43">
      <f>B43-H43-J43-L43-N43-P43-R43-T43-V43-X43-Z43-AB43-AD43</f>
    </oc>
    <nc r="AG43"/>
  </rcc>
  <rcc rId="15248" sId="8">
    <oc r="AG44">
      <f>B44-H44-J44-L44-N44-P44-R44-T44-V44-X44-Z44-AB44-AD44</f>
    </oc>
    <nc r="AG44"/>
  </rcc>
  <rcc rId="15249" sId="8">
    <oc r="AG45">
      <f>B45-H45-J45-L45-N45-P45-R45-T45-V45-X45-Z45-AB45-AD45</f>
    </oc>
    <nc r="AG45"/>
  </rcc>
  <rcc rId="15250" sId="8">
    <oc r="AG46">
      <f>B46-H46-J46-L46-N46-P46-R46-T46-V46-X46-Z46-AB46-AD46</f>
    </oc>
    <nc r="AG46"/>
  </rcc>
  <rcc rId="15251" sId="8">
    <oc r="AG47">
      <f>B47-H47-J47-L47-N47-P47-R47-T47-V47-X47-Z47-AB47-AD47</f>
    </oc>
    <nc r="AG47"/>
  </rcc>
  <rcc rId="15252" sId="8">
    <oc r="AG48">
      <f>B48-H48-J48-L48-N48-P48-R48-T48-V48-X48-Z48-AB48-AD48</f>
    </oc>
    <nc r="AG48"/>
  </rcc>
  <rcc rId="15253" sId="8">
    <oc r="AG49">
      <f>B49-H49-J49-L49-N49-P49-R49-T49-V49-X49-Z49-AB49-AD49</f>
    </oc>
    <nc r="AG49"/>
  </rcc>
  <rcc rId="15254" sId="8">
    <oc r="AG50">
      <f>B50-H50-J50-L50-N50-P50-R50-T50-V50-X50-Z50-AB50-AD50</f>
    </oc>
    <nc r="AG50"/>
  </rcc>
  <rcc rId="15255" sId="8">
    <oc r="AG51">
      <f>B51-H51-J51-L51-N51-P51-R51-T51-V51-X51-Z51-AB51-AD51</f>
    </oc>
    <nc r="AG51"/>
  </rcc>
  <rcc rId="15256" sId="8">
    <oc r="AG52">
      <f>B52-H52-J52-L52-N52-P52-R52-T52-V52-X52-Z52-AB52-AD52</f>
    </oc>
    <nc r="AG52"/>
  </rcc>
  <rcc rId="15257" sId="8">
    <oc r="AG53">
      <f>B53-H53-J53-L53-N53-P53-R53-T53-V53-X53-Z53-AB53-AD53</f>
    </oc>
    <nc r="AG53"/>
  </rcc>
  <rcc rId="15258" sId="8">
    <oc r="AG54">
      <f>B54-H54-J54-L54-N54-P54-R54-T54-V54-X54-Z54-AB54-AD54</f>
    </oc>
    <nc r="AG54"/>
  </rcc>
  <rcc rId="15259" sId="8">
    <oc r="AG55">
      <f>B55-H55-J55-L55-N55-P55-R55-T55-V55-X55-Z55-AB55-AD55</f>
    </oc>
    <nc r="AG55"/>
  </rcc>
  <rcc rId="15260" sId="8">
    <oc r="AG56">
      <f>B56-H56-J56-L56-N56-P56-R56-T56-V56-X56-Z56-AB56-AD56</f>
    </oc>
    <nc r="AG56"/>
  </rcc>
  <rcc rId="15261" sId="8">
    <oc r="AG57">
      <f>B57-H57-J57-L57-N57-P57-R57-T57-V57-X57-Z57-AB57-AD57</f>
    </oc>
    <nc r="AG57"/>
  </rcc>
  <rcc rId="15262" sId="8">
    <oc r="AG58">
      <f>B58-H58-J58-L58-N58-P58-R58-T58-V58-X58-Z58-AB58-AD58</f>
    </oc>
    <nc r="AG58"/>
  </rcc>
  <rcc rId="15263" sId="8">
    <oc r="AG59">
      <f>B59-H59-J59-L59-N59-P59-R59-T59-V59-X59-Z59-AB59-AD59</f>
    </oc>
    <nc r="AG59"/>
  </rcc>
  <rcc rId="15264" sId="8">
    <oc r="AG60">
      <f>B60-H60-J60-L60-N60-P60-R60-T60-V60-X60-Z60-AB60-AD60</f>
    </oc>
    <nc r="AG60"/>
  </rcc>
  <rcc rId="15265" sId="8">
    <oc r="AG61">
      <f>B61-H61-J61-L61-N61-P61-R61-T61-V61-X61-Z61-AB61-AD61</f>
    </oc>
    <nc r="AG61"/>
  </rcc>
  <rcc rId="15266" sId="8">
    <oc r="AG63">
      <f>B63-H63-J63-L63-N63-P63-R63-T63-V63-X63-Z63-AB63-AD63</f>
    </oc>
    <nc r="AG63"/>
  </rcc>
  <rcc rId="15267" sId="8">
    <oc r="AG64">
      <f>B64-H64-J64-L64-N64-P64-R64-T64-V64-X64-Z64-AB64-AD64</f>
    </oc>
    <nc r="AG64"/>
  </rcc>
  <rcc rId="15268" sId="8">
    <oc r="AG65">
      <f>B65-H65-J65-L65-N65-P65-R65-T65-V65-X65-Z65-AB65-AD65</f>
    </oc>
    <nc r="AG65"/>
  </rcc>
  <rcc rId="15269" sId="8">
    <oc r="AG66">
      <f>B66-H66-J66-L66-N66-P66-R66-T66-V66-X66-Z66-AB66-AD66</f>
    </oc>
    <nc r="AG66"/>
  </rcc>
  <rcc rId="15270" sId="8">
    <oc r="AG67">
      <f>B67-H67-J67-L67-N67-P67-R67-T67-V67-X67-Z67-AB67-AD67</f>
    </oc>
    <nc r="AG67"/>
  </rcc>
  <rcc rId="15271" sId="8">
    <oc r="AG68">
      <f>B68-H68-J68-L68-N68-P68-R68-T68-V68-X68-Z68-AB68-AD68</f>
    </oc>
    <nc r="AG68"/>
  </rcc>
  <rcc rId="15272" sId="8">
    <oc r="AG69">
      <f>B69-H69-J69-L69-N69-P69-R69-T69-V69-X69-Z69-AB69-AD69</f>
    </oc>
    <nc r="AG69"/>
  </rcc>
  <rcc rId="15273" sId="8">
    <oc r="AG70">
      <f>B70-H70-J70-L70-N70-P70-R70-T70-V70-X70-Z70-AB70-AD70</f>
    </oc>
    <nc r="AG70"/>
  </rcc>
  <rcc rId="15274" sId="8">
    <oc r="AG71">
      <f>B71-H71-J71-L71-N71-P71-R71-T71-V71-X71-Z71-AB71-AD71</f>
    </oc>
    <nc r="AG71"/>
  </rcc>
  <rcc rId="15275" sId="8">
    <oc r="AG72">
      <f>B72-H72-J72-L72-N72-P72-R72-T72-V72-X72-Z72-AB72-AD72</f>
    </oc>
    <nc r="AG72"/>
  </rcc>
  <rcc rId="15276" sId="8">
    <oc r="AG73">
      <f>B73-H73-J73-L73-N73-P73-R73-T73-V73-X73-Z73-AB73-AD73</f>
    </oc>
    <nc r="AG73"/>
  </rcc>
  <rcc rId="15277" sId="8">
    <oc r="AG74">
      <f>B74-H74-J74-L74-N74-P74-R74-T74-V74-X74-Z74-AB74-AD74</f>
    </oc>
    <nc r="AG74"/>
  </rcc>
  <rcc rId="15278" sId="8">
    <oc r="AG75">
      <f>B75-H75-J75-L75-N75-P75-R75-T75-V75-X75-Z75-AB75-AD75</f>
    </oc>
    <nc r="AG75"/>
  </rcc>
  <rcc rId="15279" sId="8">
    <oc r="AG76">
      <f>B76-H76-J76-L76-N76-P76-R76-T76-V76-X76-Z76-AB76-AD76</f>
    </oc>
    <nc r="AG76"/>
  </rcc>
  <rcc rId="15280" sId="8">
    <oc r="AG77">
      <f>B77-H77-J77-L77-N77-P77-R77-T77-V77-X77-Z77-AB77-AD77</f>
    </oc>
    <nc r="AG77"/>
  </rcc>
  <rcc rId="15281" sId="8">
    <oc r="AG78">
      <f>B78-H78-J78-L78-N78-P78-R78-T78-V78-X78-Z78-AB78-AD78</f>
    </oc>
    <nc r="AG78"/>
  </rcc>
  <rcc rId="15282" sId="8">
    <oc r="AG79">
      <f>B79-H79-J79-L79-N79-P79-R79-T79-V79-X79-Z79-AB79-AD79</f>
    </oc>
    <nc r="AG79"/>
  </rcc>
  <rcc rId="15283" sId="8">
    <oc r="AG80">
      <f>B80-H80-J80-L80-N80-P80-R80-T80-V80-X80-Z80-AB80-AD80</f>
    </oc>
    <nc r="AG80"/>
  </rcc>
  <rcc rId="15284" sId="8">
    <oc r="AG81">
      <f>B81-H81-J81-L81-N81-P81-R81-T81-V81-X81-Z81-AB81-AD81</f>
    </oc>
    <nc r="AG81"/>
  </rcc>
  <rcc rId="15285" sId="8">
    <oc r="AG82">
      <f>B82-H82-J82-L82-N82-P82-R82-T82-V82-X82-Z82-AB82-AD82</f>
    </oc>
    <nc r="AG82"/>
  </rcc>
  <rcc rId="15286" sId="8">
    <oc r="AG83">
      <f>B83-H83-J83-L83-N83-P83-R83-T83-V83-X83-Z83-AB83-AD83</f>
    </oc>
    <nc r="AG83"/>
  </rcc>
  <rcc rId="15287" sId="8">
    <oc r="AG84">
      <f>B84-H84-J84-L84-N84-P84-R84-T84-V84-X84-Z84-AB84-AD84</f>
    </oc>
    <nc r="AG84"/>
  </rcc>
  <rcc rId="15288" sId="8">
    <oc r="AG85">
      <f>B85-H85-J85-L85-N85-P85-R85-T85-V85-X85-Z85-AB85-AD85</f>
    </oc>
    <nc r="AG85"/>
  </rcc>
  <rcc rId="15289" sId="8">
    <oc r="AG86">
      <f>B86-H86-J86-L86-N86-P86-R86-T86-V86-X86-Z86-AB86-AD86</f>
    </oc>
    <nc r="AG86"/>
  </rcc>
  <rcc rId="15290" sId="8">
    <oc r="AG87">
      <f>B87-H87-J87-L87-N87-P87-R87-T87-V87-X87-Z87-AB87-AD87</f>
    </oc>
    <nc r="AG87"/>
  </rcc>
  <rcc rId="15291" sId="8">
    <oc r="AG88">
      <f>B88-H88-J88-L88-N88-P88-R88-T88-V88-X88-Z88-AB88-AD88</f>
    </oc>
    <nc r="AG88"/>
  </rcc>
  <rcc rId="15292" sId="8">
    <oc r="AG89">
      <f>B89-H89-J89-L89-N89-P89-R89-T89-V89-X89-Z89-AB89-AD89</f>
    </oc>
    <nc r="AG89"/>
  </rcc>
  <rcc rId="15293" sId="8">
    <oc r="AG90">
      <f>B90-H90-J90-L90-N90-P90-R90-T90-V90-X90-Z90-AB90-AD90</f>
    </oc>
    <nc r="AG90"/>
  </rcc>
  <rcc rId="15294" sId="8">
    <oc r="AG91">
      <f>B91-H91-J91-L91-N91-P91-R91-T91-V91-X91-Z91-AB91-AD91</f>
    </oc>
    <nc r="AG91"/>
  </rcc>
  <rcc rId="15295" sId="8">
    <oc r="AG92">
      <f>B92-H92-J92-L92-N92-P92-R92-T92-V92-X92-Z92-AB92-AD92</f>
    </oc>
    <nc r="AG92"/>
  </rcc>
  <rcc rId="15296" sId="8">
    <oc r="AG93">
      <f>B93-H93-J93-L93-N93-P93-R93-T93-V93-X93-Z93-AB93-AD93</f>
    </oc>
    <nc r="AG93"/>
  </rcc>
  <rcc rId="15297" sId="8">
    <oc r="AG94">
      <f>B94-H94-J94-L94-N94-P94-R94-T94-V94-X94-Z94-AB94-AD94</f>
    </oc>
    <nc r="AG94"/>
  </rcc>
  <rcc rId="15298" sId="8">
    <oc r="AG95">
      <f>B95-H95-J95-L95-N95-P95-R95-T95-V95-X95-Z95-AB95-AD95</f>
    </oc>
    <nc r="AG95"/>
  </rcc>
  <rcc rId="15299" sId="8">
    <oc r="AG96">
      <f>B96-H96-J96-L96-N96-P96-R96-T96-V96-X96-Z96-AB96-AD96</f>
    </oc>
    <nc r="AG96"/>
  </rcc>
  <rcc rId="15300" sId="8">
    <oc r="AG97">
      <f>B97-H97-J97-L97-N97-P97-R97-T97-V97-X97-Z97-AB97-AD97</f>
    </oc>
    <nc r="AG97"/>
  </rcc>
  <rcc rId="15301" sId="8">
    <oc r="AG98">
      <f>B98-H98-J98-L98-N98-P98-R98-T98-V98-X98-Z98-AB98-AD98</f>
    </oc>
    <nc r="AG98"/>
  </rcc>
  <rcc rId="15302" sId="8">
    <oc r="AG99">
      <f>B99-H99-J99-L99-N99-P99-R99-T99-V99-X99-Z99-AB99-AD99</f>
    </oc>
    <nc r="AG99"/>
  </rcc>
  <rcc rId="15303" sId="8">
    <oc r="AG100">
      <f>B100-H100-J100-L100-N100-P100-R100-T100-V100-X100-Z100-AB100-AD100</f>
    </oc>
    <nc r="AG100"/>
  </rcc>
  <rcc rId="15304" sId="8">
    <oc r="AG101">
      <f>B101-H101-J101-L101-N101-P101-R101-T101-V101-X101-Z101-AB101-AD101</f>
    </oc>
    <nc r="AG101"/>
  </rcc>
  <rcc rId="15305" sId="8">
    <oc r="AG102">
      <f>B102-H102-J102-L102-N102-P102-R102-T102-V102-X102-Z102-AB102-AD102</f>
    </oc>
    <nc r="AG102"/>
  </rcc>
  <rcc rId="15306" sId="8">
    <oc r="AG103">
      <f>B103-H103-J103-L103-N103-P103-R103-T103-V103-X103-Z103-AB103-AD103</f>
    </oc>
    <nc r="AG103"/>
  </rcc>
  <rcc rId="15307" sId="8">
    <oc r="AG104">
      <f>B104-H104-J104-L104-N104-P104-R104-T104-V104-X104-Z104-AB104-AD104</f>
    </oc>
    <nc r="AG104"/>
  </rcc>
  <rcc rId="15308" sId="8">
    <oc r="AG105">
      <f>B105-H105-J105-L105-N105-P105-R105-T105-V105-X105-Z105-AB105-AD105</f>
    </oc>
    <nc r="AG105"/>
  </rcc>
  <rcc rId="15309" sId="8">
    <oc r="AG106">
      <f>B106-H106-J106-L106-N106-P106-R106-T106-V106-X106-Z106-AB106-AD106</f>
    </oc>
    <nc r="AG106"/>
  </rcc>
  <rcc rId="15310" sId="8">
    <oc r="AG107">
      <f>B107-H107-J107-L107-N107-P107-R107-T107-V107-X107-Z107-AB107-AD107</f>
    </oc>
    <nc r="AG107"/>
  </rcc>
  <rcc rId="15311" sId="8">
    <oc r="AG108">
      <f>B108-H108-J108-L108-N108-P108-R108-T108-V108-X108-Z108-AB108-AD108</f>
    </oc>
    <nc r="AG108"/>
  </rcc>
  <rcc rId="15312" sId="8">
    <oc r="AG109">
      <f>B109-H109-J109-L109-N109-P109-R109-T109-V109-X109-Z109-AB109-AD109</f>
    </oc>
    <nc r="AG109"/>
  </rcc>
  <rcc rId="15313" sId="8">
    <oc r="AG110">
      <f>B110-H110-J110-L110-N110-P110-R110-T110-V110-X110-Z110-AB110-AD110</f>
    </oc>
    <nc r="AG110"/>
  </rcc>
  <rcc rId="15314" sId="8">
    <oc r="AG111">
      <f>B111-H111-J111-L111-N111-P111-R111-T111-V111-X111-Z111-AB111-AD111</f>
    </oc>
    <nc r="AG111"/>
  </rcc>
  <rcc rId="15315" sId="8">
    <oc r="AG112">
      <f>B112-H112-J112-L112-N112-P112-R112-T112-V112-X112-Z112-AB112-AD112</f>
    </oc>
    <nc r="AG112"/>
  </rcc>
  <rcc rId="15316" sId="8">
    <oc r="AG113">
      <f>B113-H113-J113-L113-N113-P113-R113-T113-V113-X113-Z113-AB113-AD113</f>
    </oc>
    <nc r="AG113"/>
  </rcc>
  <rcc rId="15317" sId="8">
    <oc r="AG114">
      <f>B114-H114-J114-L114-N114-P114-R114-T114-V114-X114-Z114-AB114-AD114</f>
    </oc>
    <nc r="AG114"/>
  </rcc>
  <rcc rId="15318" sId="8">
    <oc r="AG115">
      <f>B115-H115-J115-L115-N115-P115-R115-T115-V115-X115-Z115-AB115-AD115</f>
    </oc>
    <nc r="AG115"/>
  </rcc>
  <rcc rId="15319" sId="8">
    <oc r="AG116">
      <f>B116-H116-J116-L116-N116-P116-R116-T116-V116-X116-Z116-AB116-AD116</f>
    </oc>
    <nc r="AG116"/>
  </rcc>
  <rcc rId="15320" sId="8">
    <oc r="AG117">
      <f>B117-H117-J117-L117-N117-P117-R117-T117-V117-X117-Z117-AB117-AD117</f>
    </oc>
    <nc r="AG117"/>
  </rcc>
  <rcc rId="15321" sId="8">
    <oc r="AG118">
      <f>B118-H118-J118-L118-N118-P118-R118-T118-V118-X118-Z118-AB118-AD118</f>
    </oc>
    <nc r="AG118"/>
  </rcc>
  <rcc rId="15322" sId="8">
    <oc r="AG119">
      <f>B119-H119-J119-L119-N119-P119-R119-T119-V119-X119-Z119-AB119-AD119</f>
    </oc>
    <nc r="AG119"/>
  </rcc>
  <rcc rId="15323" sId="8">
    <oc r="AG120">
      <f>B120-H120-J120-L120-N120-P120-R120-T120-V120-X120-Z120-AB120-AD120</f>
    </oc>
    <nc r="AG120"/>
  </rcc>
  <rcc rId="15324" sId="8">
    <oc r="AG121">
      <f>B121-H121-J121-L121-N121-P121-R121-T121-V121-X121-Z121-AB121-AD121</f>
    </oc>
    <nc r="AG121"/>
  </rcc>
  <rcc rId="15325" sId="8">
    <oc r="AG122">
      <f>B122-H122-J122-L122-N122-P122-R122-T122-V122-X122-Z122-AB122-AD122</f>
    </oc>
    <nc r="AG122"/>
  </rcc>
  <rcc rId="15326" sId="8">
    <oc r="AG123">
      <f>B123-H123-J123-L123-N123-P123-R123-T123-V123-X123-Z123-AB123-AD123</f>
    </oc>
    <nc r="AG123"/>
  </rcc>
  <rcc rId="15327" sId="8">
    <oc r="AG124">
      <f>B124-H124-J124-L124-N124-P124-R124-T124-V124-X124-Z124-AB124-AD124</f>
    </oc>
    <nc r="AG124"/>
  </rcc>
  <rcc rId="15328" sId="8">
    <oc r="AG125">
      <f>B125-H125-J125-L125-N125-P125-R125-T125-V125-X125-Z125-AB125-AD125</f>
    </oc>
    <nc r="AG125"/>
  </rcc>
  <rcc rId="15329" sId="8">
    <oc r="AG126">
      <f>B126-H126-J126-L126-N126-P126-R126-T126-V126-X126-Z126-AB126-AD126</f>
    </oc>
    <nc r="AG126"/>
  </rcc>
  <rcc rId="15330" sId="8">
    <oc r="AG127">
      <f>B127-H127-J127-L127-N127-P127-R127-T127-V127-X127-Z127-AB127-AD127</f>
    </oc>
    <nc r="AG127"/>
  </rcc>
  <rcc rId="15331" sId="8">
    <oc r="AG128">
      <f>B128-H128-J128-L128-N128-P128-R128-T128-V128-X128-Z128-AB128-AD128</f>
    </oc>
    <nc r="AG128"/>
  </rcc>
  <rcc rId="15332" sId="8">
    <oc r="AG129">
      <f>B129-H129-J129-L129-N129-P129-R129-T129-V129-X129-Z129-AB129-AD129</f>
    </oc>
    <nc r="AG129"/>
  </rcc>
  <rcc rId="15333" sId="8">
    <oc r="AG130">
      <f>B130-H130-J130-L130-N130-P130-R130-T130-V130-X130-Z130-AB130-AD130</f>
    </oc>
    <nc r="AG130"/>
  </rcc>
  <rcc rId="15334" sId="8">
    <oc r="AG131">
      <f>B131-H131-J131-L131-N131-P131-R131-T131-V131-X131-Z131-AB131-AD131</f>
    </oc>
    <nc r="AG131"/>
  </rcc>
  <rcc rId="15335" sId="8">
    <oc r="AG132">
      <f>B132-H132-J132-L132-N132-P132-R132-T132-V132-X132-Z132-AB132-AD132</f>
    </oc>
    <nc r="AG132"/>
  </rcc>
  <rcc rId="15336" sId="8">
    <oc r="AG133">
      <f>B133-H133-J133-L133-N133-P133-R133-T133-V133-X133-Z133-AB133-AD133</f>
    </oc>
    <nc r="AG133"/>
  </rcc>
  <rcc rId="15337" sId="8">
    <oc r="AG134">
      <f>B134-H134-J134-L134-N134-P134-R134-T134-V134-X134-Z134-AB134-AD134</f>
    </oc>
    <nc r="AG134"/>
  </rcc>
  <rcc rId="15338" sId="8">
    <oc r="AG135">
      <f>B135-H135-J135-L135-N135-P135-R135-T135-V135-X135-Z135-AB135-AD135</f>
    </oc>
    <nc r="AG135"/>
  </rcc>
  <rcc rId="15339" sId="8">
    <oc r="AG136">
      <f>B136-H136-J136-L136-N136-P136-R136-T136-V136-X136-Z136-AB136-AD136</f>
    </oc>
    <nc r="AG136"/>
  </rcc>
  <rcc rId="15340" sId="8">
    <oc r="AG137">
      <f>B137-H137-J137-L137-N137-P137-R137-T137-V137-X137-Z137-AB137-AD137</f>
    </oc>
    <nc r="AG137"/>
  </rcc>
  <rcc rId="15341" sId="8">
    <oc r="AG138">
      <f>B138-H138-J138-L138-N138-P138-R138-T138-V138-X138-Z138-AB138-AD138</f>
    </oc>
    <nc r="AG138"/>
  </rcc>
  <rcc rId="15342" sId="8">
    <oc r="AG139">
      <f>B139-H139-J139-L139-N139-P139-R139-T139-V139-X139-Z139-AB139-AD139</f>
    </oc>
    <nc r="AG139"/>
  </rcc>
  <rcc rId="15343" sId="8">
    <oc r="AG140">
      <f>B140-H140-J140-L140-N140-P140-R140-T140-V140-X140-Z140-AB140-AD140</f>
    </oc>
    <nc r="AG140"/>
  </rcc>
  <rcc rId="15344" sId="8">
    <oc r="AG141">
      <f>B141-H141-J141-L141-N141-P141-R141-T141-V141-X141-Z141-AB141-AD141</f>
    </oc>
    <nc r="AG141"/>
  </rcc>
  <rcc rId="15345" sId="8">
    <oc r="AG142">
      <f>B142-H142-J142-L142-N142-P142-R142-T142-V142-X142-Z142-AB142-AD142</f>
    </oc>
    <nc r="AG142"/>
  </rcc>
  <rcc rId="15346" sId="8">
    <oc r="AG143">
      <f>B143-H143-J143-L143-N143-P143-R143-T143-V143-X143-Z143-AB143-AD143</f>
    </oc>
    <nc r="AG143"/>
  </rcc>
  <rcc rId="15347" sId="8">
    <oc r="AG144">
      <f>B144-H144-J144-L144-N144-P144-R144-T144-V144-X144-Z144-AB144-AD144</f>
    </oc>
    <nc r="AG144"/>
  </rcc>
  <rcc rId="15348" sId="8">
    <oc r="AG145">
      <f>B145-H145-J145-L145-N145-P145-R145-T145-V145-X145-Z145-AB145-AD145</f>
    </oc>
    <nc r="AG145"/>
  </rcc>
  <rcc rId="15349" sId="8">
    <oc r="AG146">
      <f>B146-H146-J146-L146-N146-P146-R146-T146-V146-X146-Z146-AB146-AD146</f>
    </oc>
    <nc r="AG146"/>
  </rcc>
  <rcc rId="15350" sId="8">
    <oc r="AG147">
      <f>B147-H147-J147-L147-N147-P147-R147-T147-V147-X147-Z147-AB147-AD147</f>
    </oc>
    <nc r="AG147"/>
  </rcc>
  <rcc rId="15351" sId="8">
    <oc r="AG148">
      <f>B148-H148-J148-L148-N148-P148-R148-T148-V148-X148-Z148-AB148-AD148</f>
    </oc>
    <nc r="AG148"/>
  </rcc>
  <rcc rId="15352" sId="8">
    <oc r="AG149">
      <f>B149-H149-J149-L149-N149-P149-R149-T149-V149-X149-Z149-AB149-AD149</f>
    </oc>
    <nc r="AG149"/>
  </rcc>
  <rcc rId="15353" sId="8">
    <oc r="AG150">
      <f>B150-H150-J150-L150-N150-P150-R150-T150-V150-X150-Z150-AB150-AD150</f>
    </oc>
    <nc r="AG150"/>
  </rcc>
  <rcc rId="15354" sId="8">
    <oc r="AG151">
      <f>B151-H151-J151-L151-N151-P151-R151-T151-V151-X151-Z151-AB151-AD151</f>
    </oc>
    <nc r="AG151"/>
  </rcc>
  <rcc rId="15355" sId="8">
    <oc r="AG152">
      <f>B152-H152-J152-L152-N152-P152-R152-T152-V152-X152-Z152-AB152-AD152</f>
    </oc>
    <nc r="AG152"/>
  </rcc>
  <rcc rId="15356" sId="8">
    <oc r="AG153">
      <f>B153-H153-J153-L153-N153-P153-R153-T153-V153-X153-Z153-AB153-AD153</f>
    </oc>
    <nc r="AG153"/>
  </rcc>
  <rcc rId="15357" sId="8">
    <oc r="AG154">
      <f>B154-H154-J154-L154-N154-P154-R154-T154-V154-X154-Z154-AB154-AD154</f>
    </oc>
    <nc r="AG154"/>
  </rcc>
  <rcc rId="15358" sId="8">
    <oc r="AG155">
      <f>B155-H155-J155-L155-N155-P155-R155-T155-V155-X155-Z155-AB155-AD155</f>
    </oc>
    <nc r="AG155"/>
  </rcc>
  <rcc rId="15359" sId="8">
    <oc r="AG156">
      <f>B156-H156-J156-L156-N156-P156-R156-T156-V156-X156-Z156-AB156-AD156</f>
    </oc>
    <nc r="AG156"/>
  </rcc>
  <rcc rId="15360" sId="8">
    <oc r="AG157">
      <f>B157-H157-J157-L157-N157-P157-R157-T157-V157-X157-Z157-AB157-AD157</f>
    </oc>
    <nc r="AG157"/>
  </rcc>
  <rcc rId="15361" sId="8">
    <oc r="AG158">
      <f>B158-H158-J158-L158-N158-P158-R158-T158-V158-X158-Z158-AB158-AD158</f>
    </oc>
    <nc r="AG158"/>
  </rcc>
  <rcc rId="15362" sId="8">
    <oc r="AG159">
      <f>B159-H159-J159-L159-N159-P159-R159-T159-V159-X159-Z159-AB159-AD159</f>
    </oc>
    <nc r="AG159"/>
  </rcc>
  <rcc rId="15363" sId="8">
    <oc r="AG160">
      <f>B160-H160-J160-L160-N160-P160-R160-T160-V160-X160-Z160-AB160-AD160</f>
    </oc>
    <nc r="AG160"/>
  </rcc>
  <rcc rId="15364" sId="8">
    <oc r="AG161">
      <f>B161-H161-J161-L161-N161-P161-R161-T161-V161-X161-Z161-AB161-AD161</f>
    </oc>
    <nc r="AG161"/>
  </rcc>
  <rcc rId="15365" sId="8">
    <oc r="AG162">
      <f>B162-H162-J162-L162-N162-P162-R162-T162-V162-X162-Z162-AB162-AD162</f>
    </oc>
    <nc r="AG162"/>
  </rcc>
  <rcc rId="15366" sId="8">
    <oc r="AG163">
      <f>B163-H163-J163-L163-N163-P163-R163-T163-V163-X163-Z163-AB163-AD163</f>
    </oc>
    <nc r="AG163"/>
  </rcc>
  <rcc rId="15367" sId="8">
    <oc r="AG164">
      <f>B164-H164-J164-L164-N164-P164-R164-T164-V164-X164-Z164-AB164-AD164</f>
    </oc>
    <nc r="AG164"/>
  </rcc>
  <rcc rId="15368" sId="8">
    <oc r="AG165">
      <f>B165-H165-J165-L165-N165-P165-R165-T165-V165-X165-Z165-AB165-AD165</f>
    </oc>
    <nc r="AG165"/>
  </rcc>
  <rcc rId="15369" sId="8">
    <oc r="AG166">
      <f>B166-H166-J166-L166-N166-P166-R166-T166-V166-X166-Z166-AB166-AD166</f>
    </oc>
    <nc r="AG166"/>
  </rcc>
  <rcc rId="15370" sId="8">
    <oc r="AG167">
      <f>B167-H167-J167-L167-N167-P167-R167-T167-V167-X167-Z167-AB167-AD167</f>
    </oc>
    <nc r="AG167"/>
  </rcc>
  <rcc rId="15371" sId="8">
    <oc r="AG168">
      <f>B168-H168-J168-L168-N168-P168-R168-T168-V168-X168-Z168-AB168-AD168</f>
    </oc>
    <nc r="AG168"/>
  </rcc>
  <rcc rId="15372" sId="8">
    <oc r="AG169">
      <f>B169-H169-J169-L169-N169-P169-R169-T169-V169-X169-Z169-AB169-AD169</f>
    </oc>
    <nc r="AG169"/>
  </rcc>
  <rcc rId="15373" sId="8">
    <oc r="AG170">
      <f>B170-H170-J170-L170-N170-P170-R170-T170-V170-X170-Z170-AB170-AD170</f>
    </oc>
    <nc r="AG170"/>
  </rcc>
  <rcc rId="15374" sId="8">
    <oc r="AG171">
      <f>B171-H171-J171-L171-N171-P171-R171-T171-V171-X171-Z171-AB171-AD171</f>
    </oc>
    <nc r="AG171"/>
  </rcc>
  <rcc rId="15375" sId="8">
    <oc r="AG172">
      <f>B172-H172-J172-L172-N172-P172-R172-T172-V172-X172-Z172-AB172-AD172</f>
    </oc>
    <nc r="AG172"/>
  </rcc>
  <rcc rId="15376" sId="8">
    <oc r="AG173">
      <f>B173-H173-J173-L173-N173-P173-R173-T173-V173-X173-Z173-AB173-AD173</f>
    </oc>
    <nc r="AG173"/>
  </rcc>
  <rcc rId="15377" sId="8">
    <oc r="AG174">
      <f>B174-H174-J174-L174-N174-P174-R174-T174-V174-X174-Z174-AB174-AD174</f>
    </oc>
    <nc r="AG174"/>
  </rcc>
  <rcc rId="15378" sId="8">
    <oc r="AG175">
      <f>B175-H175-J175-L175-N175-P175-R175-T175-V175-X175-Z175-AB175-AD175</f>
    </oc>
    <nc r="AG175"/>
  </rcc>
  <rcc rId="15379" sId="8">
    <oc r="AG176">
      <f>B176-H176-J176-L176-N176-P176-R176-T176-V176-X176-Z176-AB176-AD176</f>
    </oc>
    <nc r="AG176"/>
  </rcc>
  <rcc rId="15380" sId="8">
    <oc r="AG177">
      <f>B177-H177-J177-L177-N177-P177-R177-T177-V177-X177-Z177-AB177-AD177</f>
    </oc>
    <nc r="AG177"/>
  </rcc>
  <rcc rId="15381" sId="8">
    <oc r="AG178">
      <f>B178-H178-J178-L178-N178-P178-R178-T178-V178-X178-Z178-AB178-AD178</f>
    </oc>
    <nc r="AG178"/>
  </rcc>
  <rcc rId="15382" sId="8">
    <oc r="AG179">
      <f>B179-H179-J179-L179-N179-P179-R179-T179-V179-X179-Z179-AB179-AD179</f>
    </oc>
    <nc r="AG179"/>
  </rcc>
  <rcc rId="15383" sId="8">
    <oc r="AG180">
      <f>B180-H180-J180-L180-N180-P180-R180-T180-V180-X180-Z180-AB180-AD180</f>
    </oc>
    <nc r="AG180"/>
  </rcc>
  <rcc rId="15384" sId="8">
    <oc r="AG181">
      <f>B181-H181-J181-L181-N181-P181-R181-T181-V181-X181-Z181-AB181-AD181</f>
    </oc>
    <nc r="AG181"/>
  </rcc>
  <rcc rId="15385" sId="8">
    <oc r="AG182">
      <f>B182-H182-J182-L182-N182-P182-R182-T182-V182-X182-Z182-AB182-AD182</f>
    </oc>
    <nc r="AG182"/>
  </rcc>
  <rcc rId="15386" sId="8">
    <oc r="AG183">
      <f>B183-H183-J183-L183-N183-P183-R183-T183-V183-X183-Z183-AB183-AD183</f>
    </oc>
    <nc r="AG183"/>
  </rcc>
  <rcc rId="15387" sId="8">
    <oc r="AG184">
      <f>B184-H184-J184-L184-N184-P184-R184-T184-V184-X184-Z184-AB184-AD184</f>
    </oc>
    <nc r="AG184"/>
  </rcc>
  <rcc rId="15388" sId="8">
    <oc r="AG185">
      <f>B185-H185-J185-L185-N185-P185-R185-T185-V185-X185-Z185-AB185-AD185</f>
    </oc>
    <nc r="AG185"/>
  </rcc>
  <rcc rId="15389" sId="8">
    <oc r="AG186">
      <f>B186-H186-J186-L186-N186-P186-R186-T186-V186-X186-Z186-AB186-AD186</f>
    </oc>
    <nc r="AG186"/>
  </rcc>
  <rcc rId="15390" sId="8">
    <oc r="AG187">
      <f>B187-H187-J187-L187-N187-P187-R187-T187-V187-X187-Z187-AB187-AD187</f>
    </oc>
    <nc r="AG187"/>
  </rcc>
  <rcc rId="15391" sId="8">
    <oc r="AG188">
      <f>B188-H188-J188-L188-N188-P188-R188-T188-V188-X188-Z188-AB188-AD188</f>
    </oc>
    <nc r="AG188"/>
  </rcc>
  <rcc rId="15392" sId="8">
    <oc r="AG189">
      <f>B189-H189-J189-L189-N189-P189-R189-T189-V189-X189-Z189-AB189-AD189</f>
    </oc>
    <nc r="AG189"/>
  </rcc>
  <rcc rId="15393" sId="8">
    <oc r="AG190">
      <f>B190-H190-J190-L190-N190-P190-R190-T190-V190-X190-Z190-AB190-AD190</f>
    </oc>
    <nc r="AG190"/>
  </rcc>
  <rcc rId="15394" sId="8">
    <oc r="AG191">
      <f>B191-H191-J191-L191-N191-P191-R191-T191-V191-X191-Z191-AB191-AD191</f>
    </oc>
    <nc r="AG191"/>
  </rcc>
  <rcc rId="15395" sId="8">
    <oc r="AG192">
      <f>B192-H192-J192-L192-N192-P192-R192-T192-V192-X192-Z192-AB192-AD192</f>
    </oc>
    <nc r="AG192"/>
  </rcc>
  <rcc rId="15396" sId="8">
    <oc r="AG193">
      <f>B193-H193-J193-L193-N193-P193-R193-T193-V193-X193-Z193-AB193-AD193</f>
    </oc>
    <nc r="AG193"/>
  </rcc>
  <rcc rId="15397" sId="8">
    <oc r="AG194">
      <f>B194-H194-J194-L194-N194-P194-R194-T194-V194-X194-Z194-AB194-AD194</f>
    </oc>
    <nc r="AG194"/>
  </rcc>
  <rcc rId="15398" sId="8">
    <oc r="AG195">
      <f>B195-H195-J195-L195-N195-P195-R195-T195-V195-X195-Z195-AB195-AD195</f>
    </oc>
    <nc r="AG195"/>
  </rcc>
  <rcc rId="15399" sId="8">
    <oc r="AG196">
      <f>B196-H196-J196-L196-N196-P196-R196-T196-V196-X196-Z196-AB196-AD196</f>
    </oc>
    <nc r="AG196"/>
  </rcc>
  <rcc rId="15400" sId="8">
    <oc r="AG197">
      <f>B197-H197-J197-L197-N197-P197-R197-T197-V197-X197-Z197-AB197-AD197</f>
    </oc>
    <nc r="AG197"/>
  </rcc>
  <rcc rId="15401" sId="8">
    <oc r="AG198">
      <f>B198-H198-J198-L198-N198-P198-R198-T198-V198-X198-Z198-AB198-AD198</f>
    </oc>
    <nc r="AG198"/>
  </rcc>
  <rcc rId="15402" sId="8">
    <oc r="AG199">
      <f>B199-H199-J199-L199-N199-P199-R199-T199-V199-X199-Z199-AB199-AD199</f>
    </oc>
    <nc r="AG199"/>
  </rcc>
  <rcc rId="15403" sId="8">
    <oc r="AG200">
      <f>B200-H200-J200-L200-N200-P200-R200-T200-V200-X200-Z200-AB200-AD200</f>
    </oc>
    <nc r="AG200"/>
  </rcc>
  <rcc rId="15404" sId="8">
    <oc r="AG201">
      <f>B201-H201-J201-L201-N201-P201-R201-T201-V201-X201-Z201-AB201-AD201</f>
    </oc>
    <nc r="AG201"/>
  </rcc>
  <rcc rId="15405" sId="8">
    <oc r="AG202">
      <f>B202-H202-J202-L202-N202-P202-R202-T202-V202-X202-Z202-AB202-AD202</f>
    </oc>
    <nc r="AG202"/>
  </rcc>
  <rcc rId="15406" sId="8">
    <oc r="AG203">
      <f>B203-H203-J203-L203-N203-P203-R203-T203-V203-X203-Z203-AB203-AD203</f>
    </oc>
    <nc r="AG203"/>
  </rcc>
  <rcc rId="15407" sId="8">
    <oc r="AG204">
      <f>B204-H204-J204-L204-N204-P204-R204-T204-V204-X204-Z204-AB204-AD204</f>
    </oc>
    <nc r="AG204"/>
  </rcc>
  <rcc rId="15408" sId="8">
    <oc r="AG205">
      <f>B205-H205-J205-L205-N205-P205-R205-T205-V205-X205-Z205-AB205-AD205</f>
    </oc>
    <nc r="AG205"/>
  </rcc>
  <rcc rId="15409" sId="8">
    <oc r="AG206">
      <f>B206-H206-J206-L206-N206-P206-R206-T206-V206-X206-Z206-AB206-AD206</f>
    </oc>
    <nc r="AG206"/>
  </rcc>
  <rcc rId="15410" sId="8">
    <oc r="AG207">
      <f>B207-H207-J207-L207-N207-P207-R207-T207-V207-X207-Z207-AB207-AD207</f>
    </oc>
    <nc r="AG207"/>
  </rcc>
  <rcc rId="15411" sId="8">
    <oc r="AG208">
      <f>B208-H208-J208-L208-N208-P208-R208-T208-V208-X208-Z208-AB208-AD208</f>
    </oc>
    <nc r="AG208"/>
  </rcc>
  <rcc rId="15412" sId="8">
    <oc r="AG209">
      <f>B209-H209-J209-L209-N209-P209-R209-T209-V209-X209-Z209-AB209-AD209</f>
    </oc>
    <nc r="AG209"/>
  </rcc>
  <rcc rId="15413" sId="8">
    <oc r="AG210">
      <f>B210-H210-J210-L210-N210-P210-R210-T210-V210-X210-Z210-AB210-AD210</f>
    </oc>
    <nc r="AG210"/>
  </rcc>
  <rcc rId="15414" sId="8">
    <oc r="AG211">
      <f>B211-H211-J211-L211-N211-P211-R211-T211-V211-X211-Z211-AB211-AD211</f>
    </oc>
    <nc r="AG211"/>
  </rcc>
  <rcc rId="15415" sId="8">
    <oc r="AG212">
      <f>B212-H212-J212-L212-N212-P212-R212-T212-V212-X212-Z212-AB212-AD212</f>
    </oc>
    <nc r="AG212"/>
  </rcc>
  <rcc rId="15416" sId="8">
    <oc r="AG213">
      <f>B213-H213-J213-L213-N213-P213-R213-T213-V213-X213-Z213-AB213-AD213</f>
    </oc>
    <nc r="AG213"/>
  </rcc>
  <rcc rId="15417" sId="8">
    <oc r="AG214">
      <f>B214-H214-J214-L214-N214-P214-R214-T214-V214-X214-Z214-AB214-AD214</f>
    </oc>
    <nc r="AG214"/>
  </rcc>
  <rcc rId="15418" sId="8">
    <oc r="AG215">
      <f>B215-H215-J215-L215-N215-P215-R215-T215-V215-X215-Z215-AB215-AD215</f>
    </oc>
    <nc r="AG215"/>
  </rcc>
  <rcc rId="15419" sId="8">
    <oc r="AG216">
      <f>B216-H216-J216-L216-N216-P216-R216-T216-V216-X216-Z216-AB216-AD216</f>
    </oc>
    <nc r="AG216"/>
  </rcc>
  <rcc rId="15420" sId="8">
    <oc r="AG217">
      <f>B217-H217-J217-L217-N217-P217-R217-T217-V217-X217-Z217-AB217-AD217</f>
    </oc>
    <nc r="AG217"/>
  </rcc>
  <rcc rId="15421" sId="8">
    <oc r="AG218">
      <f>B218-H218-J218-L218-N218-P218-R218-T218-V218-X218-Z218-AB218-AD218</f>
    </oc>
    <nc r="AG218"/>
  </rcc>
  <rcc rId="15422" sId="8">
    <oc r="AG219">
      <f>B219-H219-J219-L219-N219-P219-R219-T219-V219-X219-Z219-AB219-AD219</f>
    </oc>
    <nc r="AG219"/>
  </rcc>
  <rcc rId="15423" sId="8">
    <oc r="AG220">
      <f>B220-H220-J220-L220-N220-P220-R220-T220-V220-X220-Z220-AB220-AD220</f>
    </oc>
    <nc r="AG220"/>
  </rcc>
  <rcc rId="15424" sId="8">
    <oc r="AG221">
      <f>B221-H221-J221-L221-N221-P221-R221-T221-V221-X221-Z221-AB221-AD221</f>
    </oc>
    <nc r="AG221"/>
  </rcc>
  <rcc rId="15425" sId="8">
    <oc r="AG222">
      <f>B222-H222-J222-L222-N222-P222-R222-T222-V222-X222-Z222-AB222-AD222</f>
    </oc>
    <nc r="AG222"/>
  </rcc>
  <rcc rId="15426" sId="8">
    <oc r="AG223">
      <f>B223-H223-J223-L223-N223-P223-R223-T223-V223-X223-Z223-AB223-AD223</f>
    </oc>
    <nc r="AG223"/>
  </rcc>
  <rcc rId="15427" sId="8">
    <oc r="AG224">
      <f>B224-H224-J224-L224-N224-P224-R224-T224-V224-X224-Z224-AB224-AD224</f>
    </oc>
    <nc r="AG224"/>
  </rcc>
  <rcc rId="15428" sId="8">
    <oc r="AG225">
      <f>B225-H225-J225-L225-N225-P225-R225-T225-V225-X225-Z225-AB225-AD225</f>
    </oc>
    <nc r="AG225"/>
  </rcc>
  <rcc rId="15429" sId="8">
    <oc r="AG226">
      <f>B226-H226-J226-L226-N226-P226-R226-T226-V226-X226-Z226-AB226-AD226</f>
    </oc>
    <nc r="AG226"/>
  </rcc>
  <rcc rId="15430" sId="8">
    <oc r="AG227">
      <f>B227-H227-J227-L227-N227-P227-R227-T227-V227-X227-Z227-AB227-AD227</f>
    </oc>
    <nc r="AG227"/>
  </rcc>
  <rcc rId="15431" sId="8">
    <oc r="AG228">
      <f>B228-H228-J228-L228-N228-P228-R228-T228-V228-X228-Z228-AB228-AD228</f>
    </oc>
    <nc r="AG228"/>
  </rcc>
  <rcc rId="15432" sId="8">
    <oc r="AG229">
      <f>B229-H229-J229-L229-N229-P229-R229-T229-V229-X229-Z229-AB229-AD229</f>
    </oc>
    <nc r="AG229"/>
  </rcc>
  <rcc rId="15433" sId="8">
    <oc r="AG230">
      <f>B230-H230-J230-L230-N230-P230-R230-T230-V230-X230-Z230-AB230-AD230</f>
    </oc>
    <nc r="AG230"/>
  </rcc>
  <rcc rId="15434" sId="8">
    <oc r="AG231">
      <f>B231-H231-J231-L231-N231-P231-R231-T231-V231-X231-Z231-AB231-AD231</f>
    </oc>
    <nc r="AG231"/>
  </rcc>
  <rcc rId="15435" sId="8">
    <oc r="AG232">
      <f>B232-H232-J232-L232-N232-P232-R232-T232-V232-X232-Z232-AB232-AD232</f>
    </oc>
    <nc r="AG232"/>
  </rcc>
  <rcc rId="15436" sId="8">
    <oc r="AG233">
      <f>B233-H233-J233-L233-N233-P233-R233-T233-V233-X233-Z233-AB233-AD233</f>
    </oc>
    <nc r="AG233"/>
  </rcc>
  <rcc rId="15437" sId="8">
    <oc r="AG234">
      <f>B234-H234-J234-L234-N234-P234-R234-T234-V234-X234-Z234-AB234-AD234</f>
    </oc>
    <nc r="AG234"/>
  </rcc>
  <rcc rId="15438" sId="8">
    <oc r="AG235">
      <f>B235-H235-J235-L235-N235-P235-R235-T235-V235-X235-Z235-AB235-AD235</f>
    </oc>
    <nc r="AG235"/>
  </rcc>
  <rcc rId="15439" sId="8">
    <oc r="AG236">
      <f>B236-H236-J236-L236-N236-P236-R236-T236-V236-X236-Z236-AB236-AD236</f>
    </oc>
    <nc r="AG236"/>
  </rcc>
  <rcc rId="15440" sId="8">
    <oc r="AG237">
      <f>B237-H237-J237-L237-N237-P237-R237-T237-V237-X237-Z237-AB237-AD237</f>
    </oc>
    <nc r="AG237"/>
  </rcc>
  <rcc rId="15441" sId="8">
    <oc r="AG238">
      <f>B238-H238-J238-L238-N238-P238-R238-T238-V238-X238-Z238-AB238-AD238</f>
    </oc>
    <nc r="AG238"/>
  </rcc>
  <rcc rId="15442" sId="8">
    <oc r="AG239">
      <f>B239-H239-J239-L239-N239-P239-R239-T239-V239-X239-Z239-AB239-AD239</f>
    </oc>
    <nc r="AG239"/>
  </rcc>
  <rcc rId="15443" sId="8">
    <oc r="AG240">
      <f>B240-H240-J240-L240-N240-P240-R240-T240-V240-X240-Z240-AB240-AD240</f>
    </oc>
    <nc r="AG240"/>
  </rcc>
  <rcc rId="15444" sId="8">
    <oc r="AG241">
      <f>B241-H241-J241-L241-N241-P241-R241-T241-V241-X241-Z241-AB241-AD241</f>
    </oc>
    <nc r="AG241"/>
  </rcc>
  <rcc rId="15445" sId="8">
    <oc r="AG242">
      <f>B242-H242-J242-L242-N242-P242-R242-T242-V242-X242-Z242-AB242-AD242</f>
    </oc>
    <nc r="AG242"/>
  </rcc>
  <rcc rId="15446" sId="8">
    <oc r="AG243">
      <f>B243-H243-J243-L243-N243-P243-R243-T243-V243-X243-Z243-AB243-AD243</f>
    </oc>
    <nc r="AG243"/>
  </rcc>
  <rcc rId="15447" sId="8">
    <oc r="AG244">
      <f>B244-H244-J244-L244-N244-P244-R244-T244-V244-X244-Z244-AB244-AD244</f>
    </oc>
    <nc r="AG244"/>
  </rcc>
  <rcc rId="15448" sId="8">
    <oc r="AG245">
      <f>B245-H245-J245-L245-N245-P245-R245-T245-V245-X245-Z245-AB245-AD245</f>
    </oc>
    <nc r="AG245"/>
  </rcc>
  <rcc rId="15449" sId="8">
    <oc r="AG246">
      <f>B246-H246-J246-L246-N246-P246-R246-T246-V246-X246-Z246-AB246-AD246</f>
    </oc>
    <nc r="AG246"/>
  </rcc>
  <rcc rId="15450" sId="8">
    <oc r="AG247">
      <f>B247-H247-J247-L247-N247-P247-R247-T247-V247-X247-Z247-AB247-AD247</f>
    </oc>
    <nc r="AG247"/>
  </rcc>
  <rcc rId="15451" sId="8">
    <oc r="AG248">
      <f>B248-H248-J248-L248-N248-P248-R248-T248-V248-X248-Z248-AB248-AD248</f>
    </oc>
    <nc r="AG248"/>
  </rcc>
  <rcc rId="15452" sId="8">
    <oc r="AG249">
      <f>B249-H249-J249-L249-N249-P249-R249-T249-V249-X249-Z249-AB249-AD249</f>
    </oc>
    <nc r="AG249"/>
  </rcc>
  <rcc rId="15453" sId="8">
    <oc r="AG250">
      <f>B250-H250-J250-L250-N250-P250-R250-T250-V250-X250-Z250-AB250-AD250</f>
    </oc>
    <nc r="AG250"/>
  </rcc>
  <rcc rId="15454" sId="8">
    <oc r="AG251">
      <f>B251-H251-J251-L251-N251-P251-R251-T251-V251-X251-Z251-AB251-AD251</f>
    </oc>
    <nc r="AG251"/>
  </rcc>
  <rcc rId="15455" sId="8">
    <oc r="AG252">
      <f>B252-H252-J252-L252-N252-P252-R252-T252-V252-X252-Z252-AB252-AD252</f>
    </oc>
    <nc r="AG252"/>
  </rcc>
  <rcc rId="15456" sId="8">
    <oc r="AG253">
      <f>B253-H253-J253-L253-N253-P253-R253-T253-V253-X253-Z253-AB253-AD253</f>
    </oc>
    <nc r="AG253"/>
  </rcc>
  <rcc rId="15457" sId="8">
    <oc r="AG254">
      <f>B254-H254-J254-L254-N254-P254-R254-T254-V254-X254-Z254-AB254-AD254</f>
    </oc>
    <nc r="AG254"/>
  </rcc>
  <rcc rId="15458" sId="8">
    <oc r="AG255">
      <f>B255-H255-J255-L255-N255-P255-R255-T255-V255-X255-Z255-AB255-AD255</f>
    </oc>
    <nc r="AG255"/>
  </rcc>
  <rcc rId="15459" sId="8">
    <oc r="AG256">
      <f>B256-H256-J256-L256-N256-P256-R256-T256-V256-X256-Z256-AB256-AD256</f>
    </oc>
    <nc r="AG256"/>
  </rcc>
  <rcc rId="15460" sId="8">
    <oc r="AG257">
      <f>B257-H257-J257-L257-N257-P257-R257-T257-V257-X257-Z257-AB257-AD257</f>
    </oc>
    <nc r="AG257"/>
  </rcc>
  <rcc rId="15461" sId="8">
    <oc r="AG258">
      <f>B258-H258-J258-L258-N258-P258-R258-T258-V258-X258-Z258-AB258-AD258</f>
    </oc>
    <nc r="AG258"/>
  </rcc>
  <rcc rId="15462" sId="8">
    <oc r="AG259">
      <f>B259-H259-J259-L259-N259-P259-R259-T259-V259-X259-Z259-AB259-AD259</f>
    </oc>
    <nc r="AG259"/>
  </rcc>
  <rcc rId="15463" sId="8">
    <oc r="AG260">
      <f>B260-H260-J260-L260-N260-P260-R260-T260-V260-X260-Z260-AB260-AD260</f>
    </oc>
    <nc r="AG260"/>
  </rcc>
  <rcc rId="15464" sId="8">
    <oc r="AG261">
      <f>B261-H261-J261-L261-N261-P261-R261-T261-V261-X261-Z261-AB261-AD261</f>
    </oc>
    <nc r="AG261"/>
  </rcc>
  <rcc rId="15465" sId="8">
    <oc r="AG262">
      <f>B262-H262-J262-L262-N262-P262-R262-T262-V262-X262-Z262-AB262-AD262</f>
    </oc>
    <nc r="AG262"/>
  </rcc>
  <rcc rId="15466" sId="8">
    <oc r="AG263">
      <f>B263-H263-J263-L263-N263-P263-R263-T263-V263-X263-Z263-AB263-AD263</f>
    </oc>
    <nc r="AG263"/>
  </rcc>
  <rcc rId="15467" sId="8">
    <oc r="AG264">
      <f>B264-H264-J264-L264-N264-P264-R264-T264-V264-X264-Z264-AB264-AD264</f>
    </oc>
    <nc r="AG264"/>
  </rcc>
  <rcc rId="15468" sId="8">
    <oc r="AG265">
      <f>B265-H265-J265-L265-N265-P265-R265-T265-V265-X265-Z265-AB265-AD265</f>
    </oc>
    <nc r="AG265"/>
  </rcc>
  <rcc rId="15469" sId="8">
    <oc r="AG266">
      <f>B266-H266-J266-L266-N266-P266-R266-T266-V266-X266-Z266-AB266-AD266</f>
    </oc>
    <nc r="AG266"/>
  </rcc>
  <rcc rId="15470" sId="8">
    <oc r="AG267">
      <f>B267-H267-J267-L267-N267-P267-R267-T267-V267-X267-Z267-AB267-AD267</f>
    </oc>
    <nc r="AG267"/>
  </rcc>
  <rcc rId="15471" sId="8">
    <oc r="AG268">
      <f>B268-H268-J268-L268-N268-P268-R268-T268-V268-X268-Z268-AB268-AD268</f>
    </oc>
    <nc r="AG268"/>
  </rcc>
  <rcc rId="15472" sId="8">
    <oc r="AG269">
      <f>B269-H269-J269-L269-N269-P269-R269-T269-V269-X269-Z269-AB269-AD269</f>
    </oc>
    <nc r="AG269"/>
  </rcc>
  <rcc rId="15473" sId="8">
    <oc r="AG270">
      <f>B270-H270-J270-L270-N270-P270-R270-T270-V270-X270-Z270-AB270-AD270</f>
    </oc>
    <nc r="AG270"/>
  </rcc>
  <rcc rId="15474" sId="8">
    <oc r="AG271">
      <f>B271-H271-J271-L271-N271-P271-R271-T271-V271-X271-Z271-AB271-AD271</f>
    </oc>
    <nc r="AG271"/>
  </rcc>
  <rcc rId="15475" sId="8">
    <oc r="AG272">
      <f>B272-H272-J272-L272-N272-P272-R272-T272-V272-X272-Z272-AB272-AD272</f>
    </oc>
    <nc r="AG272"/>
  </rcc>
  <rcc rId="15476" sId="8">
    <oc r="AG273">
      <f>B273-H273-J273-L273-N273-P273-R273-T273-V273-X273-Z273-AB273-AD273</f>
    </oc>
    <nc r="AG273"/>
  </rcc>
  <rcc rId="15477" sId="8">
    <oc r="AG274">
      <f>B274-H274-J274-L274-N274-P274-R274-T274-V274-X274-Z274-AB274-AD274</f>
    </oc>
    <nc r="AG274"/>
  </rcc>
  <rcc rId="15478" sId="8">
    <oc r="AG275">
      <f>B275-H275-J275-L275-N275-P275-R275-T275-V275-X275-Z275-AB275-AD275</f>
    </oc>
    <nc r="AG275"/>
  </rcc>
  <rcc rId="15479" sId="8">
    <oc r="AG276">
      <f>B276-H276-J276-L276-N276-P276-R276-T276-V276-X276-Z276-AB276-AD276</f>
    </oc>
    <nc r="AG276"/>
  </rcc>
  <rcc rId="15480" sId="8">
    <oc r="AG277">
      <f>B277-H277-J277-L277-N277-P277-R277-T277-V277-X277-Z277-AB277-AD277</f>
    </oc>
    <nc r="AG277"/>
  </rcc>
  <rcc rId="15481" sId="8">
    <oc r="AG278">
      <f>B278-H278-J278-L278-N278-P278-R278-T278-V278-X278-Z278-AB278-AD278</f>
    </oc>
    <nc r="AG278"/>
  </rcc>
  <rcc rId="15482" sId="8">
    <oc r="AG279">
      <f>B279-H279-J279-L279-N279-P279-R279-T279-V279-X279-Z279-AB279-AD279</f>
    </oc>
    <nc r="AG279"/>
  </rcc>
  <rcc rId="15483" sId="8">
    <oc r="AG280">
      <f>B280-H280-J280-L280-N280-P280-R280-T280-V280-X280-Z280-AB280-AD280</f>
    </oc>
    <nc r="AG280"/>
  </rcc>
  <rcc rId="15484" sId="8">
    <oc r="AG281">
      <f>B281-H281-J281-L281-N281-P281-R281-T281-V281-X281-Z281-AB281-AD281</f>
    </oc>
    <nc r="AG281"/>
  </rcc>
  <rcc rId="15485" sId="8">
    <oc r="AG282">
      <f>B282-H282-J282-L282-N282-P282-R282-T282-V282-X282-Z282-AB282-AD282</f>
    </oc>
    <nc r="AG282"/>
  </rcc>
  <rcc rId="15486" sId="8">
    <oc r="AG283">
      <f>B283-H283-J283-L283-N283-P283-R283-T283-V283-X283-Z283-AB283-AD283</f>
    </oc>
    <nc r="AG283"/>
  </rcc>
  <rcc rId="15487" sId="8">
    <oc r="AG284">
      <f>B284-H284-J284-L284-N284-P284-R284-T284-V284-X284-Z284-AB284-AD284</f>
    </oc>
    <nc r="AG284"/>
  </rcc>
  <rcc rId="15488" sId="8">
    <oc r="AG285">
      <f>B285-H285-J285-L285-N285-P285-R285-T285-V285-X285-Z285-AB285-AD285</f>
    </oc>
    <nc r="AG285"/>
  </rcc>
  <rcc rId="15489" sId="8">
    <oc r="AG286">
      <f>B286-H286-J286-L286-N286-P286-R286-T286-V286-X286-Z286-AB286-AD286</f>
    </oc>
    <nc r="AG286"/>
  </rcc>
  <rcc rId="15490" sId="8">
    <oc r="AG287">
      <f>B287-H287-J287-L287-N287-P287-R287-T287-V287-X287-Z287-AB287-AD287</f>
    </oc>
    <nc r="AG287"/>
  </rcc>
  <rcc rId="15491" sId="8">
    <oc r="AG288">
      <f>B288-H288-J288-L288-N288-P288-R288-T288-V288-X288-Z288-AB288-AD288</f>
    </oc>
    <nc r="AG288"/>
  </rcc>
  <rcc rId="15492" sId="8">
    <oc r="AG289">
      <f>B289-H289-J289-L289-N289-P289-R289-T289-V289-X289-Z289-AB289-AD289</f>
    </oc>
    <nc r="AG289"/>
  </rcc>
  <rcc rId="15493" sId="8">
    <oc r="AG290">
      <f>B290-H290-J290-L290-N290-P290-R290-T290-V290-X290-Z290-AB290-AD290</f>
    </oc>
    <nc r="AG290"/>
  </rcc>
  <rcc rId="15494" sId="8">
    <oc r="AG291">
      <f>B291-H291-J291-L291-N291-P291-R291-T291-V291-X291-Z291-AB291-AD291</f>
    </oc>
    <nc r="AG291"/>
  </rcc>
  <rcc rId="15495" sId="8">
    <oc r="AF187" t="inlineStr">
      <is>
        <t>Отклонение - 552,980 тыс.руб. - в том числе: 75,858 тыс. руб. - командировочные расходы,  81,567 тыс. руб. -экономия по оплате транспортных услуг на мер. Новый год, "Проводы зимы", "День Победы", 292,420 тыс. руб. - оплата за участие в конкурсах-фестивалях, 102,760 тыс. руб.   - украшения для новогодней ели не приобретались,  0,375 тыс. руб. - документы на потребление электроэнергии Снежного городка предоставлены на меньшую сумму.</t>
      </is>
    </oc>
    <nc r="AF187"/>
  </rcc>
  <rcc rId="15496" sId="8">
    <oc r="AF199" t="inlineStr">
      <is>
        <t>Отклонение -8444,635 тыс. руб., в том числе: 5674,615 тыс. руб. - заработная плата, 43,089 тыс. руб. - оплата листка нетрудоспособности за счет средств работодателя, 0,700 тыс. руб. - оплата первичного медосмотра не производилась, 1063,471 тыс. руб. - начисление на выплаты по оплате труда,  72,479 тыс. руб. - услуги связи, 8,060 тыс. руб. - экономия по транспортным услугам, 6,768 тыс. руб. - экономия по водопотреблению, 94,946 тыс. руб. - услуги по обращению с ТКО, 72,709 тыс. руб. - уборка снега,  163,310 тыс. руб. - экономия по техническому обслуживанию зданий, 144,590 тыс. руб. - экономия по противопожарному обслуживанию,  28,0 тыс. руб. - сопровождение УРМ, 31,013тыс. руб. - услуги охраны, 30,000 тыс. руб. - канцтовары, 7,361 тыс. руб. -теплопотребление, 542,771 тыс. руб. - налоги, 186,736 тыс руб. - содержание объекта благоустройства Набережная реки Ингу-Ягун., 274,017 тыс. руб. - оплата льготного проезда.</t>
      </is>
    </oc>
    <nc r="AF199"/>
  </rcc>
  <rcc rId="15497" sId="8">
    <oc r="AF249" t="inlineStr">
      <is>
        <t>Кассовый расход сформировался меньше планового в связи с: образованием листов временной нетрудоспособности, вакантных ставок (плотник, уборщик служебных помещений, уборщик территорий).</t>
      </is>
    </oc>
    <nc r="AF249"/>
  </rcc>
  <rcc rId="15498" sId="8">
    <oc r="AF263" t="inlineStr">
      <is>
        <t>Остаток средств в сумме -294,227 т.руб., в т.ч.,  услуги по организации мероприятия  -51,600 т.руб.,оплата командировочных расходов -109,127 т.руб.,   приобретение ОС - 18,760 т.руб., прочее приобретение - 10,200 т.руб., сувенирная продукция - 104,540 т.руб. оплата по факту на основании документов на оплату, товарных накладных и акта выполненных работ, средства будут использованы в августе.</t>
      </is>
    </oc>
    <nc r="AF263"/>
  </rcc>
  <rcc rId="15499" sId="8">
    <oc r="AF170" t="inlineStr">
      <is>
        <t xml:space="preserve"> Денежные средства в мае не запланированы. Сформированный остаток  не освоен в связи с переносом мероприятия на неопределенный срок, согласно письма от Управления Федеральной службы по надзору в сфере защиты прав потребителей и благополучия человека по ХМАО-Югре  от 26.03.2024 №438 "О заболеваемости коревой инфекции в г. Когалыме и дополнительных противоэпидемических мероприятий".</t>
      </is>
    </oc>
    <nc r="AF170"/>
  </rcc>
  <rcc rId="15500" sId="8">
    <oc r="AF158" t="inlineStr">
      <is>
        <t>Отклонение 11,476 тыс. руб. - экономия по приобретению призов на мер. "День оленевода" (произведена корректировка типа мероприятия).</t>
      </is>
    </oc>
    <nc r="AF158"/>
  </rcc>
  <rcc rId="15501" sId="8">
    <oc r="AF129" t="inlineStr">
      <is>
        <t>Остаток денежных средств образовался в связи с больничными листами, изменения графика отпусков, в связи с меньшими затратами на оплату услуг: связи, коммунальных услуг, охранных услуг. Денежные средства будут израсходованы в будущем периоде.</t>
      </is>
    </oc>
    <nc r="AF129"/>
  </rcc>
  <rcc rId="15502" sId="8">
    <oc r="AF117" t="inlineStr">
      <is>
        <t>Выполнение работ по текущему ремонту уличной библиотеки 331,00 т.р. (ОБ-00,00т.р.,МБ-331,00т.р.)</t>
      </is>
    </oc>
    <nc r="AF117"/>
  </rcc>
  <rcc rId="15503" sId="8">
    <oc r="AF111" t="inlineStr">
      <is>
        <t>Остаток средств в сумме -1 262,500 т.руб., в т.ч., прочее приобретение, оплата по факту на основании документов на оплату и товарных накладных, средства будут использованы в июле.</t>
      </is>
    </oc>
    <nc r="AF111"/>
  </rcc>
  <rcc rId="15504" sId="8">
    <oc r="AF106" t="inlineStr">
      <is>
        <t>Отклонение 224,310 тыс. руб., из них: 224,310 тыс. руб. - оплата за приобретение костюмов сценических осуществляется по факту поставки товара.</t>
      </is>
    </oc>
    <nc r="AF106"/>
  </rcc>
  <rcc rId="15505" sId="8">
    <oc r="AF93" t="inlineStr">
      <is>
        <t>Остаток средств в сумме 5 773,011 т.руб., в т.ч.  остаток по  выплате заработной платы и соц.выплат   - 2 390,485 т.р. , начисл. на зар.плату - 1 788,327 т.руб., оплаты за коммунальные услуги по фактическим расходам и показаниям счетчиков- 397,569 т.р.,оплаты за содержание здания по факту предоставленных документов на оплату от поставщика - 375,626т.руб., оплата услуг связи - 0,056 т.руб., оплата б/л за счет ср-в работод - 74,846 т.руб.оплаты налога на имущество - 428,954 т.руб.оплата командировочных расходов - 27,385 т.руб., оплата проезда в отпуск и обратно - 265,263 т.руб.,сан.кур.-24,500 т.руб</t>
      </is>
    </oc>
    <nc r="AF93"/>
  </rcc>
  <rcc rId="15506" sId="8">
    <oc r="AF87" t="inlineStr">
      <is>
        <t>Остаток средств в сумме 5,902 т.руб.-приобретение ОС,  оплата по факту на основании документов на оплату и товарных накладных, средства будут использованы в августе</t>
      </is>
    </oc>
    <nc r="AF87"/>
  </rcc>
  <rcc rId="15507" sId="8">
    <oc r="AF81" t="inlineStr">
      <is>
        <t>Остаток средств в сумме 0,040 т.руб.-прочее приобретение, средства будут использованы в августе.</t>
      </is>
    </oc>
    <nc r="AF81"/>
  </rcc>
  <rcc rId="15508" sId="8">
    <oc r="AF57" t="inlineStr">
      <is>
        <t>Подписка на периодические печатные издания 42,70 т.р. (ОБ-36,27т.р.,МБ-6,43т.р.)</t>
      </is>
    </oc>
    <nc r="AF57"/>
  </rcc>
  <rcc rId="15509" sId="8">
    <oc r="AF56" t="inlineStr">
      <is>
        <t>Оказание инфоррмационных услуг (Консультант Плюс) 69,90 т.р. (ОБ-54,00т.р.,МБ-15,90т.р.)</t>
      </is>
    </oc>
    <nc r="AF56"/>
  </rcc>
  <rcc rId="15510" sId="8">
    <oc r="AF50" t="inlineStr">
      <is>
        <t>Перевод документов в эл. форму 70,00 т.р.(ОБ-59,50т.р.,МБ-10,50 т.р.)</t>
      </is>
    </oc>
    <nc r="AF50"/>
  </rcc>
  <rcc rId="15511" sId="8">
    <oc r="AF49" t="inlineStr">
      <is>
        <t>Услуги связи интернет) 60,20 т.р.(ОБ-45,10т.р.,МБ-15,10 т.р.)</t>
      </is>
    </oc>
    <nc r="AF49"/>
  </rcc>
  <rcc rId="15512" sId="8">
    <oc r="AF43" t="inlineStr">
      <is>
        <t xml:space="preserve">Отклонение возникло:
-по оплате труда и начисления - 3454,74т.р (большое количество больничных листов,средства будут освоены на очередной отпуск сотрудников в течение 2024г.)                                                -прочие несоц. выплаты персоналу в денежной форме -2,4т.р. (остаток средств будет освоен в течение 2024г.)                                                                                                                                                                                                - услуги связи -8,512т.р. (в учреждении действует режим экономиии на телефонную связь)                                                                                                                                                                                                                                                                                                                                                                                                                                                                                                                                                                                                                                                                                                                                                                                                                                                                           
-по коммунальным услугам -169,21т.р.(фактические показания счетчиков);
-по работам и услугам по содержанию имущества-1276,47т.р. (остаток средств по дог.на тех. обслуживание,содержание,тек. ремонт жил. фонда, также на уборку снега,анализ сточных вод, проектирование,текущий ремонт будут освоены в течение 2024г.)                                                                                                                                                     - прочие работы, услуги- 476,53т.р. (остаток средств на оплату командировочн.расходов, охрану обьекта,спец. оценке усл.труда,производ.контролю,подписке на периодич. издания,ремонт и пусконаладку системы ОПС будет освоен в течение 2024г.р.)                                                                                                                                                                                                                                                                                                                                                                                                                                                                                - социальные компенсации персоналу в натуральной форме - 73,50т.р. (остаток средств будет освоен в течение 2024г.)                                                                                                                         -страхование -0,3т.р. (остаток средств будет освоен в течение 2024г.)                                             -соц. пособия и компенсации персоналу в денежной форме -18,281т.р.  (остаток средств будет освоен в августе 2024г.)                                                                                                                                                                                                                                                                                                                            -увеличение стоимости основных средств -127,56т.р. (остаток средств будет освоен в течение 2024г.)                                                                                                                                                     -увеличение стоитмости прочих оборотных запасов-28,35т.р.(остаток будет олсвоен в августе 2024г. на поставку воды и картриджи)                                                                                                                                                                                                            - прочие несоциальные выплаты персоналу в натуральной форме - 457,724т.р. (остаток средств будет освоен в течение 2024г. на оплату проезда в отпуск и обратно сотрудн.,а также проезда заочника)                                                                                                                                                                                                                                                                                                                                                                                                                                                                                                                                                                                                                                                                                                                                                                                                                                                                                         </t>
      </is>
    </oc>
    <nc r="AF43"/>
  </rcc>
  <rcc rId="15513" sId="8">
    <oc r="AF37" t="inlineStr">
      <is>
        <t>Приобретение товара (диск, пленка для ламинирования, картриджи, канц. товары, грамоты,дипломы для награждения, книги для награждения)</t>
      </is>
    </oc>
    <nc r="AF37"/>
  </rcc>
  <rcc rId="15514" sId="8">
    <oc r="AF30" t="inlineStr">
      <is>
        <t>Приобретение печатных изданий для комплектования библиотечного фонда 2 069 шт. 982,56т.р. (МБ- 748,76т.р.,ОБ-128,59т.р.ФБ-105,21т.р.)</t>
      </is>
    </oc>
    <nc r="AF30"/>
  </rcc>
  <rcv guid="{7C130984-112A-4861-AA43-E2940708E3DC}" action="delete"/>
  <rdn rId="0" localSheetId="2" customView="1" name="Z_7C130984_112A_4861_AA43_E2940708E3DC_.wvu.Rows" hidden="1" oldHidden="1">
    <formula>'1.СЗН'!$69:$73</formula>
    <oldFormula>'1.СЗН'!$69:$73</oldFormula>
  </rdn>
  <rdn rId="0" localSheetId="2" customView="1" name="Z_7C130984_112A_4861_AA43_E2940708E3DC_.wvu.FilterData" hidden="1" oldHidden="1">
    <formula>'1.СЗН'!$A$1:$AF$63</formula>
    <oldFormula>'1.СЗН'!$A$1:$AF$63</oldFormula>
  </rdn>
  <rdn rId="0" localSheetId="3" customView="1" name="Z_7C130984_112A_4861_AA43_E2940708E3DC_.wvu.FilterData" hidden="1" oldHidden="1">
    <formula>'2.АПК'!$A$1:$AF$36</formula>
    <oldFormula>'2.АПК'!$A$1:$AF$36</oldFormula>
  </rdn>
  <rdn rId="0" localSheetId="4" customView="1" name="Z_7C130984_112A_4861_AA43_E2940708E3DC_.wvu.FilterData" hidden="1" oldHidden="1">
    <formula>'3.БЖД'!$A$1:$AF$17</formula>
    <oldFormula>'3.БЖД'!$A$1:$AF$17</oldFormula>
  </rdn>
  <rdn rId="0" localSheetId="5" customView="1" name="Z_7C130984_112A_4861_AA43_E2940708E3DC_.wvu.FilterData" hidden="1" oldHidden="1">
    <formula>'4.УМИ'!$A$1:$AF$11</formula>
    <oldFormula>'4.УМИ'!$A$1:$AF$11</oldFormula>
  </rdn>
  <rdn rId="0" localSheetId="6" customView="1" name="Z_7C130984_112A_4861_AA43_E2940708E3DC_.wvu.FilterData" hidden="1" oldHidden="1">
    <formula>'5.Проф. прав.'!$A$1:$AF$12</formula>
    <oldFormula>'5.Проф. прав.'!$A$1:$AF$12</oldFormula>
  </rdn>
  <rdn rId="0" localSheetId="7" customView="1" name="Z_7C130984_112A_4861_AA43_E2940708E3DC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C130984_112A_4861_AA43_E2940708E3DC_.wvu.FilterData" hidden="1" oldHidden="1">
    <formula>'6.Экстримизм'!$A$1:$AF$11</formula>
    <oldFormula>'6.Экстримизм'!$A$1:$AF$11</oldFormula>
  </rdn>
  <rdn rId="0" localSheetId="14" customView="1" name="Z_7C130984_112A_4861_AA43_E2940708E3DC_.wvu.FilterData" hidden="1" oldHidden="1">
    <formula>'11.МП РО'!$A$4:$A$380</formula>
    <oldFormula>'11.МП РО'!$A$4:$A$380</oldFormula>
  </rdn>
  <rdn rId="0" localSheetId="17" customView="1" name="Z_7C130984_112A_4861_AA43_E2940708E3DC_.wvu.Rows" hidden="1" oldHidden="1">
    <formula>'13.МП РЖС'!$122:$127</formula>
    <oldFormula>'13.МП РЖС'!$122:$127</oldFormula>
  </rdn>
  <rdn rId="0" localSheetId="17" customView="1" name="Z_7C130984_112A_4861_AA43_E2940708E3DC_.wvu.Cols" hidden="1" oldHidden="1">
    <formula>'13.МП РЖС'!$AG:$AG</formula>
    <oldFormula>'13.МП РЖС'!$AG:$AG</oldFormula>
  </rdn>
  <rcv guid="{7C130984-112A-4861-AA43-E2940708E3DC}"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43" sId="6" numFmtId="19">
    <oc r="C5">
      <v>45474</v>
    </oc>
    <nc r="C5">
      <v>45505</v>
    </nc>
  </rcc>
  <rcc rId="14744" sId="6" numFmtId="19">
    <oc r="D5">
      <v>45474</v>
    </oc>
    <nc r="D5">
      <v>45505</v>
    </nc>
  </rcc>
  <rcc rId="14745" sId="6" numFmtId="19">
    <oc r="E5">
      <v>45474</v>
    </oc>
    <nc r="E5">
      <v>45505</v>
    </nc>
  </rcc>
  <rcc rId="14746" sId="6" numFmtId="34">
    <oc r="T10">
      <f>T11+T12</f>
    </oc>
    <nc r="T10">
      <v>159.02000000000001</v>
    </nc>
  </rcc>
  <rcc rId="14747" sId="6" numFmtId="34">
    <oc r="T12">
      <v>123.2</v>
    </oc>
    <nc r="T12">
      <v>120.95</v>
    </nc>
  </rcc>
  <rcc rId="14748" sId="6" numFmtId="34">
    <nc r="U16">
      <v>640</v>
    </nc>
  </rcc>
  <rcc rId="14749" sId="6">
    <oc r="AF14" t="inlineStr">
      <is>
        <t>Техническое обслуживание ИТКБ. Оказание услуг по поставкам электрической энергии.  Оказание услуг связи по передаче данных ИТКБ.</t>
      </is>
    </oc>
    <nc r="AF14" t="inlineStr">
      <is>
        <t>Отклонеие  сложилось в результате оплаты электрической  энергии согласно показаниям счетчиков по факту.</t>
      </is>
    </nc>
  </rcc>
  <rcc rId="14750" sId="6" numFmtId="34">
    <nc r="U20">
      <v>5.55</v>
    </nc>
  </rcc>
  <rcc rId="14751" sId="6" numFmtId="34">
    <nc r="U19">
      <v>550.19000000000005</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52" sId="6" numFmtId="34">
    <oc r="U75">
      <v>4.53</v>
    </oc>
    <nc r="U75">
      <v>9.07</v>
    </nc>
  </rcc>
  <rcc rId="14753" sId="6" numFmtId="34">
    <oc r="T117">
      <v>611.53</v>
    </oc>
    <nc r="T117">
      <v>654.35</v>
    </nc>
  </rcc>
  <rcc rId="14754" sId="6" numFmtId="34">
    <nc r="U117">
      <v>557.59</v>
    </nc>
  </rcc>
  <rcc rId="14755" sId="6" numFmtId="34">
    <oc r="T121">
      <v>1139.3699999999999</v>
    </oc>
    <nc r="T121">
      <v>1109.01</v>
    </nc>
  </rcc>
  <rcc rId="14756" sId="6" numFmtId="34">
    <nc r="U121">
      <v>768.23</v>
    </nc>
  </rcc>
  <rcv guid="{D01FA037-9AEC-4167-ADB8-2F327C01ECE6}" action="delete"/>
  <rdn rId="0" localSheetId="2" customView="1" name="Z_D01FA037_9AEC_4167_ADB8_2F327C01ECE6_.wvu.Rows" hidden="1" oldHidden="1">
    <formula>'1.СЗН'!$69:$73</formula>
    <oldFormula>'1.СЗН'!$69:$73</oldFormula>
  </rdn>
  <rdn rId="0" localSheetId="2" customView="1" name="Z_D01FA037_9AEC_4167_ADB8_2F327C01ECE6_.wvu.FilterData" hidden="1" oldHidden="1">
    <formula>'1.СЗН'!$A$1:$AF$63</formula>
    <oldFormula>'1.СЗН'!$A$1:$AF$63</oldFormula>
  </rdn>
  <rdn rId="0" localSheetId="3" customView="1" name="Z_D01FA037_9AEC_4167_ADB8_2F327C01ECE6_.wvu.FilterData" hidden="1" oldHidden="1">
    <formula>'2.АПК'!$A$1:$AF$36</formula>
    <oldFormula>'2.АПК'!$A$1:$AF$36</oldFormula>
  </rdn>
  <rdn rId="0" localSheetId="4" customView="1" name="Z_D01FA037_9AEC_4167_ADB8_2F327C01ECE6_.wvu.FilterData" hidden="1" oldHidden="1">
    <formula>'3.БЖД'!$A$1:$AF$17</formula>
    <oldFormula>'3.БЖД'!$A$1:$AF$17</oldFormula>
  </rdn>
  <rdn rId="0" localSheetId="5" customView="1" name="Z_D01FA037_9AEC_4167_ADB8_2F327C01ECE6_.wvu.FilterData" hidden="1" oldHidden="1">
    <formula>'4.УМИ'!$A$1:$AF$11</formula>
    <oldFormula>'4.УМИ'!$A$1:$AF$11</oldFormula>
  </rdn>
  <rdn rId="0" localSheetId="6" customView="1" name="Z_D01FA037_9AEC_4167_ADB8_2F327C01ECE6_.wvu.FilterData" hidden="1" oldHidden="1">
    <formula>'5.Проф. прав.'!$A$1:$AF$12</formula>
    <oldFormula>'5.Проф. прав.'!$A$1:$AF$12</oldFormula>
  </rdn>
  <rdn rId="0" localSheetId="7" customView="1" name="Z_D01FA037_9AEC_4167_ADB8_2F327C01ECE6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D01FA037_9AEC_4167_ADB8_2F327C01ECE6_.wvu.FilterData" hidden="1" oldHidden="1">
    <formula>'6.Экстримизм'!$A$1:$AF$11</formula>
    <oldFormula>'6.Экстримизм'!$A$1:$AF$11</oldFormula>
  </rdn>
  <rdn rId="0" localSheetId="14" customView="1" name="Z_D01FA037_9AEC_4167_ADB8_2F327C01ECE6_.wvu.FilterData" hidden="1" oldHidden="1">
    <formula>'11.МП РО'!$A$4:$A$380</formula>
    <oldFormula>'11.МП РО'!$A$4:$A$380</oldFormula>
  </rdn>
  <rdn rId="0" localSheetId="17" customView="1" name="Z_D01FA037_9AEC_4167_ADB8_2F327C01ECE6_.wvu.Rows" hidden="1" oldHidden="1">
    <formula>'13.МП РЖС'!$122:$127</formula>
    <oldFormula>'13.МП РЖС'!$122:$127</oldFormula>
  </rdn>
  <rdn rId="0" localSheetId="17" customView="1" name="Z_D01FA037_9AEC_4167_ADB8_2F327C01ECE6_.wvu.Cols" hidden="1" oldHidden="1">
    <formula>'13.МП РЖС'!$AG:$AG</formula>
    <oldFormula>'13.МП РЖС'!$AG:$AG</oldFormula>
  </rdn>
  <rcv guid="{D01FA037-9AEC-4167-ADB8-2F327C01ECE6}"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04" sId="18">
    <nc r="AG123">
      <f>C123-E123</f>
    </nc>
  </rcc>
  <rcc rId="10005" sId="18">
    <nc r="AG124">
      <f>C124-E124</f>
    </nc>
  </rcc>
  <rcc rId="10006" sId="18">
    <nc r="AG125">
      <f>C125-E125</f>
    </nc>
  </rcc>
  <rcc rId="10007" sId="18">
    <nc r="AG126">
      <f>C126-E126</f>
    </nc>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08" sId="2" numFmtId="19">
    <oc r="C5">
      <v>45413</v>
    </oc>
    <nc r="C5">
      <v>45474</v>
    </nc>
  </rcc>
  <rcv guid="{84867370-1F3E-4368-AF79-FBCE46FFFE92}" action="delete"/>
  <rdn rId="0" localSheetId="2" customView="1" name="Z_84867370_1F3E_4368_AF79_FBCE46FFFE92_.wvu.Rows" hidden="1" oldHidden="1">
    <formula>'1.СЗН'!$69:$73</formula>
    <oldFormula>'1.СЗН'!$69:$73</oldFormula>
  </rdn>
  <rdn rId="0" localSheetId="2" customView="1" name="Z_84867370_1F3E_4368_AF79_FBCE46FFFE92_.wvu.FilterData" hidden="1" oldHidden="1">
    <formula>'1.СЗН'!$A$1:$AF$63</formula>
    <oldFormula>'1.СЗН'!$A$1:$AF$63</oldFormula>
  </rdn>
  <rdn rId="0" localSheetId="3" customView="1" name="Z_84867370_1F3E_4368_AF79_FBCE46FFFE92_.wvu.FilterData" hidden="1" oldHidden="1">
    <formula>'2.АПК'!$A$1:$AF$36</formula>
    <oldFormula>'2.АПК'!$A$1:$AF$36</oldFormula>
  </rdn>
  <rdn rId="0" localSheetId="4" customView="1" name="Z_84867370_1F3E_4368_AF79_FBCE46FFFE92_.wvu.FilterData" hidden="1" oldHidden="1">
    <formula>'3.БЖД'!$A$1:$AF$17</formula>
    <oldFormula>'3.БЖД'!$A$1:$AF$17</oldFormula>
  </rdn>
  <rdn rId="0" localSheetId="5" customView="1" name="Z_84867370_1F3E_4368_AF79_FBCE46FFFE92_.wvu.FilterData" hidden="1" oldHidden="1">
    <formula>'4.УМИ'!$A$1:$AF$11</formula>
    <oldFormula>'4.УМИ'!$A$1:$AF$11</oldFormula>
  </rdn>
  <rdn rId="0" localSheetId="6" customView="1" name="Z_84867370_1F3E_4368_AF79_FBCE46FFFE92_.wvu.FilterData" hidden="1" oldHidden="1">
    <formula>'5.Проф. прав.'!$A$1:$AF$12</formula>
    <oldFormula>'5.Проф. прав.'!$A$1:$AF$12</oldFormula>
  </rdn>
  <rdn rId="0" localSheetId="7" customView="1" name="Z_84867370_1F3E_4368_AF79_FBCE46FFFE92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84867370_1F3E_4368_AF79_FBCE46FFFE92_.wvu.FilterData" hidden="1" oldHidden="1">
    <formula>'6.Экстримизм'!$A$1:$AF$11</formula>
    <oldFormula>'6.Экстримизм'!$A$1:$AF$11</oldFormula>
  </rdn>
  <rdn rId="0" localSheetId="14" customView="1" name="Z_84867370_1F3E_4368_AF79_FBCE46FFFE92_.wvu.FilterData" hidden="1" oldHidden="1">
    <formula>'11.МП РО'!$A$4:$A$380</formula>
    <oldFormula>'11.МП РО'!$A$4:$A$380</oldFormula>
  </rdn>
  <rdn rId="0" localSheetId="17" customView="1" name="Z_84867370_1F3E_4368_AF79_FBCE46FFFE92_.wvu.Rows" hidden="1" oldHidden="1">
    <formula>'13.МП РЖС'!$122:$127</formula>
    <oldFormula>'13.МП РЖС'!$122:$127</oldFormula>
  </rdn>
  <rdn rId="0" localSheetId="17" customView="1" name="Z_84867370_1F3E_4368_AF79_FBCE46FFFE92_.wvu.Cols" hidden="1" oldHidden="1">
    <formula>'13.МП РЖС'!$AG:$AG</formula>
    <oldFormula>'13.МП РЖС'!$AG:$AG</oldFormula>
  </rdn>
  <rcv guid="{84867370-1F3E-4368-AF79-FBCE46FFFE92}"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20" sId="2">
    <oc r="C15">
      <f>H15+J15+L15+N15</f>
    </oc>
    <nc r="C15">
      <f>H15+J15+L15+N15+P15+R15</f>
    </nc>
  </rcc>
  <rcc rId="10021" sId="2">
    <oc r="C16">
      <f>H16+J16+L16+N16</f>
    </oc>
    <nc r="C16">
      <f>H16+J16+L16+N16+P16+R16</f>
    </nc>
  </rcc>
  <rcc rId="10022" sId="2">
    <oc r="C23">
      <f>H23+J23+L23+N23</f>
    </oc>
    <nc r="C23">
      <f>H23+J23+L23+N23+P23+R23</f>
    </nc>
  </rcc>
  <rcc rId="10023" sId="2">
    <oc r="C24">
      <f>H24+J24+L24+N24</f>
    </oc>
    <nc r="C24">
      <f>H24+J24+L24+N24+P24+R24</f>
    </nc>
  </rcc>
  <rcc rId="10024" sId="2">
    <oc r="C27">
      <f>H27+J27+L27+N27</f>
    </oc>
    <nc r="C27">
      <f>H27+J27+L27+N27+P27+R27</f>
    </nc>
  </rcc>
  <rcc rId="10025" sId="2">
    <oc r="C28">
      <f>H28+J28+L28+N28</f>
    </oc>
    <nc r="C28">
      <f>H28+J28+L28+N28+P28+R28</f>
    </nc>
  </rcc>
  <rcc rId="10026" sId="2">
    <oc r="C31">
      <f>H31+J31+L31+N31</f>
    </oc>
    <nc r="C31">
      <f>H31+J31+L31+N31+P31+R31</f>
    </nc>
  </rcc>
  <rcc rId="10027" sId="2">
    <oc r="C48">
      <f>H48+J48+L48+N48</f>
    </oc>
    <nc r="C48">
      <f>H48+J48+L48+N48+P48+R48</f>
    </nc>
  </rcc>
  <rcc rId="10028" sId="2">
    <oc r="C34">
      <f>H34+J34+L34+N34</f>
    </oc>
    <nc r="C34">
      <f>H34+J34+L34+N34+P34+R34</f>
    </nc>
  </rcc>
  <rcv guid="{84867370-1F3E-4368-AF79-FBCE46FFFE92}" action="delete"/>
  <rdn rId="0" localSheetId="2" customView="1" name="Z_84867370_1F3E_4368_AF79_FBCE46FFFE92_.wvu.Rows" hidden="1" oldHidden="1">
    <formula>'1.СЗН'!$69:$73</formula>
    <oldFormula>'1.СЗН'!$69:$73</oldFormula>
  </rdn>
  <rdn rId="0" localSheetId="2" customView="1" name="Z_84867370_1F3E_4368_AF79_FBCE46FFFE92_.wvu.FilterData" hidden="1" oldHidden="1">
    <formula>'1.СЗН'!$A$1:$AF$63</formula>
    <oldFormula>'1.СЗН'!$A$1:$AF$63</oldFormula>
  </rdn>
  <rdn rId="0" localSheetId="3" customView="1" name="Z_84867370_1F3E_4368_AF79_FBCE46FFFE92_.wvu.FilterData" hidden="1" oldHidden="1">
    <formula>'2.АПК'!$A$1:$AF$36</formula>
    <oldFormula>'2.АПК'!$A$1:$AF$36</oldFormula>
  </rdn>
  <rdn rId="0" localSheetId="4" customView="1" name="Z_84867370_1F3E_4368_AF79_FBCE46FFFE92_.wvu.FilterData" hidden="1" oldHidden="1">
    <formula>'3.БЖД'!$A$1:$AF$17</formula>
    <oldFormula>'3.БЖД'!$A$1:$AF$17</oldFormula>
  </rdn>
  <rdn rId="0" localSheetId="5" customView="1" name="Z_84867370_1F3E_4368_AF79_FBCE46FFFE92_.wvu.FilterData" hidden="1" oldHidden="1">
    <formula>'4.УМИ'!$A$1:$AF$11</formula>
    <oldFormula>'4.УМИ'!$A$1:$AF$11</oldFormula>
  </rdn>
  <rdn rId="0" localSheetId="6" customView="1" name="Z_84867370_1F3E_4368_AF79_FBCE46FFFE92_.wvu.FilterData" hidden="1" oldHidden="1">
    <formula>'5.Проф. прав.'!$A$1:$AF$12</formula>
    <oldFormula>'5.Проф. прав.'!$A$1:$AF$12</oldFormula>
  </rdn>
  <rdn rId="0" localSheetId="7" customView="1" name="Z_84867370_1F3E_4368_AF79_FBCE46FFFE92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84867370_1F3E_4368_AF79_FBCE46FFFE92_.wvu.FilterData" hidden="1" oldHidden="1">
    <formula>'6.Экстримизм'!$A$1:$AF$11</formula>
    <oldFormula>'6.Экстримизм'!$A$1:$AF$11</oldFormula>
  </rdn>
  <rdn rId="0" localSheetId="14" customView="1" name="Z_84867370_1F3E_4368_AF79_FBCE46FFFE92_.wvu.FilterData" hidden="1" oldHidden="1">
    <formula>'11.МП РО'!$A$4:$A$380</formula>
    <oldFormula>'11.МП РО'!$A$4:$A$380</oldFormula>
  </rdn>
  <rdn rId="0" localSheetId="17" customView="1" name="Z_84867370_1F3E_4368_AF79_FBCE46FFFE92_.wvu.Rows" hidden="1" oldHidden="1">
    <formula>'13.МП РЖС'!$122:$127</formula>
    <oldFormula>'13.МП РЖС'!$122:$127</oldFormula>
  </rdn>
  <rdn rId="0" localSheetId="17" customView="1" name="Z_84867370_1F3E_4368_AF79_FBCE46FFFE92_.wvu.Cols" hidden="1" oldHidden="1">
    <formula>'13.МП РЖС'!$AG:$AG</formula>
    <oldFormula>'13.МП РЖС'!$AG:$AG</oldFormula>
  </rdn>
  <rcv guid="{84867370-1F3E-4368-AF79-FBCE46FFFE92}"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0" sId="2" numFmtId="34">
    <oc r="D15">
      <v>197.82793000000001</v>
    </oc>
    <nc r="D15">
      <v>299.4434</v>
    </nc>
  </rcc>
  <rcc rId="10041" sId="2" odxf="1" dxf="1">
    <oc r="F15">
      <f>E15/B150</f>
    </oc>
    <nc r="F15">
      <f>E15/B15</f>
    </nc>
    <ndxf>
      <numFmt numFmtId="173" formatCode="0.0%"/>
    </ndxf>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51"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Ресцрсный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t>
        </r>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52" sId="7" numFmtId="4">
    <nc r="R7">
      <v>0</v>
    </nc>
  </rcc>
  <rcc rId="10053" sId="7" numFmtId="4">
    <nc r="S7">
      <v>0</v>
    </nc>
  </rcc>
  <rcc rId="10054" sId="7" numFmtId="19">
    <oc r="C5">
      <v>45444</v>
    </oc>
    <nc r="C5">
      <v>45474</v>
    </nc>
  </rcc>
  <rcc rId="10055" sId="7" numFmtId="19">
    <oc r="D5">
      <v>45444</v>
    </oc>
    <nc r="D5">
      <v>45474</v>
    </nc>
  </rcc>
  <rcc rId="10056" sId="7" numFmtId="19">
    <oc r="E5">
      <v>45444</v>
    </oc>
    <nc r="E5">
      <v>45474</v>
    </nc>
  </rcc>
  <rcc rId="10057" sId="7" numFmtId="34">
    <nc r="R41">
      <v>0</v>
    </nc>
  </rcc>
  <rcc rId="10058" sId="7" numFmtId="34">
    <nc r="S41">
      <v>0</v>
    </nc>
  </rcc>
  <rcc rId="10059" sId="7" numFmtId="34">
    <nc r="R42">
      <v>0</v>
    </nc>
  </rcc>
  <rcc rId="10060" sId="7" numFmtId="34">
    <nc r="S42">
      <v>0</v>
    </nc>
  </rcc>
  <rcc rId="10061" sId="7" numFmtId="34">
    <nc r="R29">
      <v>0</v>
    </nc>
  </rcc>
  <rcc rId="10062" sId="7" numFmtId="34">
    <nc r="S29">
      <v>0</v>
    </nc>
  </rcc>
  <rcc rId="10063" sId="7" numFmtId="34">
    <nc r="S43">
      <v>0</v>
    </nc>
  </rcc>
  <rcc rId="10064" sId="7" numFmtId="34">
    <nc r="R43">
      <v>0</v>
    </nc>
  </rcc>
  <rcc rId="10065" sId="7" numFmtId="34">
    <nc r="R70">
      <v>0</v>
    </nc>
  </rcc>
  <rcc rId="10066" sId="7" numFmtId="34">
    <nc r="S70">
      <v>0</v>
    </nc>
  </rcc>
  <rcc rId="10067" sId="7" numFmtId="34">
    <nc r="R69">
      <v>0</v>
    </nc>
  </rcc>
  <rcc rId="10068" sId="7" numFmtId="34">
    <nc r="S69">
      <v>0</v>
    </nc>
  </rcc>
  <rcc rId="10069" sId="7" numFmtId="34">
    <nc r="R79">
      <v>0</v>
    </nc>
  </rcc>
  <rcc rId="10070" sId="7" numFmtId="34">
    <nc r="S79">
      <v>0</v>
    </nc>
  </rcc>
  <rcc rId="10071" sId="7" numFmtId="34">
    <nc r="R78">
      <v>0</v>
    </nc>
  </rcc>
  <rcc rId="10072" sId="7" numFmtId="34">
    <nc r="S78">
      <v>0</v>
    </nc>
  </rcc>
  <rcc rId="10073" sId="7" numFmtId="34">
    <nc r="R94">
      <v>0</v>
    </nc>
  </rcc>
  <rcc rId="10074" sId="7" numFmtId="34">
    <nc r="S94">
      <v>0</v>
    </nc>
  </rcc>
  <rcc rId="10075" sId="7">
    <nc r="R108">
      <v>0</v>
    </nc>
  </rcc>
  <rcc rId="10076" sId="7">
    <nc r="S108">
      <v>0</v>
    </nc>
  </rcc>
  <rcc rId="10077" sId="7" numFmtId="34">
    <nc r="R110">
      <v>0</v>
    </nc>
  </rcc>
  <rcc rId="10078" sId="7" numFmtId="34">
    <nc r="R111">
      <v>0</v>
    </nc>
  </rcc>
  <rcc rId="10079" sId="7" numFmtId="34">
    <nc r="S110">
      <v>0</v>
    </nc>
  </rcc>
  <rcc rId="10080" sId="7" numFmtId="34">
    <nc r="S111">
      <v>0</v>
    </nc>
  </rcc>
  <rcc rId="10081" sId="7" numFmtId="34">
    <nc r="R114">
      <v>0</v>
    </nc>
  </rcc>
  <rcc rId="10082" sId="7" numFmtId="34">
    <nc r="S114">
      <v>0</v>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07" sId="15" numFmtId="19">
    <oc r="C7">
      <v>45474</v>
    </oc>
    <nc r="C7">
      <v>45505</v>
    </nc>
  </rcc>
  <rcc rId="10408" sId="15" numFmtId="19">
    <oc r="D7">
      <v>45474</v>
    </oc>
    <nc r="D7">
      <v>45505</v>
    </nc>
  </rcc>
  <rcc rId="10409" sId="15" numFmtId="19">
    <oc r="E7">
      <v>45474</v>
    </oc>
    <nc r="E7">
      <v>45505</v>
    </nc>
  </rcc>
  <rfmt sheetId="15" sqref="T6:U6">
    <dxf>
      <fill>
        <patternFill patternType="solid">
          <bgColor theme="0" tint="-4.9989318521683403E-2"/>
        </patternFill>
      </fill>
    </dxf>
  </rfmt>
  <rcc rId="10410" sId="15" numFmtId="4">
    <oc r="T14">
      <v>5228.58</v>
    </oc>
    <nc r="T14">
      <v>5427.72</v>
    </nc>
  </rcc>
  <rcc rId="10411" sId="15" numFmtId="4">
    <oc r="U14">
      <v>0</v>
    </oc>
    <nc r="U14">
      <v>5157.1899999999996</v>
    </nc>
  </rcc>
  <rcc rId="10412" sId="15" numFmtId="4">
    <oc r="V14">
      <v>4550</v>
    </oc>
    <nc r="V14">
      <v>4560.5</v>
    </nc>
  </rcc>
  <rcc rId="10413" sId="15" numFmtId="4">
    <oc r="AD14">
      <v>5933.73</v>
    </oc>
    <nc r="AD14">
      <v>5724.09</v>
    </nc>
  </rcc>
  <rcc rId="10414" sId="15">
    <oc r="C14">
      <f>H14+J14+L14+N14+P14+R14</f>
    </oc>
    <nc r="C14">
      <f>H14+J14+L14+N14+P14+R14+T14</f>
    </nc>
  </rcc>
  <rcc rId="10415" sId="15">
    <oc r="D14">
      <f>I14+K14+M14+O14+Q14+S14</f>
    </oc>
    <nc r="D14">
      <f>I14+K14+M14+O14+Q14+S14+U14</f>
    </nc>
  </rcc>
  <rcc rId="10416" sId="15">
    <oc r="E14">
      <f>I14+K14+M14+O14+Q14+S14</f>
    </oc>
    <nc r="E14">
      <f>I14+K14+M14+O14+Q14+S14+U14</f>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17" sId="15">
    <oc r="AF14" t="inlineStr">
      <is>
        <t xml:space="preserve">Неисполнение плановых ассигнований в размере 2 537,34 тыс. рублей по заработной плате и начислениям на выплаты по оплате труда, в связи с наличием вакансий, предоставлением листов нетрудоспособности </t>
      </is>
    </oc>
    <nc r="AF14" t="inlineStr">
      <is>
        <t xml:space="preserve">Неисполнение плановых ассигнований в размере 2 807,87 тыс. рублей по заработной плате и начислениям на выплаты по оплате труда, в связи с наличием вакансий, предоставлением листов нетрудоспособности </t>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H11" start="0" length="0">
    <dxf>
      <font>
        <sz val="12"/>
        <name val="Times New Roman"/>
        <scheme val="none"/>
      </font>
    </dxf>
  </rfmt>
  <rfmt sheetId="5" sqref="I11" start="0" length="0">
    <dxf>
      <font>
        <sz val="12"/>
        <name val="Times New Roman"/>
        <scheme val="none"/>
      </font>
    </dxf>
  </rfmt>
  <rfmt sheetId="5" sqref="J11" start="0" length="0">
    <dxf>
      <font>
        <sz val="12"/>
        <name val="Times New Roman"/>
        <scheme val="none"/>
      </font>
    </dxf>
  </rfmt>
  <rfmt sheetId="5" sqref="K11" start="0" length="0">
    <dxf>
      <font>
        <sz val="12"/>
        <name val="Times New Roman"/>
        <scheme val="none"/>
      </font>
    </dxf>
  </rfmt>
  <rfmt sheetId="5" sqref="L11" start="0" length="0">
    <dxf>
      <font>
        <sz val="12"/>
        <name val="Times New Roman"/>
        <scheme val="none"/>
      </font>
    </dxf>
  </rfmt>
  <rfmt sheetId="5" sqref="M11" start="0" length="0">
    <dxf>
      <font>
        <sz val="12"/>
        <name val="Times New Roman"/>
        <scheme val="none"/>
      </font>
    </dxf>
  </rfmt>
  <rfmt sheetId="5" sqref="N11" start="0" length="0">
    <dxf>
      <font>
        <sz val="12"/>
        <name val="Times New Roman"/>
        <scheme val="none"/>
      </font>
    </dxf>
  </rfmt>
  <rfmt sheetId="5" sqref="O11" start="0" length="0">
    <dxf>
      <font>
        <sz val="12"/>
        <name val="Times New Roman"/>
        <scheme val="none"/>
      </font>
    </dxf>
  </rfmt>
  <rfmt sheetId="5" sqref="P11" start="0" length="0">
    <dxf>
      <font>
        <sz val="12"/>
        <name val="Times New Roman"/>
        <scheme val="none"/>
      </font>
    </dxf>
  </rfmt>
  <rfmt sheetId="5" sqref="Q11" start="0" length="0">
    <dxf>
      <font>
        <sz val="12"/>
        <name val="Times New Roman"/>
        <scheme val="none"/>
      </font>
    </dxf>
  </rfmt>
  <rfmt sheetId="5" sqref="R11" start="0" length="0">
    <dxf>
      <font>
        <sz val="12"/>
        <name val="Times New Roman"/>
        <scheme val="none"/>
      </font>
    </dxf>
  </rfmt>
  <rfmt sheetId="5" sqref="S11" start="0" length="0">
    <dxf>
      <font>
        <sz val="12"/>
        <name val="Times New Roman"/>
        <scheme val="none"/>
      </font>
    </dxf>
  </rfmt>
  <rcc rId="10418" sId="5" odxf="1" dxf="1" numFmtId="4">
    <oc r="T11">
      <v>2850.2550000000001</v>
    </oc>
    <nc r="T11">
      <v>2976.3670000000002</v>
    </nc>
    <odxf>
      <font>
        <sz val="12"/>
        <name val="Times New Roman"/>
        <scheme val="none"/>
      </font>
    </odxf>
    <ndxf>
      <font>
        <sz val="12"/>
        <name val="Times New Roman"/>
        <scheme val="none"/>
      </font>
    </ndxf>
  </rcc>
  <rcc rId="10419" sId="5" odxf="1" dxf="1" numFmtId="4">
    <oc r="U11">
      <v>0</v>
    </oc>
    <nc r="U11">
      <v>9233.5750000000007</v>
    </nc>
    <odxf>
      <font>
        <sz val="12"/>
        <name val="Times New Roman"/>
        <scheme val="none"/>
      </font>
    </odxf>
    <ndxf>
      <font>
        <sz val="12"/>
        <name val="Times New Roman"/>
        <scheme val="none"/>
      </font>
    </ndxf>
  </rcc>
  <rcc rId="10420" sId="5" odxf="1" dxf="1" numFmtId="4">
    <oc r="V11">
      <v>2309.23</v>
    </oc>
    <nc r="V11">
      <v>2536.33</v>
    </nc>
    <odxf>
      <font>
        <sz val="12"/>
        <name val="Times New Roman"/>
        <scheme val="none"/>
      </font>
    </odxf>
    <ndxf>
      <font>
        <sz val="12"/>
        <name val="Times New Roman"/>
        <scheme val="none"/>
      </font>
    </ndxf>
  </rcc>
  <rfmt sheetId="5" sqref="W11" start="0" length="0">
    <dxf>
      <font>
        <sz val="12"/>
        <name val="Times New Roman"/>
        <scheme val="none"/>
      </font>
    </dxf>
  </rfmt>
  <rcc rId="10421" sId="5" odxf="1" dxf="1" numFmtId="4">
    <oc r="X11">
      <v>2292.2179999999998</v>
    </oc>
    <nc r="X11">
      <v>2363.1950000000002</v>
    </nc>
    <odxf>
      <font>
        <sz val="12"/>
        <name val="Times New Roman"/>
        <scheme val="none"/>
      </font>
    </odxf>
    <ndxf>
      <font>
        <sz val="12"/>
        <name val="Times New Roman"/>
        <scheme val="none"/>
      </font>
    </ndxf>
  </rcc>
  <rfmt sheetId="5" sqref="Y11" start="0" length="0">
    <dxf>
      <font>
        <sz val="12"/>
        <name val="Times New Roman"/>
        <scheme val="none"/>
      </font>
    </dxf>
  </rfmt>
  <rcc rId="10422" sId="5" odxf="1" dxf="1" numFmtId="4">
    <oc r="Z11">
      <v>3478.2260000000001</v>
    </oc>
    <nc r="Z11">
      <v>3509.5329999999999</v>
    </nc>
    <odxf>
      <font>
        <sz val="12"/>
        <name val="Times New Roman"/>
        <scheme val="none"/>
      </font>
    </odxf>
    <ndxf>
      <font>
        <sz val="12"/>
        <name val="Times New Roman"/>
        <scheme val="none"/>
      </font>
    </ndxf>
  </rcc>
  <rfmt sheetId="5" sqref="AA11" start="0" length="0">
    <dxf>
      <font>
        <sz val="12"/>
        <name val="Times New Roman"/>
        <scheme val="none"/>
      </font>
    </dxf>
  </rfmt>
  <rcc rId="10423" sId="5" odxf="1" dxf="1" numFmtId="4">
    <oc r="AB11">
      <v>2353.192</v>
    </oc>
    <nc r="AB11">
      <v>2420.1689999999999</v>
    </nc>
    <odxf>
      <font>
        <sz val="12"/>
        <name val="Times New Roman"/>
        <scheme val="none"/>
      </font>
    </odxf>
    <ndxf>
      <font>
        <sz val="12"/>
        <name val="Times New Roman"/>
        <scheme val="none"/>
      </font>
    </ndxf>
  </rcc>
  <rfmt sheetId="5" sqref="AC11" start="0" length="0">
    <dxf>
      <font>
        <sz val="12"/>
        <name val="Times New Roman"/>
        <scheme val="none"/>
      </font>
    </dxf>
  </rfmt>
  <rcc rId="10424" sId="5" odxf="1" dxf="1" numFmtId="4">
    <oc r="AD11">
      <v>3254.607</v>
    </oc>
    <nc r="AD11">
      <v>2732.1149999999998</v>
    </nc>
    <odxf>
      <font>
        <sz val="12"/>
        <name val="Times New Roman"/>
        <scheme val="none"/>
      </font>
    </odxf>
    <ndxf>
      <font>
        <sz val="12"/>
        <name val="Times New Roman"/>
        <scheme val="none"/>
      </font>
    </ndxf>
  </rcc>
  <rfmt sheetId="5" sqref="AE11" start="0" length="0">
    <dxf>
      <font>
        <sz val="12"/>
        <name val="Times New Roman"/>
        <scheme val="none"/>
      </font>
    </dxf>
  </rfmt>
  <rcc rId="10425" sId="5" numFmtId="19">
    <oc r="C5">
      <v>45413</v>
    </oc>
    <nc r="C5">
      <v>45505</v>
    </nc>
  </rcc>
  <rcc rId="10426" sId="5" numFmtId="19">
    <oc r="D5">
      <v>45413</v>
    </oc>
    <nc r="D5">
      <v>45505</v>
    </nc>
  </rcc>
  <rcc rId="10427" sId="5" numFmtId="19">
    <oc r="E5">
      <v>45413</v>
    </oc>
    <nc r="E5">
      <v>45505</v>
    </nc>
  </rcc>
  <rcc rId="10428" sId="5">
    <oc r="C11">
      <f>H11+J11+L11+N11+P11+R11</f>
    </oc>
    <nc r="C11">
      <f>H11+J11+L11+N11+P11+R11+T11</f>
    </nc>
  </rcc>
  <rcc rId="10429" sId="5">
    <oc r="D11">
      <f>H11+J11+L11+N11+P11+R11</f>
    </oc>
    <nc r="D11">
      <f>H11+J11+L11+N11+P11+R11+T11</f>
    </nc>
  </rcc>
  <rcc rId="10430" sId="5">
    <oc r="E11">
      <f>I11+K11+M11+O11+Q11+S11</f>
    </oc>
    <nc r="E11">
      <f>I11+K11+M11+O11+Q11+S11+U11</f>
    </nc>
  </rcc>
  <rfmt sheetId="5" sqref="H11:AE11" start="0" length="2147483647">
    <dxf>
      <font>
        <sz val="12"/>
      </font>
    </dxf>
  </rfmt>
  <rfmt sheetId="5" sqref="H25" start="0" length="0">
    <dxf>
      <font>
        <sz val="12"/>
        <name val="Times New Roman"/>
        <scheme val="none"/>
      </font>
    </dxf>
  </rfmt>
  <rfmt sheetId="5" sqref="I25" start="0" length="0">
    <dxf>
      <font>
        <sz val="12"/>
        <name val="Times New Roman"/>
        <scheme val="none"/>
      </font>
    </dxf>
  </rfmt>
  <rfmt sheetId="5" sqref="J25" start="0" length="0">
    <dxf>
      <font>
        <sz val="12"/>
        <name val="Times New Roman"/>
        <scheme val="none"/>
      </font>
    </dxf>
  </rfmt>
  <rfmt sheetId="5" sqref="K25" start="0" length="0">
    <dxf>
      <font>
        <sz val="12"/>
        <name val="Times New Roman"/>
        <scheme val="none"/>
      </font>
    </dxf>
  </rfmt>
  <rfmt sheetId="5" sqref="L25" start="0" length="0">
    <dxf>
      <font>
        <sz val="12"/>
        <name val="Times New Roman"/>
        <scheme val="none"/>
      </font>
    </dxf>
  </rfmt>
  <rfmt sheetId="5" sqref="M25" start="0" length="0">
    <dxf>
      <font>
        <sz val="12"/>
        <name val="Times New Roman"/>
        <scheme val="none"/>
      </font>
    </dxf>
  </rfmt>
  <rfmt sheetId="5" sqref="N25" start="0" length="0">
    <dxf>
      <font>
        <sz val="12"/>
        <name val="Times New Roman"/>
        <scheme val="none"/>
      </font>
    </dxf>
  </rfmt>
  <rfmt sheetId="5" sqref="O25" start="0" length="0">
    <dxf>
      <font>
        <sz val="12"/>
        <name val="Times New Roman"/>
        <scheme val="none"/>
      </font>
    </dxf>
  </rfmt>
  <rfmt sheetId="5" sqref="P25" start="0" length="0">
    <dxf>
      <font>
        <sz val="12"/>
        <name val="Times New Roman"/>
        <scheme val="none"/>
      </font>
    </dxf>
  </rfmt>
  <rfmt sheetId="5" sqref="Q25" start="0" length="0">
    <dxf>
      <font>
        <sz val="12"/>
        <name val="Times New Roman"/>
        <scheme val="none"/>
      </font>
    </dxf>
  </rfmt>
  <rcc rId="10431" sId="5" odxf="1" dxf="1" numFmtId="4">
    <oc r="R25">
      <v>3003.8290000000002</v>
    </oc>
    <nc r="R25">
      <v>3033.8290000000002</v>
    </nc>
    <odxf>
      <font>
        <sz val="12"/>
        <name val="Times New Roman"/>
        <scheme val="none"/>
      </font>
    </odxf>
    <ndxf>
      <font>
        <sz val="12"/>
        <name val="Times New Roman"/>
        <scheme val="none"/>
      </font>
    </ndxf>
  </rcc>
  <rfmt sheetId="5" sqref="S25" start="0" length="0">
    <dxf>
      <font>
        <sz val="12"/>
        <name val="Times New Roman"/>
        <scheme val="none"/>
      </font>
    </dxf>
  </rfmt>
  <rcc rId="10432" sId="5" odxf="1" dxf="1" numFmtId="4">
    <oc r="T25">
      <v>3484.1570000000002</v>
    </oc>
    <nc r="T25">
      <v>3486.8380000000002</v>
    </nc>
    <odxf>
      <font>
        <sz val="12"/>
        <name val="Times New Roman"/>
        <scheme val="none"/>
      </font>
    </odxf>
    <ndxf>
      <font>
        <sz val="12"/>
        <name val="Times New Roman"/>
        <scheme val="none"/>
      </font>
    </ndxf>
  </rcc>
  <rcc rId="10433" sId="5" odxf="1" dxf="1" numFmtId="4">
    <oc r="U25">
      <v>0</v>
    </oc>
    <nc r="U25">
      <v>4037.6729999999998</v>
    </nc>
    <odxf>
      <font>
        <sz val="12"/>
        <name val="Times New Roman"/>
        <scheme val="none"/>
      </font>
    </odxf>
    <ndxf>
      <font>
        <sz val="12"/>
        <name val="Times New Roman"/>
        <scheme val="none"/>
      </font>
    </ndxf>
  </rcc>
  <rfmt sheetId="5" sqref="V25" start="0" length="0">
    <dxf>
      <font>
        <sz val="12"/>
        <name val="Times New Roman"/>
        <scheme val="none"/>
      </font>
    </dxf>
  </rfmt>
  <rfmt sheetId="5" sqref="W25" start="0" length="0">
    <dxf>
      <font>
        <sz val="12"/>
        <name val="Times New Roman"/>
        <scheme val="none"/>
      </font>
    </dxf>
  </rfmt>
  <rfmt sheetId="5" sqref="X25" start="0" length="0">
    <dxf>
      <font>
        <sz val="12"/>
        <name val="Times New Roman"/>
        <scheme val="none"/>
      </font>
    </dxf>
  </rfmt>
  <rfmt sheetId="5" sqref="Y25" start="0" length="0">
    <dxf>
      <font>
        <sz val="12"/>
        <name val="Times New Roman"/>
        <scheme val="none"/>
      </font>
    </dxf>
  </rfmt>
  <rcc rId="10434" sId="5" odxf="1" dxf="1" numFmtId="4">
    <oc r="Z25">
      <v>2422.62</v>
    </oc>
    <nc r="Z25">
      <v>2419.9389999999999</v>
    </nc>
    <odxf>
      <font>
        <sz val="12"/>
        <name val="Times New Roman"/>
        <scheme val="none"/>
      </font>
    </odxf>
    <ndxf>
      <font>
        <sz val="12"/>
        <name val="Times New Roman"/>
        <scheme val="none"/>
      </font>
    </ndxf>
  </rcc>
  <rfmt sheetId="5" sqref="AA25" start="0" length="0">
    <dxf>
      <font>
        <sz val="12"/>
        <name val="Times New Roman"/>
        <scheme val="none"/>
      </font>
    </dxf>
  </rfmt>
  <rfmt sheetId="5" sqref="AB25" start="0" length="0">
    <dxf>
      <font>
        <sz val="12"/>
        <name val="Times New Roman"/>
        <scheme val="none"/>
      </font>
    </dxf>
  </rfmt>
  <rfmt sheetId="5" sqref="AC25" start="0" length="0">
    <dxf>
      <font>
        <sz val="12"/>
        <name val="Times New Roman"/>
        <scheme val="none"/>
      </font>
    </dxf>
  </rfmt>
  <rcc rId="10435" sId="5" odxf="1" dxf="1" numFmtId="4">
    <oc r="AD25">
      <v>5379.4709999999995</v>
    </oc>
    <nc r="AD25">
      <v>5349.4709999999995</v>
    </nc>
    <odxf>
      <font>
        <sz val="12"/>
        <name val="Times New Roman"/>
        <scheme val="none"/>
      </font>
    </odxf>
    <ndxf>
      <font>
        <sz val="12"/>
        <name val="Times New Roman"/>
        <scheme val="none"/>
      </font>
    </ndxf>
  </rcc>
  <rfmt sheetId="5" sqref="AE25" start="0" length="0">
    <dxf>
      <font>
        <sz val="12"/>
        <name val="Times New Roman"/>
        <scheme val="none"/>
      </font>
    </dxf>
  </rfmt>
  <rfmt sheetId="5" sqref="H25:AE25" start="0" length="2147483647">
    <dxf>
      <font>
        <sz val="12"/>
      </font>
    </dxf>
  </rfmt>
  <rcc rId="10436" sId="5">
    <oc r="C25">
      <f>H25+J25+L25+N25+P25+R25</f>
    </oc>
    <nc r="C25">
      <f>H25+J25+L25+N25+P25+R25+T25</f>
    </nc>
  </rcc>
  <rcc rId="10437" sId="5">
    <oc r="D25">
      <f>H25+J25+L25+N25+P25+R25</f>
    </oc>
    <nc r="D25">
      <f>H25+J25+L25+N25+P25+R25+T25</f>
    </nc>
  </rcc>
  <rcc rId="10438" sId="5">
    <oc r="E25">
      <f>I25+K25+M25+O25+Q25+S25</f>
    </oc>
    <nc r="E25">
      <f>I25+K25+M25+O25+Q25+S25+U25</f>
    </nc>
  </rcc>
  <rcc rId="10439" sId="5">
    <oc r="AF29" t="inlineStr">
      <is>
        <t xml:space="preserve">Отклонение от плана составляет 6588,86тыс.руб. в том числе:
1. 2690,2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683,6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895,28 тыс.руб.  -неисполнение субсидии по статье начисления на оплату труда возникло в связи с оплатой страховых взносов в июле 2024г.
4.  22,86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40,29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769,46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132,02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204,31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286,2тыс.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483,13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203,64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85,44 тыс.руб. неисполнение субсидии по статье  оплата земельного и  транспортного налога, оплата будет произведена согласно декларации
13. 62,85 тыс. руб. неисполнение по статье расходов  пособий по уходу за ребенком инвалидом, оплата  произведена по факту предоставленных документов
14. 29,58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t>
      </is>
    </oc>
    <nc r="AF29"/>
  </rcc>
  <rfmt sheetId="5" sqref="H31" start="0" length="0">
    <dxf>
      <font>
        <sz val="12"/>
        <name val="Times New Roman"/>
        <scheme val="none"/>
      </font>
    </dxf>
  </rfmt>
  <rfmt sheetId="5" sqref="I31" start="0" length="0">
    <dxf>
      <font>
        <sz val="12"/>
        <name val="Times New Roman"/>
        <scheme val="none"/>
      </font>
    </dxf>
  </rfmt>
  <rfmt sheetId="5" sqref="J31" start="0" length="0">
    <dxf>
      <font>
        <sz val="12"/>
        <name val="Times New Roman"/>
        <scheme val="none"/>
      </font>
    </dxf>
  </rfmt>
  <rfmt sheetId="5" sqref="K31" start="0" length="0">
    <dxf>
      <font>
        <sz val="12"/>
        <name val="Times New Roman"/>
        <scheme val="none"/>
      </font>
    </dxf>
  </rfmt>
  <rfmt sheetId="5" sqref="L31" start="0" length="0">
    <dxf>
      <font>
        <sz val="12"/>
        <name val="Times New Roman"/>
        <scheme val="none"/>
      </font>
    </dxf>
  </rfmt>
  <rfmt sheetId="5" sqref="M31" start="0" length="0">
    <dxf>
      <font>
        <sz val="12"/>
        <name val="Times New Roman"/>
        <scheme val="none"/>
      </font>
    </dxf>
  </rfmt>
  <rfmt sheetId="5" sqref="N31" start="0" length="0">
    <dxf>
      <font>
        <sz val="12"/>
        <name val="Times New Roman"/>
        <scheme val="none"/>
      </font>
    </dxf>
  </rfmt>
  <rfmt sheetId="5" sqref="O31" start="0" length="0">
    <dxf>
      <font>
        <sz val="12"/>
        <name val="Times New Roman"/>
        <scheme val="none"/>
      </font>
    </dxf>
  </rfmt>
  <rfmt sheetId="5" sqref="P31" start="0" length="0">
    <dxf>
      <font>
        <sz val="12"/>
        <name val="Times New Roman"/>
        <scheme val="none"/>
      </font>
    </dxf>
  </rfmt>
  <rfmt sheetId="5" sqref="Q31" start="0" length="0">
    <dxf>
      <font>
        <sz val="12"/>
        <name val="Times New Roman"/>
        <scheme val="none"/>
      </font>
    </dxf>
  </rfmt>
  <rfmt sheetId="5" sqref="R31" start="0" length="0">
    <dxf>
      <font>
        <sz val="12"/>
        <name val="Times New Roman"/>
        <scheme val="none"/>
      </font>
    </dxf>
  </rfmt>
  <rfmt sheetId="5" sqref="S31" start="0" length="0">
    <dxf>
      <font>
        <sz val="12"/>
        <name val="Times New Roman"/>
        <scheme val="none"/>
      </font>
    </dxf>
  </rfmt>
  <rfmt sheetId="5" sqref="T31" start="0" length="0">
    <dxf>
      <font>
        <sz val="12"/>
        <name val="Times New Roman"/>
        <scheme val="none"/>
      </font>
    </dxf>
  </rfmt>
  <rcc rId="10440" sId="5" odxf="1" dxf="1" numFmtId="4">
    <nc r="U31">
      <v>7421.77</v>
    </nc>
    <odxf>
      <font>
        <sz val="12"/>
        <name val="Times New Roman"/>
        <scheme val="none"/>
      </font>
    </odxf>
    <ndxf>
      <font>
        <sz val="12"/>
        <name val="Times New Roman"/>
        <scheme val="none"/>
      </font>
    </ndxf>
  </rcc>
  <rfmt sheetId="5" sqref="V31" start="0" length="0">
    <dxf>
      <font>
        <sz val="12"/>
        <name val="Times New Roman"/>
        <scheme val="none"/>
      </font>
    </dxf>
  </rfmt>
  <rfmt sheetId="5" sqref="W31" start="0" length="0">
    <dxf>
      <font>
        <sz val="12"/>
        <name val="Times New Roman"/>
        <scheme val="none"/>
      </font>
    </dxf>
  </rfmt>
  <rfmt sheetId="5" sqref="X31" start="0" length="0">
    <dxf>
      <font>
        <sz val="12"/>
        <name val="Times New Roman"/>
        <scheme val="none"/>
      </font>
    </dxf>
  </rfmt>
  <rfmt sheetId="5" sqref="Y31" start="0" length="0">
    <dxf>
      <font>
        <sz val="12"/>
        <name val="Times New Roman"/>
        <scheme val="none"/>
      </font>
    </dxf>
  </rfmt>
  <rfmt sheetId="5" sqref="Z31" start="0" length="0">
    <dxf>
      <font>
        <sz val="12"/>
        <name val="Times New Roman"/>
        <scheme val="none"/>
      </font>
    </dxf>
  </rfmt>
  <rfmt sheetId="5" sqref="AA31" start="0" length="0">
    <dxf>
      <font>
        <sz val="12"/>
        <name val="Times New Roman"/>
        <scheme val="none"/>
      </font>
    </dxf>
  </rfmt>
  <rfmt sheetId="5" sqref="AB31" start="0" length="0">
    <dxf>
      <font>
        <sz val="12"/>
        <name val="Times New Roman"/>
        <scheme val="none"/>
      </font>
    </dxf>
  </rfmt>
  <rfmt sheetId="5" sqref="AC31" start="0" length="0">
    <dxf>
      <font>
        <sz val="12"/>
        <name val="Times New Roman"/>
        <scheme val="none"/>
      </font>
    </dxf>
  </rfmt>
  <rfmt sheetId="5" sqref="AD31" start="0" length="0">
    <dxf>
      <font>
        <sz val="12"/>
        <name val="Times New Roman"/>
        <scheme val="none"/>
      </font>
    </dxf>
  </rfmt>
  <rfmt sheetId="5" sqref="AE31" start="0" length="0">
    <dxf>
      <font>
        <sz val="12"/>
        <name val="Times New Roman"/>
        <scheme val="none"/>
      </font>
    </dxf>
  </rfmt>
  <rfmt sheetId="5" sqref="H31:AE31" start="0" length="2147483647">
    <dxf>
      <font>
        <sz val="12"/>
      </font>
    </dxf>
  </rfmt>
  <rcc rId="10441" sId="5">
    <oc r="C31">
      <f>H31+J31+L31+N31+P31+R31</f>
    </oc>
    <nc r="C31">
      <f>H31+J31+L31+N31+P31+R31+T31</f>
    </nc>
  </rcc>
  <rcc rId="10442" sId="5">
    <oc r="D31">
      <f>H31+J31+L31+N31+P31+R31</f>
    </oc>
    <nc r="D31">
      <f>H31+J31+L31+N31+P31+R31+T31</f>
    </nc>
  </rcc>
  <rcc rId="10443" sId="5">
    <oc r="E31">
      <f>I31+K31+M31+O31+Q31+S31</f>
    </oc>
    <nc r="E31">
      <f>I31+K31+M31+O31+Q31+S31+U31</f>
    </nc>
  </rcc>
  <rfmt sheetId="5" xfDxf="1" s="1" sqref="AF37" start="0" length="0">
    <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rfmt>
  <rfmt sheetId="5" xfDxf="1" s="1" sqref="AF38" start="0" length="0">
    <dxf>
      <font>
        <b val="0"/>
        <i val="0"/>
        <strike val="0"/>
        <condense val="0"/>
        <extend val="0"/>
        <outline val="0"/>
        <shadow val="0"/>
        <u val="none"/>
        <vertAlign val="baseline"/>
        <sz val="12"/>
        <color indexed="8"/>
        <name val="Times New Roman"/>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dxf>
  </rfmt>
  <rfmt sheetId="5" sqref="AF37:AF38">
    <dxf>
      <alignment wrapText="0" readingOrder="0"/>
    </dxf>
  </rfmt>
  <rfmt sheetId="5" sqref="AF36" start="0" length="0">
    <dxf>
      <alignment vertical="top" wrapText="1" readingOrder="0"/>
    </dxf>
  </rfmt>
  <rfmt sheetId="5" sqref="AF36">
    <dxf>
      <alignment wrapText="0" readingOrder="0"/>
    </dxf>
  </rfmt>
  <rcc rId="10444" sId="5" xfDxf="1" s="1" dxf="1">
    <oc r="AF37" t="inlineStr">
      <is>
        <t xml:space="preserve">Остаток плана на 01.07.2024г. составляет 7309,08 тыс.руб., в том числе:                                                                                                                                                                                                                                                                                                                          1) 1506,69 тыс.руб. - оплата труда гражданского персонала и начисления на них (выплата премии по итогам работы за 2023 год за фактически отработанное время, наличие вакансий), оплата листа по временной нетрудоспособности за счет работодателя за первые три дня по факту), проезд в отпуск и обратно;
2) 703,78 тыс.руб. - в связи с фактическими расходами на услуги связи;
3) 1116,94 тыс.руб. -  в связи с фактическими расходами на оплату коммунальных услуг согласно показаниям приборов учета;
4) 721,95 тыс.руб. - в связи с фактическими расходами (замена расходных материалов) на оплату услуг: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5) 8,61 тыс.руб. - предоставление права использования системы "Контур-Экстерн", тех.поддержка программного обеспечения "Кибер Бэкап", согласно коммерчеческих предложений заключено на меньшую сумму, чем было запланировано.
6) 489,07 руб. - по факту начисления налога на имущество;
7) 2762,04 руб. - оплата оргтехники по факту поставки товара. </t>
      </is>
    </oc>
    <nc r="AF37" t="inlineStr">
      <is>
        <r>
          <t xml:space="preserve">Остаток плана на </t>
        </r>
        <r>
          <rPr>
            <b/>
            <sz val="12"/>
            <rFont val="Times New Roman"/>
            <family val="1"/>
            <charset val="204"/>
          </rPr>
          <t xml:space="preserve">01.08.2024г. </t>
        </r>
        <r>
          <rPr>
            <sz val="12"/>
            <rFont val="Times New Roman"/>
            <family val="1"/>
            <charset val="204"/>
          </rPr>
          <t xml:space="preserve">составляет </t>
        </r>
        <r>
          <rPr>
            <b/>
            <sz val="12"/>
            <rFont val="Times New Roman"/>
            <family val="1"/>
            <charset val="204"/>
          </rPr>
          <t>9203,93 тыс.руб.</t>
        </r>
        <r>
          <rPr>
            <sz val="12"/>
            <rFont val="Times New Roman"/>
            <family val="1"/>
            <charset val="204"/>
          </rPr>
          <t>, в том числе:                                                                                                                                                                                                                                                                                                                          1) 1639,15 тыс.руб. - оплата труда гражданского персонала и начисления на них (выплата премии по итогам работы за 2023 год за фактически отработанное время, наличие вакансий), оплата листа по временной нетрудоспособности за счет работодателя за первые три дня по факту), проезд в отпуск и обратно;
2) 411,65 тыс.руб. - в связи с фактическими расходами на услуги связи;
3) 1113,25 тыс.руб. -  в связи с фактическими расходами на оплату коммунальных услуг согласно показаниям приборов учета;
4) 1801,24 тыс.руб. - в связи с фактическими расходами (замена расходных материалов) на оплату услуг: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t>
        </r>
        <r>
          <rPr>
            <sz val="12"/>
            <color rgb="FFFF0000"/>
            <rFont val="Times New Roman"/>
            <family val="1"/>
            <charset val="204"/>
          </rPr>
          <t xml:space="preserve">
</t>
        </r>
        <r>
          <rPr>
            <sz val="12"/>
            <rFont val="Times New Roman"/>
            <family val="1"/>
            <charset val="204"/>
          </rPr>
          <t>5) 58,87 тыс.руб. - предоставление права использования системы "Контур-Экстерн", тех.поддержка программного обеспечения "Кибер Бэкап", согласно коммерчеческих предложений заключено на меньшую сумму, чем было запланировано. Оплата за установку и настройку программно-аппаратного комплекса VipNet IDS NS1000 3.х. будет осуществлено по факту поставки оборудования.
6) 652,53 руб. - по факту начисления налога на имущество;
7) 3527,24 руб. - оплата оборудования, оргтехники, расходных материалок оргтехнике по факту поставки товара.</t>
        </r>
      </is>
    </nc>
    <n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ndxf>
  </rcc>
  <rfmt sheetId="5" xfDxf="1" s="1" sqref="AF38" start="0" length="0">
    <dxf>
      <font>
        <b val="0"/>
        <i val="0"/>
        <strike val="0"/>
        <condense val="0"/>
        <extend val="0"/>
        <outline val="0"/>
        <shadow val="0"/>
        <u val="none"/>
        <vertAlign val="baseline"/>
        <sz val="12"/>
        <color indexed="8"/>
        <name val="Times New Roman"/>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bottom style="thin">
          <color indexed="64"/>
        </bottom>
      </border>
      <protection locked="1" hidden="0"/>
    </dxf>
  </rfmt>
  <rcc rId="10445" sId="5">
    <oc r="C37">
      <f>H37+J37+L37+N37+P37</f>
    </oc>
    <nc r="C37">
      <f>H37+J37+L37+N37+P37+R37+T37</f>
    </nc>
  </rcc>
  <rcc rId="10446" sId="5">
    <oc r="E37">
      <f>I37+K37+M37+O37+Q37</f>
    </oc>
    <nc r="E37">
      <f>I37+K37+M37+O37+Q37+S37+U37</f>
    </nc>
  </rcc>
  <rfmt sheetId="5" sqref="H37" start="0" length="0">
    <dxf>
      <font>
        <sz val="12"/>
        <name val="Times New Roman"/>
        <scheme val="none"/>
      </font>
      <alignment vertical="center" readingOrder="0"/>
    </dxf>
  </rfmt>
  <rfmt sheetId="5" sqref="I37" start="0" length="0">
    <dxf>
      <font>
        <sz val="12"/>
        <name val="Times New Roman"/>
        <scheme val="none"/>
      </font>
      <alignment vertical="center" readingOrder="0"/>
    </dxf>
  </rfmt>
  <rfmt sheetId="5" sqref="J37" start="0" length="0">
    <dxf>
      <font>
        <sz val="12"/>
        <name val="Times New Roman"/>
        <scheme val="none"/>
      </font>
      <alignment vertical="center" readingOrder="0"/>
    </dxf>
  </rfmt>
  <rfmt sheetId="5" sqref="K37" start="0" length="0">
    <dxf>
      <font>
        <sz val="12"/>
        <name val="Times New Roman"/>
        <scheme val="none"/>
      </font>
      <alignment vertical="center" readingOrder="0"/>
    </dxf>
  </rfmt>
  <rfmt sheetId="5" sqref="L37" start="0" length="0">
    <dxf>
      <font>
        <sz val="12"/>
        <name val="Times New Roman"/>
        <scheme val="none"/>
      </font>
      <alignment vertical="center" readingOrder="0"/>
    </dxf>
  </rfmt>
  <rfmt sheetId="5" sqref="M37" start="0" length="0">
    <dxf>
      <font>
        <sz val="12"/>
        <name val="Times New Roman"/>
        <scheme val="none"/>
      </font>
      <alignment vertical="center" readingOrder="0"/>
    </dxf>
  </rfmt>
  <rfmt sheetId="5" sqref="N37" start="0" length="0">
    <dxf>
      <font>
        <sz val="12"/>
        <name val="Times New Roman"/>
        <scheme val="none"/>
      </font>
      <alignment vertical="center" readingOrder="0"/>
    </dxf>
  </rfmt>
  <rfmt sheetId="5" sqref="O37" start="0" length="0">
    <dxf>
      <font>
        <sz val="12"/>
        <name val="Times New Roman"/>
        <scheme val="none"/>
      </font>
      <alignment vertical="center" readingOrder="0"/>
    </dxf>
  </rfmt>
  <rfmt sheetId="5" sqref="P37" start="0" length="0">
    <dxf>
      <font>
        <sz val="12"/>
        <name val="Times New Roman"/>
        <scheme val="none"/>
      </font>
      <alignment vertical="center" readingOrder="0"/>
    </dxf>
  </rfmt>
  <rfmt sheetId="5" sqref="Q37" start="0" length="0">
    <dxf>
      <font>
        <sz val="12"/>
        <name val="Times New Roman"/>
        <scheme val="none"/>
      </font>
      <alignment vertical="center" readingOrder="0"/>
    </dxf>
  </rfmt>
  <rfmt sheetId="5" sqref="R37" start="0" length="0">
    <dxf>
      <font>
        <sz val="12"/>
        <name val="Times New Roman"/>
        <scheme val="none"/>
      </font>
      <alignment vertical="center" readingOrder="0"/>
    </dxf>
  </rfmt>
  <rfmt sheetId="5" sqref="S37" start="0" length="0">
    <dxf>
      <font>
        <sz val="12"/>
        <name val="Times New Roman"/>
        <scheme val="none"/>
      </font>
      <alignment vertical="center" readingOrder="0"/>
    </dxf>
  </rfmt>
  <rcc rId="10447" sId="5" odxf="1" dxf="1" numFmtId="4">
    <oc r="T37">
      <v>18656.772000000001</v>
    </oc>
    <nc r="T37">
      <v>20061.246999999999</v>
    </nc>
    <odxf>
      <font>
        <sz val="12"/>
        <name val="Times New Roman"/>
        <scheme val="none"/>
      </font>
      <alignment vertical="top" readingOrder="0"/>
    </odxf>
    <ndxf>
      <font>
        <sz val="12"/>
        <name val="Times New Roman"/>
        <scheme val="none"/>
      </font>
      <alignment vertical="center" readingOrder="0"/>
    </ndxf>
  </rcc>
  <rcc rId="10448" sId="5" odxf="1" dxf="1" numFmtId="4">
    <oc r="U37">
      <v>0</v>
    </oc>
    <nc r="U37">
      <v>18166.401000000002</v>
    </nc>
    <odxf>
      <font>
        <sz val="12"/>
        <name val="Times New Roman"/>
        <scheme val="none"/>
      </font>
      <alignment vertical="top" readingOrder="0"/>
    </odxf>
    <ndxf>
      <font>
        <sz val="12"/>
        <name val="Times New Roman"/>
        <scheme val="none"/>
      </font>
      <alignment vertical="center" readingOrder="0"/>
    </ndxf>
  </rcc>
  <rcc rId="10449" sId="5" odxf="1" dxf="1" numFmtId="4">
    <oc r="V37">
      <v>12519.42</v>
    </oc>
    <nc r="V37">
      <v>12834.387000000001</v>
    </nc>
    <odxf>
      <font>
        <sz val="12"/>
        <name val="Times New Roman"/>
        <scheme val="none"/>
      </font>
      <alignment vertical="top" readingOrder="0"/>
    </odxf>
    <ndxf>
      <font>
        <sz val="12"/>
        <name val="Times New Roman"/>
        <scheme val="none"/>
      </font>
      <alignment vertical="center" readingOrder="0"/>
    </ndxf>
  </rcc>
  <rfmt sheetId="5" sqref="W37" start="0" length="0">
    <dxf>
      <font>
        <sz val="12"/>
        <name val="Times New Roman"/>
        <scheme val="none"/>
      </font>
      <alignment vertical="center" readingOrder="0"/>
    </dxf>
  </rfmt>
  <rcc rId="10450" sId="5" odxf="1" dxf="1" numFmtId="4">
    <oc r="X37">
      <v>9121.1129999999994</v>
    </oc>
    <nc r="X37">
      <v>9138.68</v>
    </nc>
    <odxf>
      <font>
        <sz val="12"/>
        <name val="Times New Roman"/>
        <scheme val="none"/>
      </font>
      <alignment vertical="top" readingOrder="0"/>
    </odxf>
    <ndxf>
      <font>
        <sz val="12"/>
        <name val="Times New Roman"/>
        <scheme val="none"/>
      </font>
      <alignment vertical="center" readingOrder="0"/>
    </ndxf>
  </rcc>
  <rfmt sheetId="5" sqref="Y37" start="0" length="0">
    <dxf>
      <font>
        <sz val="12"/>
        <name val="Times New Roman"/>
        <scheme val="none"/>
      </font>
      <alignment vertical="center" readingOrder="0"/>
    </dxf>
  </rfmt>
  <rcc rId="10451" sId="5" odxf="1" dxf="1" numFmtId="4">
    <oc r="Z37">
      <v>13074.12</v>
    </oc>
    <nc r="Z37">
      <v>13091.684999999999</v>
    </nc>
    <odxf>
      <font>
        <sz val="12"/>
        <name val="Times New Roman"/>
        <scheme val="none"/>
      </font>
      <alignment vertical="top" readingOrder="0"/>
    </odxf>
    <ndxf>
      <font>
        <sz val="12"/>
        <name val="Times New Roman"/>
        <scheme val="none"/>
      </font>
      <alignment vertical="center" readingOrder="0"/>
    </ndxf>
  </rcc>
  <rfmt sheetId="5" sqref="AA37" start="0" length="0">
    <dxf>
      <font>
        <sz val="12"/>
        <name val="Times New Roman"/>
        <scheme val="none"/>
      </font>
      <alignment vertical="center" readingOrder="0"/>
    </dxf>
  </rfmt>
  <rcc rId="10452" sId="5" odxf="1" dxf="1" numFmtId="4">
    <oc r="AB37">
      <v>11958.134</v>
    </oc>
    <nc r="AB37">
      <v>10317.897000000001</v>
    </nc>
    <odxf>
      <font>
        <sz val="12"/>
        <name val="Times New Roman"/>
        <scheme val="none"/>
      </font>
      <alignment vertical="top" readingOrder="0"/>
    </odxf>
    <ndxf>
      <font>
        <sz val="12"/>
        <name val="Times New Roman"/>
        <scheme val="none"/>
      </font>
      <alignment vertical="center" readingOrder="0"/>
    </ndxf>
  </rcc>
  <rfmt sheetId="5" sqref="AC37" start="0" length="0">
    <dxf>
      <font>
        <sz val="12"/>
        <name val="Times New Roman"/>
        <scheme val="none"/>
      </font>
      <alignment vertical="center" readingOrder="0"/>
    </dxf>
  </rfmt>
  <rcc rId="10453" sId="5" odxf="1" dxf="1" numFmtId="4">
    <oc r="AD37">
      <v>13651.93</v>
    </oc>
    <nc r="AD37">
      <v>13537.592000000001</v>
    </nc>
    <odxf>
      <font>
        <sz val="12"/>
        <name val="Times New Roman"/>
        <scheme val="none"/>
      </font>
      <alignment vertical="top" readingOrder="0"/>
    </odxf>
    <ndxf>
      <font>
        <sz val="12"/>
        <name val="Times New Roman"/>
        <scheme val="none"/>
      </font>
      <alignment vertical="center" readingOrder="0"/>
    </ndxf>
  </rcc>
  <rfmt sheetId="5" sqref="AE37" start="0" length="0">
    <dxf>
      <font>
        <sz val="12"/>
        <name val="Times New Roman"/>
        <scheme val="none"/>
      </font>
      <alignment vertical="center" readingOrder="0"/>
    </dxf>
  </rfmt>
  <rfmt sheetId="5" sqref="H37:AE37">
    <dxf>
      <alignment vertical="bottom" readingOrder="0"/>
    </dxf>
  </rfmt>
  <rfmt sheetId="5" sqref="H37:AE37" start="0" length="2147483647">
    <dxf>
      <font>
        <sz val="12"/>
      </font>
    </dxf>
  </rfmt>
  <rfmt sheetId="5" sqref="H40" start="0" length="0">
    <dxf>
      <font>
        <sz val="12"/>
        <name val="Times New Roman"/>
        <scheme val="none"/>
      </font>
    </dxf>
  </rfmt>
  <rfmt sheetId="5" sqref="I40" start="0" length="0">
    <dxf>
      <font>
        <sz val="12"/>
        <name val="Times New Roman"/>
        <scheme val="none"/>
      </font>
    </dxf>
  </rfmt>
  <rfmt sheetId="5" sqref="J40" start="0" length="0">
    <dxf>
      <font>
        <sz val="12"/>
        <name val="Times New Roman"/>
        <scheme val="none"/>
      </font>
    </dxf>
  </rfmt>
  <rfmt sheetId="5" sqref="K40" start="0" length="0">
    <dxf>
      <font>
        <sz val="12"/>
        <name val="Times New Roman"/>
        <scheme val="none"/>
      </font>
    </dxf>
  </rfmt>
  <rfmt sheetId="5" sqref="L40" start="0" length="0">
    <dxf>
      <font>
        <sz val="12"/>
        <name val="Times New Roman"/>
        <scheme val="none"/>
      </font>
    </dxf>
  </rfmt>
  <rfmt sheetId="5" sqref="M40" start="0" length="0">
    <dxf>
      <font>
        <sz val="12"/>
        <name val="Times New Roman"/>
        <scheme val="none"/>
      </font>
    </dxf>
  </rfmt>
  <rfmt sheetId="5" sqref="N40" start="0" length="0">
    <dxf>
      <font>
        <sz val="12"/>
        <name val="Times New Roman"/>
        <scheme val="none"/>
      </font>
    </dxf>
  </rfmt>
  <rfmt sheetId="5" sqref="O40" start="0" length="0">
    <dxf>
      <font>
        <sz val="12"/>
        <name val="Times New Roman"/>
        <scheme val="none"/>
      </font>
    </dxf>
  </rfmt>
  <rfmt sheetId="5" sqref="P40" start="0" length="0">
    <dxf>
      <font>
        <sz val="12"/>
        <name val="Times New Roman"/>
        <scheme val="none"/>
      </font>
    </dxf>
  </rfmt>
  <rfmt sheetId="5" sqref="Q40" start="0" length="0">
    <dxf>
      <font>
        <sz val="12"/>
        <name val="Times New Roman"/>
        <scheme val="none"/>
      </font>
    </dxf>
  </rfmt>
  <rfmt sheetId="5" sqref="R40" start="0" length="0">
    <dxf>
      <font>
        <sz val="12"/>
        <name val="Times New Roman"/>
        <scheme val="none"/>
      </font>
    </dxf>
  </rfmt>
  <rfmt sheetId="5" sqref="S40" start="0" length="0">
    <dxf>
      <font>
        <sz val="12"/>
        <name val="Times New Roman"/>
        <scheme val="none"/>
      </font>
    </dxf>
  </rfmt>
  <rfmt sheetId="5" sqref="T40" start="0" length="0">
    <dxf>
      <font>
        <sz val="12"/>
        <name val="Times New Roman"/>
        <scheme val="none"/>
      </font>
    </dxf>
  </rfmt>
  <rcc rId="10454" sId="5" odxf="1" dxf="1" numFmtId="4">
    <oc r="U40">
      <v>0</v>
    </oc>
    <nc r="U40">
      <v>2916.5369999999998</v>
    </nc>
    <odxf>
      <font>
        <sz val="12"/>
        <name val="Times New Roman"/>
        <scheme val="none"/>
      </font>
    </odxf>
    <ndxf>
      <font>
        <sz val="12"/>
        <name val="Times New Roman"/>
        <scheme val="none"/>
      </font>
    </ndxf>
  </rcc>
  <rfmt sheetId="5" sqref="V40" start="0" length="0">
    <dxf>
      <font>
        <sz val="12"/>
        <name val="Times New Roman"/>
        <scheme val="none"/>
      </font>
    </dxf>
  </rfmt>
  <rfmt sheetId="5" sqref="W40" start="0" length="0">
    <dxf>
      <font>
        <sz val="12"/>
        <name val="Times New Roman"/>
        <scheme val="none"/>
      </font>
    </dxf>
  </rfmt>
  <rfmt sheetId="5" sqref="X40" start="0" length="0">
    <dxf>
      <font>
        <sz val="12"/>
        <name val="Times New Roman"/>
        <scheme val="none"/>
      </font>
    </dxf>
  </rfmt>
  <rfmt sheetId="5" sqref="Y40" start="0" length="0">
    <dxf>
      <font>
        <sz val="12"/>
        <name val="Times New Roman"/>
        <scheme val="none"/>
      </font>
    </dxf>
  </rfmt>
  <rfmt sheetId="5" sqref="Z40" start="0" length="0">
    <dxf>
      <font>
        <sz val="12"/>
        <name val="Times New Roman"/>
        <scheme val="none"/>
      </font>
    </dxf>
  </rfmt>
  <rfmt sheetId="5" sqref="AA40" start="0" length="0">
    <dxf>
      <font>
        <sz val="12"/>
        <name val="Times New Roman"/>
        <scheme val="none"/>
      </font>
    </dxf>
  </rfmt>
  <rfmt sheetId="5" sqref="AB40" start="0" length="0">
    <dxf>
      <font>
        <sz val="12"/>
        <name val="Times New Roman"/>
        <scheme val="none"/>
      </font>
    </dxf>
  </rfmt>
  <rfmt sheetId="5" sqref="AC40" start="0" length="0">
    <dxf>
      <font>
        <sz val="12"/>
        <name val="Times New Roman"/>
        <scheme val="none"/>
      </font>
    </dxf>
  </rfmt>
  <rfmt sheetId="5" sqref="AD40" start="0" length="0">
    <dxf>
      <font>
        <sz val="12"/>
        <name val="Times New Roman"/>
        <scheme val="none"/>
      </font>
    </dxf>
  </rfmt>
  <rfmt sheetId="5" sqref="AE40" start="0" length="0">
    <dxf>
      <font>
        <sz val="12"/>
        <name val="Times New Roman"/>
        <scheme val="none"/>
      </font>
    </dxf>
  </rfmt>
  <rfmt sheetId="5" sqref="H40:AE40" start="0" length="2147483647">
    <dxf>
      <font>
        <sz val="12"/>
      </font>
    </dxf>
  </rfmt>
  <rcc rId="10455" sId="5">
    <oc r="C40">
      <f>H40+J40+L40+N40+P40+R40</f>
    </oc>
    <nc r="C40">
      <f>H40+J40+L40+N40+P40+R40+T40</f>
    </nc>
  </rcc>
  <rcc rId="10456" sId="5">
    <oc r="E40">
      <f>I40+K40+M40+O40+Q40+S40</f>
    </oc>
    <nc r="E40">
      <f>I40+K40+M40+O40+Q40+S40+U40</f>
    </nc>
  </rcc>
  <rcc rId="10457" sId="5" odxf="1" dxf="1">
    <oc r="AF51" t="inlineStr">
      <is>
        <t>1.Муниципальный контракт №0187300013724000066 от 26.04.2024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2 864,95 тыс.руб;
-срок завершения работ:19.08.2024
2. Муниципальный контракт № 41/2024 от 13.06.2024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591,21 тыс.руб;
-срок завершения работ: 12.08.2024.
3. Муниципальный контракт № 42/2024 от 13.06.2024 выполнение работ по замене декоративной панели на оконных блоках в здании Администрации города Когалыма, расположенном по адресу улица Дружбы Народов, 7
-цена контракта: 194,95 тыс.руб;
-срок завершения работ: 12.08.2024.
4. Размещен электронный аукцион на выполнение работ по частичному ремонту кровли здания Администрации города Когалыма, расположенного по адресу: город Когалым, улица Дружбы Народов, дом 7, дата торгов 09.07.2024.
1. Муниципальный контракт №0187300013724000031 от 29.03.2024 на выполнение работ по разработке проектно-сметной документации для выполнения капитального ремонта здания МАУ «Молодёжный комплексный центр «Феникс» в городе Когалыме», расположенного по улице Сибирская, 11:
- цена контракта 2 791,29 тыс.руб.;
- срок завершения работ 29.11.2024 г.;
2.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1058,9 тыс.руб. - бюджет города Когалыма.
1.Контракт 4/Р от 28.04.2023 на выполнение ремонтных работ:
- цена контракта 99 266,00 тыс. руб.;
- перечислен аванс в сумме 29 779,80 тыс. руб. (30%);
- срок завершения выполнения работ 15.02.2024 г.
- работы выполнены и оплачены в полном объеме.
2. Контракт 14/Р от 05.10.2023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-цена контракта 2 976,00 тыс.руб; (произведена оплата за фактически выполненные работы в 2023 году 2 137,97 тыс.руб)
-срок завершения выполненных работ:15.02.2024 г.
-работы выполнены и оплачены в полном объеме.
3. Контракт № 4/Р от 18.06.2024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 цена контракта50 000,0 тыс. руб.;
- по условиям контракта аванс в сумме 15 000,0 тыс. руб. (30%) - планируемая дата оплаты первая половина июля.
- срок завершения выполнения работ 31.10.2024 г.
1..Муниципальный контракт №16/2024 от 07.03.2024 на выполнение работ по разработке проектной документации на установку коммерческих узлов учёта тепловой энергии на объекте "Комплекс зданий, находящихся в муниципальной собственности" по адресу г. Когалым ул. Янтарная, 10:
- цена контракта 125,99 тыс.руб;
- работы выполнены и оплачены в полном объеме.
2. Муниципальный контракт № 0187300013724000055 от 19.04.2024 на выполнение работ по капитальному ремонту АИТП в комплексе зданий, находящихся в муниципальной собственности по адресу: город Когалым, улица Янтарная, 10;
-цена контракта 6 559,57 тыс.руб;
-начало работ: 17.06.2024
-срок окончания работ: 21.10.2024.
3.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13,7 тыс.руб. - бюджет города Когалыма.
1.Муниципальный контракт № 43/2024 от 25.06.2024 на выполнение работ по ремонту жилого помещения, расположенного по адресу: город Когалым, улица Дорожников, дом 2, квартира 22
- цена контракта 435,90 тыс.руб.;
- срок завершения работ 26.08.2024 г.;
2. Размещены электронные аукционны на:
- Выполнение работ по ремонту жилого помещения, находящегося в муниципальной собственности, расположенном по адресу: город Когалым, улица Таллинская, дом 17, квартира 46;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Привокзальная, дом 3, квартира 14 ; дата торгов 05.07.2024.
-Выполнение работ по ремонту квартир №2, №6, находящихся в муниципальной собственности, расположенных по адресу: город Когалым, улица Олимпийская, дом 3;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Нефтяников, дом 9, квартира 4; дата торгов: 05.07.2024.
-Выполнение работ по ремонту жилого помещения, находящегося в муниципальной собственности, расположенном по адресу: город Когалым, улица Мира, дом 14, квартира 46 ; дата торгов 05.07.2024.
- Выполнение работ по ремонту жилого помещения, находящегося в муниципальной собственности, расположенном по адресу: город Когалым, улица Ленинградская, дом 17, квартира 50; дата торгов 05.07.2024</t>
      </is>
    </oc>
    <nc r="AF51" t="inlineStr">
      <is>
        <t>"1.Муниципальный контракт №0187300013724000066 от 26.04.2024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2 864,95 тыс.руб;
-срок завершения работ:19.08.2024
2. Муниципальный контракт № 41/2024 от 13.06.2024 на выполнение работ по замене оконных блоков в здании Администрации города Когалыма, расположенном по адресу: город Когалым, улица Дружбы Народов дом 7
-цена контракта: 591,21 тыс.руб;
-срок завершения работ: 12.08.2024.
3. Муниципальный контракт № 42/2024 от 13.06.2024 на выполнение работ по замене декоративной панели на оконных блоках в здании Администрации города Когалыма, расположенном по адресу улица Дружбы Народов, 7
-цена контракта: 194,95 тыс.руб;
-срок завершения работ: 12.08.2024.
4. Муниципальный контракт № 0187300013724000144 от 22.07.2024 на выполнение работ по частичному ремонту кровли здания Администрации города Когалыма, расположенного по адресу: город Когалым, улица Дружбы Народов, дом 7.
-цена контракта: 5 068,83 тыс.руб;
-срок завершения работ:01.10.2024.
"1. Муниципальный контракт №0187300013724000031 от 29.03.2024 на выполнение работ по разработке проектно-сметной документации для выполнения капитального ремонта здания МАУ «Молодёжный комплексный центр «Феникс» в городе Когалыме», расположенного по улице Сибирская, 11:
- цена контракта 2 791,29 тыс.руб.;
- срок завершения работ 29.11.2024 г.;
2. На основании решения Думы города Когалыма от 19.06.2024 № 410-ГД перераспределение экономии
плановых ассигнований, сложившейся по результатам проведения электронного аукциона в размере 1058,9 тыс.руб. - бюджет города Когалыма.
"1.Контракт 4/Р от 28.04.2023 на выполнение ремонтных работ:
- цена контракта 99 266,00 тыс. руб.;
- перечислен аванс в сумме 29 779,80 тыс. руб. (30%);
- срок завершения выполнения работ 15.02.2024 г.
- работы выполнены и оплачены в полном объеме.
2. Контракт 14/Р от 05.10.2023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-цена контракта 2 976,00 тыс.руб; (произведена оплата за фактически выполненные работы в 2023 году 2 137,97 тыс.руб)
-срок завершения выполненных работ:15.02.2024 г.
-работы выполнены и оплачены в полном объеме.
3. Контракт № 4/Р от 18.06.2024 на выполнение работ по капитальному ремонту комплекса зданий, находящихся в муниципальной собственности, расположенных по адресу: г. Когалым, улица Югорская, 3
- цена контракта 50 000,0 тыс. руб.;
- выплачен аванс в сумме 15 000,0 тыс. руб. (30%) 
- срок завершения выполнения работ 31.10.2024 г.
"1..Муниципальный контракт №16/2024 от 07.03.2024 на выполнение работ по разработке проектной документации на установку коммерческих узлов учёта тепловой энергии на объекте ""Комплекс зданий, находящихся в муниципальной собственности"" по адресу г. Когалым ул. Янтарная, 10:
- цена контракта 125,99 тыс.руб;
- работы выполнены и оплачены в полном объеме.
2. Муниципальный контракт № 0187300013724000055 от 19.04.2024 на выполнение работ по капитальному ремонту АИТП в комплексе зданий, находящихся в муниципальной собственности по адресу: город Когалым, улица Янтарная, 10;
-цена контракта 6 559,57 тыс.руб;
-начало работ: 17.06.2024
-срок окончания работ: 21.10.2024.
"1.Муниципальный контракт № 43/2024 от 25.06.2024 на выполнение работ по ремонту жилого помещения, расположенного по адресу: город Когалым, улица Дорожников, дом 2, квартира 22
- цена контракта 435,90 тыс.руб.;
- срок завершения работ 26.08.2024 г.;
2. Муниципальный контракт № 0187300013724000146 от 19.07.2024 на выполнение работ по ремонту жилого помещения, находящегося в муниципальной собственности, расположенном по адресу: город Когалым, улица Таллинская, дом 17, квартира 46;
- цена контракта 814,00 тыс.руб.;
- срок завершения работ 01.10.2024 г.;
3. Муниципальный контракт № 0187300013724000147 от 19.07.2024 на выполнение работ по ремонту жилого помещения, находящегося в муниципальной собственности, расположенном по адресу: город Когалым, улица Привокзальная, дом 3, квартира 14;
- цена контракта 749,00 тыс.руб.;
- срок завершения работ 01.10.2024 г.;
4. Муниципальный контракт № 0187300013724000149 от 19.07.2024 на выполнение работ по ремонту квартир №2, №6, находящихся в муниципальной собственности, расположенных по адресу: город Когалым, улица Олимпийская, дом 3;
- цена контракта 1 070,00 тыс.руб.;
- срок завершения работ 01.10.2024 г.;
5. Муниципальный контракт № 0187300013724000152 от 19.07.2024 на выполнение работ по ремонту жилого помещения, находящегося в муниципальной собственности, расположенном по адресу: город Когалым, улица Нефтяников, дом 9, квартира 4;
- цена контракта 940,00 тыс.руб.;
- срок завершения работ 01.10.2024 г.;
6. Муниципальный контракт № 0187300013724000148 от 19.07.2024 на выполнение работ по ремонту жилого помещения, находящегося в муниципальной собственности, расположенном по адресу: город Когалым, улица Мира, дом 14, квартира 46 ;
- цена контракта 739,00 тыс.руб.;
- срок завершения работ 01.10.2024 г.;
7. Муниципальный контракт №  0187300013724000145 от 19.07.2024 на выполнение работ по ремонту жилого помещения, находящегося в муниципальной собственности, расположенном по адресу: город Когалым, улица Ленинградская, дом 17, квартира 50; 
- цена контракта 775,94,00 тыс.руб.;
- срок завершения работ 01.10.2024 г.;</t>
      </is>
    </nc>
    <odxf>
      <font>
        <sz val="12"/>
        <name val="Times New Roman"/>
        <scheme val="none"/>
      </font>
    </odxf>
    <ndxf>
      <font>
        <sz val="10"/>
        <name val="Times New Roman"/>
        <scheme val="none"/>
      </font>
    </ndxf>
  </rcc>
  <rfmt sheetId="5" sqref="AF52" start="0" length="0">
    <dxf>
      <font>
        <sz val="10"/>
        <name val="Times New Roman"/>
        <scheme val="none"/>
      </font>
    </dxf>
  </rfmt>
  <rfmt sheetId="5" sqref="AF53" start="0" length="0">
    <dxf>
      <font>
        <sz val="10"/>
        <name val="Times New Roman"/>
        <scheme val="none"/>
      </font>
    </dxf>
  </rfmt>
  <rfmt sheetId="5" sqref="AF54" start="0" length="0">
    <dxf>
      <font>
        <sz val="10"/>
        <name val="Times New Roman"/>
        <scheme val="none"/>
      </font>
    </dxf>
  </rfmt>
  <rfmt sheetId="5" sqref="AF55" start="0" length="0">
    <dxf>
      <font>
        <sz val="10"/>
        <name val="Times New Roman"/>
        <scheme val="none"/>
      </font>
    </dxf>
  </rfmt>
  <rfmt sheetId="5" sqref="AF51" start="0" length="2147483647">
    <dxf>
      <font>
        <sz val="11"/>
      </font>
    </dxf>
  </rfmt>
  <rfmt sheetId="5" sqref="AF51" start="0" length="2147483647">
    <dxf>
      <font>
        <sz val="12"/>
      </font>
    </dxf>
  </rfmt>
  <rcc rId="10458" sId="5">
    <oc r="E51">
      <f>I51+K51+M51+O51+Q51+S51</f>
    </oc>
    <nc r="E51">
      <f>I51+K51+M51+O51+Q51+S51+U51</f>
    </nc>
  </rcc>
  <rcc rId="10459" sId="5" numFmtId="4">
    <oc r="T51">
      <v>15000</v>
    </oc>
    <nc r="T51">
      <v>15213.42</v>
    </nc>
  </rcc>
  <rcc rId="10460" sId="5" numFmtId="4">
    <oc r="U51">
      <v>0</v>
    </oc>
    <nc r="U51">
      <v>15213.42</v>
    </nc>
  </rcc>
  <rcc rId="10461" sId="5" numFmtId="4">
    <oc r="AD51">
      <v>37791.377999999997</v>
    </oc>
    <nc r="AD51">
      <v>37577.956999999995</v>
    </nc>
  </rcc>
  <rcc rId="10462" sId="5">
    <oc r="C51">
      <f>H51+J51+L51+N51+P51+R51</f>
    </oc>
    <nc r="C51">
      <f>H51+J51+L51+N51+P51+R51+T51</f>
    </nc>
  </rcc>
  <rcc rId="10463" sId="5">
    <oc r="D28">
      <f>H28+J28+L28+N28</f>
    </oc>
    <nc r="D28">
      <f>H28+J28+L28+N28+P28+R28+T28</f>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64" sId="5">
    <nc r="AF29" t="inlineStr">
      <is>
        <t>Отклонение от плана составляет 6643,7тыс.руб. в том числе:
1. 2889,1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895,7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970,8 тыс.руб.  -неисполнение субсидии по статье начисления на оплату труда возникло в связи с оплатой страховых взносов в августе 2024г.
4.  28,3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45,1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614,7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80.5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212,4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230,1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212,1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125,2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182,9 тыс.руб. неисполнение субсидии по статье  оплата земельного и  транспортного налога, оплата будет произведена согласно декларации
13. 58,1 тыс. руб. неисполнение по статье расходов  пособий по уходу за ребенком инвалидом, оплата  произведена по факту предоставленных документов
14. 48,7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49,0 тыс.рублей неисполнение по статье расходов  социальные компенсации персоналу в натуральной форме, оплата будет произведена по факту предоставленных документов</t>
      </is>
    </nc>
  </rcc>
  <rcv guid="{74870EE6-26B9-40F7-9DC9-260EF16D8959}" action="delete"/>
  <rdn rId="0" localSheetId="2" customView="1" name="Z_74870EE6_26B9_40F7_9DC9_260EF16D8959_.wvu.Rows" hidden="1" oldHidden="1">
    <formula>'1.СЗН'!$69:$73</formula>
    <oldFormula>'1.СЗН'!$69:$73</oldFormula>
  </rdn>
  <rdn rId="0" localSheetId="2" customView="1" name="Z_74870EE6_26B9_40F7_9DC9_260EF16D8959_.wvu.FilterData" hidden="1" oldHidden="1">
    <formula>'1.СЗН'!$A$1:$AF$63</formula>
    <oldFormula>'1.СЗН'!$A$1:$AF$63</oldFormula>
  </rdn>
  <rdn rId="0" localSheetId="3" customView="1" name="Z_74870EE6_26B9_40F7_9DC9_260EF16D8959_.wvu.FilterData" hidden="1" oldHidden="1">
    <formula>'2.АПК'!$A$1:$AF$36</formula>
    <oldFormula>'2.АПК'!$A$1:$AF$36</oldFormula>
  </rdn>
  <rdn rId="0" localSheetId="4" customView="1" name="Z_74870EE6_26B9_40F7_9DC9_260EF16D8959_.wvu.FilterData" hidden="1" oldHidden="1">
    <formula>'3.БЖД'!$A$1:$AF$17</formula>
    <oldFormula>'3.БЖД'!$A$1:$AF$17</oldFormula>
  </rdn>
  <rdn rId="0" localSheetId="5" customView="1" name="Z_74870EE6_26B9_40F7_9DC9_260EF16D8959_.wvu.FilterData" hidden="1" oldHidden="1">
    <formula>'4.УМИ'!$A$1:$AF$11</formula>
    <oldFormula>'4.УМИ'!$A$1:$AF$11</oldFormula>
  </rdn>
  <rdn rId="0" localSheetId="6" customView="1" name="Z_74870EE6_26B9_40F7_9DC9_260EF16D8959_.wvu.FilterData" hidden="1" oldHidden="1">
    <formula>'5.Проф. прав.'!$A$1:$AF$12</formula>
    <oldFormula>'5.Проф. прав.'!$A$1:$AF$12</oldFormula>
  </rdn>
  <rdn rId="0" localSheetId="7" customView="1" name="Z_74870EE6_26B9_40F7_9DC9_260EF16D895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74870EE6_26B9_40F7_9DC9_260EF16D8959_.wvu.FilterData" hidden="1" oldHidden="1">
    <formula>'6.Экстримизм'!$A$1:$AF$11</formula>
    <oldFormula>'6.Экстримизм'!$A$1:$AF$11</oldFormula>
  </rdn>
  <rdn rId="0" localSheetId="14" customView="1" name="Z_74870EE6_26B9_40F7_9DC9_260EF16D8959_.wvu.FilterData" hidden="1" oldHidden="1">
    <formula>'11.МП РО'!$A$4:$A$380</formula>
    <oldFormula>'11.МП РО'!$A$4:$A$380</oldFormula>
  </rdn>
  <rdn rId="0" localSheetId="17" customView="1" name="Z_74870EE6_26B9_40F7_9DC9_260EF16D8959_.wvu.Rows" hidden="1" oldHidden="1">
    <formula>'13.МП РЖС'!$122:$127</formula>
    <oldFormula>'13.МП РЖС'!$122:$127</oldFormula>
  </rdn>
  <rdn rId="0" localSheetId="17" customView="1" name="Z_74870EE6_26B9_40F7_9DC9_260EF16D8959_.wvu.Cols" hidden="1" oldHidden="1">
    <formula>'13.МП РЖС'!$AG:$AG</formula>
    <oldFormula>'13.МП РЖС'!$AG:$AG</oldFormula>
  </rdn>
  <rcv guid="{74870EE6-26B9-40F7-9DC9-260EF16D8959}"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AF24:AF29">
    <dxf>
      <alignment horizontal="left" readingOrder="0"/>
    </dxf>
  </rfmt>
  <rcc rId="14768" sId="19" numFmtId="4">
    <oc r="H27">
      <v>0</v>
    </oc>
    <nc r="H27"/>
  </rcc>
  <rcc rId="14769" sId="19" numFmtId="4">
    <oc r="I27">
      <v>0</v>
    </oc>
    <nc r="I27"/>
  </rcc>
  <rcc rId="14770" sId="19" numFmtId="4">
    <oc r="K27">
      <v>0</v>
    </oc>
    <nc r="K27"/>
  </rcc>
  <rcc rId="14771" sId="19" numFmtId="4">
    <oc r="M27">
      <v>0</v>
    </oc>
    <nc r="M27"/>
  </rcc>
  <rcc rId="14772" sId="19" numFmtId="4">
    <oc r="O27">
      <v>0</v>
    </oc>
    <nc r="O27"/>
  </rcc>
  <rcc rId="14773" sId="19" numFmtId="4">
    <oc r="Q27">
      <v>0</v>
    </oc>
    <nc r="Q27"/>
  </rcc>
  <rcc rId="14774" sId="19" numFmtId="4">
    <oc r="U27">
      <v>0</v>
    </oc>
    <nc r="U27"/>
  </rcc>
  <rcc rId="14775" sId="19" numFmtId="4">
    <oc r="W27">
      <v>0</v>
    </oc>
    <nc r="W27"/>
  </rcc>
  <rcc rId="14776" sId="19" numFmtId="4">
    <oc r="Y27">
      <v>0</v>
    </oc>
    <nc r="Y27"/>
  </rcc>
  <rcc rId="14777" sId="19" numFmtId="4">
    <oc r="AA27">
      <v>0</v>
    </oc>
    <nc r="AA27"/>
  </rcc>
  <rcc rId="14778" sId="19" numFmtId="4">
    <oc r="AC27">
      <v>0</v>
    </oc>
    <nc r="AC27"/>
  </rcc>
  <rcc rId="14779" sId="19" numFmtId="4">
    <oc r="AE27">
      <v>0</v>
    </oc>
    <nc r="AE27"/>
  </rcc>
  <rcc rId="14780" sId="19" numFmtId="4">
    <oc r="H49">
      <v>0</v>
    </oc>
    <nc r="H49"/>
  </rcc>
  <rcc rId="14781" sId="19" numFmtId="4">
    <oc r="I49">
      <v>0</v>
    </oc>
    <nc r="I49"/>
  </rcc>
  <rcc rId="14782" sId="19" numFmtId="4">
    <oc r="U49">
      <v>0</v>
    </oc>
    <nc r="U49"/>
  </rcc>
  <rcc rId="14783" sId="19" numFmtId="4">
    <oc r="W49">
      <v>0</v>
    </oc>
    <nc r="W49"/>
  </rcc>
  <rcc rId="14784" sId="19" numFmtId="4">
    <oc r="Y49">
      <v>0</v>
    </oc>
    <nc r="Y49"/>
  </rcc>
  <rcc rId="14785" sId="19" numFmtId="4">
    <oc r="AA49">
      <v>0</v>
    </oc>
    <nc r="AA49"/>
  </rcc>
  <rcc rId="14786" sId="19" numFmtId="4">
    <oc r="AC49">
      <v>0</v>
    </oc>
    <nc r="AC49"/>
  </rcc>
  <rcc rId="14787" sId="19" numFmtId="4">
    <oc r="AE49">
      <v>0</v>
    </oc>
    <nc r="AE49"/>
  </rcc>
  <rcc rId="14788" sId="19">
    <oc r="AF24" t="inlineStr">
      <is>
        <t>В соответствии в решением Думы г.Когалыма от 17.01.2024 №362-ГД выделены плановые ассигнования в сумме 10,8 тыс.руб. на услуги связи для фотоловушек, в целях выявления с помощью фотофиксации лиц, допустивших несанкционированный сброс отходов в непредназначенных для этого местах, в том числе с автомобильного транспорта.
     В процессе использования фотоловушек выявлена разрядка батарей при низкой температуре воздуха. Контракт на услуги связи для фотоловушек будет заключен при наступлении благоприятных погодных условий.
     Заключен муниципальный контракт №32/2024 от 03.05.2024 с ПАО "Ростелеком" на услуги связи для фотоловушек на сумму 1,89 тыс.руб.</t>
      </is>
    </oc>
    <nc r="AF24" t="inlineStr">
      <is>
        <t>В соответствии в решением Думы г.Когалыма от 17.01.2024 №362-ГД выделены плановые ассигнования в сумме 10,8 тыс.руб. на услуги связи для фотоловушек, в целях выявления с помощью фотофиксации лиц, допустивших несанкционированный сброс отходов в непредназначенных для этого местах, в том числе с автомобильного транспорта.
В процессе использования фотоловушек выявлена разрядка батарей при низкой температуре воздуха. Контракт на услуги связи для фотоловушек будет заключен при наступлении благоприятных погодных условий.
Заключен муниципальный контракт №32/2024 от 03.05.2024 с ПАО "Ростелеком" на услуги связи для фотоловушек на сумму 1,89 тыс.руб. Оплата за оказанные услуги производится на основании акта оказанных услуг и счета.</t>
      </is>
    </nc>
  </rcc>
  <rcc rId="14789" sId="19" numFmtId="4">
    <oc r="S27">
      <v>0</v>
    </oc>
    <nc r="S27">
      <v>0.25</v>
    </nc>
  </rcc>
  <rfmt sheetId="19" sqref="F25" start="0" length="0">
    <dxf>
      <font>
        <b/>
        <sz val="13"/>
        <color auto="1"/>
        <name val="Times New Roman"/>
        <scheme val="none"/>
      </font>
    </dxf>
  </rfmt>
  <rfmt sheetId="19" sqref="F26" start="0" length="0">
    <dxf>
      <font>
        <b/>
        <sz val="13"/>
        <color auto="1"/>
        <name val="Times New Roman"/>
        <scheme val="none"/>
      </font>
    </dxf>
  </rfmt>
  <rcc rId="14790" sId="19" odxf="1" dxf="1" numFmtId="4">
    <oc r="F27">
      <v>0</v>
    </oc>
    <nc r="F27">
      <f>IFERROR(E27/B27*100,0)</f>
    </nc>
    <odxf>
      <font>
        <b val="0"/>
        <sz val="13"/>
        <color auto="1"/>
        <name val="Times New Roman"/>
        <scheme val="none"/>
      </font>
    </odxf>
    <ndxf>
      <font>
        <b/>
        <sz val="13"/>
        <color auto="1"/>
        <name val="Times New Roman"/>
        <scheme val="none"/>
      </font>
    </ndxf>
  </rcc>
  <rfmt sheetId="19" sqref="G25" start="0" length="0">
    <dxf>
      <font>
        <b/>
        <sz val="13"/>
        <color auto="1"/>
        <name val="Times New Roman"/>
        <scheme val="none"/>
      </font>
    </dxf>
  </rfmt>
  <rfmt sheetId="19" sqref="G26" start="0" length="0">
    <dxf>
      <font>
        <b/>
        <sz val="13"/>
        <color auto="1"/>
        <name val="Times New Roman"/>
        <scheme val="none"/>
      </font>
    </dxf>
  </rfmt>
  <rcc rId="14791" sId="19" odxf="1" dxf="1" numFmtId="4">
    <oc r="G27">
      <v>0</v>
    </oc>
    <nc r="G27">
      <f>IFERROR(E27/C27*100,0)</f>
    </nc>
    <odxf>
      <font>
        <b val="0"/>
        <sz val="13"/>
        <color auto="1"/>
        <name val="Times New Roman"/>
        <scheme val="none"/>
      </font>
    </odxf>
    <ndxf>
      <font>
        <b/>
        <sz val="13"/>
        <color auto="1"/>
        <name val="Times New Roman"/>
        <scheme val="none"/>
      </font>
    </ndxf>
  </rcc>
  <rfmt sheetId="19" sqref="F27:G27" start="0" length="2147483647">
    <dxf>
      <font>
        <b val="0"/>
      </font>
    </dxf>
  </rfmt>
  <rcc rId="14792" sId="19" numFmtId="4">
    <oc r="S49">
      <v>0</v>
    </oc>
    <nc r="S49">
      <v>12.59</v>
    </nc>
  </rcc>
  <rcc rId="14793" sId="19">
    <oc r="C4" t="inlineStr">
      <is>
        <t xml:space="preserve">План на 01.06.2024 </t>
      </is>
    </oc>
    <nc r="C4" t="inlineStr">
      <is>
        <t xml:space="preserve">План на 01.08.2024 </t>
      </is>
    </nc>
  </rcc>
  <rcc rId="14794" sId="19">
    <oc r="D4" t="inlineStr">
      <is>
        <t xml:space="preserve">Профинансировано на 01.06.2024 </t>
      </is>
    </oc>
    <nc r="D4" t="inlineStr">
      <is>
        <t xml:space="preserve">Профинансировано на 01.08.2024 </t>
      </is>
    </nc>
  </rcc>
  <rcc rId="14795" sId="19">
    <oc r="E4" t="inlineStr">
      <is>
        <t xml:space="preserve">Кассовый расход на 01.06.2024  </t>
      </is>
    </oc>
    <nc r="E4" t="inlineStr">
      <is>
        <t xml:space="preserve">Кассовый расход на 01.08.2024  </t>
      </is>
    </nc>
  </rcc>
  <rcc rId="14796" sId="19">
    <oc r="C27">
      <f>H27+J27+L27+N27+P27</f>
    </oc>
    <nc r="C27">
      <f>H27+J27+L27+N27+P27+R27+T27</f>
    </nc>
  </rcc>
  <rcc rId="14797" sId="19">
    <oc r="C49">
      <f>H49+J49+L49+N49+P49</f>
    </oc>
    <nc r="C49">
      <f>H49+J49+L49+N49+P49+R49+T49</f>
    </nc>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76" sId="20">
    <oc r="C2" t="inlineStr">
      <is>
        <t>План на 01.07.2024</t>
      </is>
    </oc>
    <nc r="C2" t="inlineStr">
      <is>
        <t>План на 01.08.2024</t>
      </is>
    </nc>
  </rcc>
  <rcc rId="10477" sId="20">
    <oc r="D2" t="inlineStr">
      <is>
        <t>Профинансировано на 01.07.2024</t>
      </is>
    </oc>
    <nc r="D2" t="inlineStr">
      <is>
        <t>Профинансировано на 01.08.2024</t>
      </is>
    </nc>
  </rcc>
  <rcc rId="10478" sId="20">
    <oc r="E2" t="inlineStr">
      <is>
        <t>Кассовый расход на 01.07.2024</t>
      </is>
    </oc>
    <nc r="E2" t="inlineStr">
      <is>
        <t>Кассовый расход на 01.08.2024</t>
      </is>
    </nc>
  </rcc>
  <rcc rId="10479" sId="20">
    <oc r="B8">
      <f>B9</f>
    </oc>
    <nc r="B8">
      <f>B9</f>
    </nc>
  </rcc>
  <rcc rId="10480" sId="20">
    <oc r="C8">
      <f>C9</f>
    </oc>
    <nc r="C8">
      <f>C9</f>
    </nc>
  </rcc>
  <rcc rId="10481" sId="20">
    <oc r="D8">
      <f>D9</f>
    </oc>
    <nc r="D8">
      <f>D9</f>
    </nc>
  </rcc>
  <rcc rId="10482" sId="20">
    <oc r="E8">
      <f>E9</f>
    </oc>
    <nc r="E8">
      <f>E9</f>
    </nc>
  </rcc>
  <rcc rId="10483" sId="20">
    <oc r="F8">
      <f>IFERROR(E8/B8*100,0)</f>
    </oc>
    <nc r="F8">
      <f>IFERROR(E8/B8*100,0)</f>
    </nc>
  </rcc>
  <rcc rId="10484" sId="20">
    <oc r="G8">
      <f>IFERROR(E8/C8*100,0)</f>
    </oc>
    <nc r="G8">
      <f>IFERROR(E8/C8*100,0)</f>
    </nc>
  </rcc>
  <rcc rId="10485" sId="20">
    <oc r="H8">
      <f>H9</f>
    </oc>
    <nc r="H8">
      <f>H9</f>
    </nc>
  </rcc>
  <rcc rId="10486" sId="20">
    <oc r="I8">
      <f>I9</f>
    </oc>
    <nc r="I8">
      <f>I9</f>
    </nc>
  </rcc>
  <rcc rId="10487" sId="20">
    <oc r="J8">
      <f>J9</f>
    </oc>
    <nc r="J8">
      <f>J9</f>
    </nc>
  </rcc>
  <rcc rId="10488" sId="20">
    <oc r="K8">
      <f>K9</f>
    </oc>
    <nc r="K8">
      <f>K9</f>
    </nc>
  </rcc>
  <rcc rId="10489" sId="20">
    <oc r="L8">
      <f>L9</f>
    </oc>
    <nc r="L8">
      <f>L9</f>
    </nc>
  </rcc>
  <rcc rId="10490" sId="20">
    <oc r="M8">
      <f>M9</f>
    </oc>
    <nc r="M8">
      <f>M9</f>
    </nc>
  </rcc>
  <rcc rId="10491" sId="20">
    <oc r="N8">
      <f>N9</f>
    </oc>
    <nc r="N8">
      <f>N9</f>
    </nc>
  </rcc>
  <rcc rId="10492" sId="20">
    <oc r="O8">
      <f>O9</f>
    </oc>
    <nc r="O8">
      <f>O9</f>
    </nc>
  </rcc>
  <rcc rId="10493" sId="20">
    <oc r="P8">
      <f>P9</f>
    </oc>
    <nc r="P8">
      <f>P9</f>
    </nc>
  </rcc>
  <rcc rId="10494" sId="20">
    <oc r="Q8">
      <f>Q9</f>
    </oc>
    <nc r="Q8">
      <f>Q9</f>
    </nc>
  </rcc>
  <rcc rId="10495" sId="20">
    <oc r="R8">
      <f>R9</f>
    </oc>
    <nc r="R8">
      <f>R9</f>
    </nc>
  </rcc>
  <rcc rId="10496" sId="20">
    <oc r="S8">
      <f>S9</f>
    </oc>
    <nc r="S8">
      <f>S9</f>
    </nc>
  </rcc>
  <rcc rId="10497" sId="20">
    <oc r="T8">
      <f>T9</f>
    </oc>
    <nc r="T8">
      <f>T9</f>
    </nc>
  </rcc>
  <rcc rId="10498" sId="20">
    <oc r="U8">
      <f>U9</f>
    </oc>
    <nc r="U8">
      <f>U9</f>
    </nc>
  </rcc>
  <rcc rId="10499" sId="20">
    <oc r="V8">
      <f>V9</f>
    </oc>
    <nc r="V8">
      <f>V9</f>
    </nc>
  </rcc>
  <rcc rId="10500" sId="20">
    <oc r="W8">
      <f>W9</f>
    </oc>
    <nc r="W8">
      <f>W9</f>
    </nc>
  </rcc>
  <rcc rId="10501" sId="20">
    <oc r="X8">
      <f>X9</f>
    </oc>
    <nc r="X8">
      <f>X9</f>
    </nc>
  </rcc>
  <rcc rId="10502" sId="20">
    <oc r="Y8">
      <f>Y9</f>
    </oc>
    <nc r="Y8">
      <f>Y9</f>
    </nc>
  </rcc>
  <rcc rId="10503" sId="20">
    <oc r="Z8">
      <f>Z9</f>
    </oc>
    <nc r="Z8">
      <f>Z9</f>
    </nc>
  </rcc>
  <rcc rId="10504" sId="20">
    <oc r="AA8">
      <f>AA9</f>
    </oc>
    <nc r="AA8">
      <f>AA9</f>
    </nc>
  </rcc>
  <rcc rId="10505" sId="20">
    <oc r="AB8">
      <f>AB9</f>
    </oc>
    <nc r="AB8">
      <f>AB9</f>
    </nc>
  </rcc>
  <rcc rId="10506" sId="20">
    <oc r="AC8">
      <f>AC9</f>
    </oc>
    <nc r="AC8">
      <f>AC9</f>
    </nc>
  </rcc>
  <rcc rId="10507" sId="20">
    <oc r="AD8">
      <f>AD9</f>
    </oc>
    <nc r="AD8">
      <f>AD9</f>
    </nc>
  </rcc>
  <rcc rId="10508" sId="20">
    <oc r="AE8">
      <f>AE9</f>
    </oc>
    <nc r="AE8">
      <f>AE9</f>
    </nc>
  </rcc>
  <rcc rId="10509" sId="20">
    <oc r="B9">
      <f>H9+J9+L9+N9+P9+R9+T9+V9+X9+Z9+AB9+AD9</f>
    </oc>
    <nc r="B9">
      <f>H9+J9+L9+N9+P9+R9+T9+V9+X9+Z9+AB9+AD9</f>
    </nc>
  </rcc>
  <rcc rId="10510" sId="20">
    <oc r="C9">
      <f>H9+J9+L9+N9</f>
    </oc>
    <nc r="C9">
      <f>C12</f>
    </nc>
  </rcc>
  <rcc rId="10511" sId="20">
    <oc r="D9">
      <f>I9+K9+M9+O9</f>
    </oc>
    <nc r="D9">
      <f>D12</f>
    </nc>
  </rcc>
  <rcc rId="10512" sId="20">
    <oc r="E9">
      <f>I9+K9+M9+O9+Q9+S9+U9+W9+Y9+AA9+AC9+AE9</f>
    </oc>
    <nc r="E9">
      <f>I9+K9+M9+O9+Q9+S9+U9+W9+Y9+AA9+AC9+AE9</f>
    </nc>
  </rcc>
  <rcc rId="10513" sId="20">
    <oc r="F9">
      <f>IFERROR(E9/B9*100,0)</f>
    </oc>
    <nc r="F9">
      <f>IFERROR(E9/B9*100,0)</f>
    </nc>
  </rcc>
  <rcc rId="10514" sId="20">
    <oc r="G9">
      <f>IFERROR(E9/C9*100,0)</f>
    </oc>
    <nc r="G9">
      <f>IFERROR(E9/C9*100,0)</f>
    </nc>
  </rcc>
  <rcc rId="10515" sId="20">
    <oc r="H9">
      <f>H12+H15</f>
    </oc>
    <nc r="H9">
      <f>H12+H15</f>
    </nc>
  </rcc>
  <rcc rId="10516" sId="20">
    <oc r="I9">
      <f>I12+I15</f>
    </oc>
    <nc r="I9">
      <f>I12+I15</f>
    </nc>
  </rcc>
  <rcc rId="10517" sId="20">
    <oc r="J9">
      <f>J12+J15</f>
    </oc>
    <nc r="J9">
      <f>J12+J15</f>
    </nc>
  </rcc>
  <rcc rId="10518" sId="20">
    <oc r="K9">
      <f>K12+K15</f>
    </oc>
    <nc r="K9">
      <f>K12+K15</f>
    </nc>
  </rcc>
  <rcc rId="10519" sId="20">
    <oc r="L9">
      <f>L12+L15</f>
    </oc>
    <nc r="L9">
      <f>L12+L15</f>
    </nc>
  </rcc>
  <rcc rId="10520" sId="20">
    <oc r="M9">
      <f>M12+M15</f>
    </oc>
    <nc r="M9">
      <f>M12+M15</f>
    </nc>
  </rcc>
  <rcc rId="10521" sId="20">
    <oc r="N9">
      <f>N12+N15</f>
    </oc>
    <nc r="N9">
      <f>N12+N15</f>
    </nc>
  </rcc>
  <rcc rId="10522" sId="20">
    <oc r="O9">
      <f>O12+O15</f>
    </oc>
    <nc r="O9">
      <f>O12+O15</f>
    </nc>
  </rcc>
  <rcc rId="10523" sId="20">
    <oc r="P9">
      <f>P12+P15</f>
    </oc>
    <nc r="P9">
      <f>P12+P15</f>
    </nc>
  </rcc>
  <rcc rId="10524" sId="20">
    <oc r="Q9">
      <f>Q12+Q15</f>
    </oc>
    <nc r="Q9">
      <f>Q12+Q15</f>
    </nc>
  </rcc>
  <rcc rId="10525" sId="20">
    <oc r="R9">
      <f>R12+R15</f>
    </oc>
    <nc r="R9">
      <f>R12+R15</f>
    </nc>
  </rcc>
  <rcc rId="10526" sId="20">
    <oc r="S9">
      <f>S12+S15</f>
    </oc>
    <nc r="S9">
      <f>S12+S15</f>
    </nc>
  </rcc>
  <rcc rId="10527" sId="20">
    <oc r="T9">
      <f>T12+T15</f>
    </oc>
    <nc r="T9">
      <f>T12+T15</f>
    </nc>
  </rcc>
  <rcc rId="10528" sId="20">
    <oc r="U9">
      <f>U12+U15</f>
    </oc>
    <nc r="U9">
      <f>U12+U15</f>
    </nc>
  </rcc>
  <rcc rId="10529" sId="20">
    <oc r="V9">
      <f>V12+V15</f>
    </oc>
    <nc r="V9">
      <f>V12+V15</f>
    </nc>
  </rcc>
  <rcc rId="10530" sId="20">
    <oc r="W9">
      <f>W12+W15</f>
    </oc>
    <nc r="W9">
      <f>W12+W15</f>
    </nc>
  </rcc>
  <rcc rId="10531" sId="20">
    <oc r="X9">
      <f>X12+X15</f>
    </oc>
    <nc r="X9">
      <f>X12+X15</f>
    </nc>
  </rcc>
  <rcc rId="10532" sId="20">
    <oc r="Y9">
      <f>Y12+Y15</f>
    </oc>
    <nc r="Y9">
      <f>Y12+Y15</f>
    </nc>
  </rcc>
  <rcc rId="10533" sId="20">
    <oc r="Z9">
      <f>Z12+Z15</f>
    </oc>
    <nc r="Z9">
      <f>Z12+Z15</f>
    </nc>
  </rcc>
  <rcc rId="10534" sId="20">
    <oc r="AA9">
      <f>AA12+AA15</f>
    </oc>
    <nc r="AA9">
      <f>AA12+AA15</f>
    </nc>
  </rcc>
  <rcc rId="10535" sId="20">
    <oc r="AB9">
      <f>AB12+AB15</f>
    </oc>
    <nc r="AB9">
      <f>AB12+AB15</f>
    </nc>
  </rcc>
  <rcc rId="10536" sId="20">
    <oc r="AC9">
      <f>AC12+AC15</f>
    </oc>
    <nc r="AC9">
      <f>AC12+AC15</f>
    </nc>
  </rcc>
  <rcc rId="10537" sId="20">
    <oc r="AD9">
      <f>AD12+AD15</f>
    </oc>
    <nc r="AD9">
      <f>AD12+AD15</f>
    </nc>
  </rcc>
  <rcc rId="10538" sId="20">
    <oc r="AE9">
      <f>AE12+AE15</f>
    </oc>
    <nc r="AE9">
      <f>AE12+AE15</f>
    </nc>
  </rcc>
  <rcc rId="10539" sId="20">
    <oc r="B11">
      <f>B12</f>
    </oc>
    <nc r="B11">
      <f>B12</f>
    </nc>
  </rcc>
  <rcc rId="10540" sId="20">
    <oc r="C11">
      <f>C12</f>
    </oc>
    <nc r="C11">
      <f>C12</f>
    </nc>
  </rcc>
  <rcc rId="10541" sId="20">
    <oc r="D11">
      <f>D12</f>
    </oc>
    <nc r="D11">
      <f>D12</f>
    </nc>
  </rcc>
  <rcc rId="10542" sId="20">
    <oc r="E11">
      <f>E12</f>
    </oc>
    <nc r="E11">
      <f>E12</f>
    </nc>
  </rcc>
  <rcc rId="10543" sId="20">
    <oc r="F11">
      <f>IFERROR(E11/B11*100,0)</f>
    </oc>
    <nc r="F11">
      <f>IFERROR(E11/B11*100,0)</f>
    </nc>
  </rcc>
  <rcc rId="10544" sId="20">
    <oc r="G11">
      <f>IFERROR(E11/C11*100,0)</f>
    </oc>
    <nc r="G11">
      <f>IFERROR(E11/C11*100,0)</f>
    </nc>
  </rcc>
  <rcc rId="10545" sId="20">
    <oc r="H11">
      <f>H12</f>
    </oc>
    <nc r="H11">
      <f>H12</f>
    </nc>
  </rcc>
  <rcc rId="10546" sId="20">
    <oc r="I11">
      <f>I12</f>
    </oc>
    <nc r="I11">
      <f>I12</f>
    </nc>
  </rcc>
  <rcc rId="10547" sId="20">
    <oc r="J11">
      <f>J12</f>
    </oc>
    <nc r="J11">
      <f>J12</f>
    </nc>
  </rcc>
  <rcc rId="10548" sId="20">
    <oc r="K11">
      <f>K12</f>
    </oc>
    <nc r="K11">
      <f>K12</f>
    </nc>
  </rcc>
  <rcc rId="10549" sId="20">
    <oc r="L11">
      <f>L12</f>
    </oc>
    <nc r="L11">
      <f>L12</f>
    </nc>
  </rcc>
  <rcc rId="10550" sId="20">
    <oc r="M11">
      <f>M12</f>
    </oc>
    <nc r="M11">
      <f>M12</f>
    </nc>
  </rcc>
  <rcc rId="10551" sId="20">
    <oc r="N11">
      <f>N12</f>
    </oc>
    <nc r="N11">
      <f>N12</f>
    </nc>
  </rcc>
  <rcc rId="10552" sId="20">
    <oc r="O11">
      <f>O12</f>
    </oc>
    <nc r="O11">
      <f>O12</f>
    </nc>
  </rcc>
  <rcc rId="10553" sId="20">
    <oc r="P11">
      <f>P12</f>
    </oc>
    <nc r="P11">
      <f>P12</f>
    </nc>
  </rcc>
  <rcc rId="10554" sId="20">
    <oc r="Q11">
      <f>Q12</f>
    </oc>
    <nc r="Q11">
      <f>Q12</f>
    </nc>
  </rcc>
  <rcc rId="10555" sId="20">
    <oc r="R11">
      <f>R12</f>
    </oc>
    <nc r="R11">
      <f>R12</f>
    </nc>
  </rcc>
  <rcc rId="10556" sId="20">
    <oc r="S11">
      <f>S12</f>
    </oc>
    <nc r="S11">
      <f>S12</f>
    </nc>
  </rcc>
  <rcc rId="10557" sId="20">
    <oc r="T11">
      <f>T12</f>
    </oc>
    <nc r="T11">
      <f>T12</f>
    </nc>
  </rcc>
  <rcc rId="10558" sId="20">
    <oc r="U11">
      <f>U12</f>
    </oc>
    <nc r="U11">
      <f>U12</f>
    </nc>
  </rcc>
  <rcc rId="10559" sId="20">
    <oc r="V11">
      <f>V12</f>
    </oc>
    <nc r="V11">
      <f>V12</f>
    </nc>
  </rcc>
  <rcc rId="10560" sId="20">
    <oc r="W11">
      <f>W12</f>
    </oc>
    <nc r="W11">
      <f>W12</f>
    </nc>
  </rcc>
  <rcc rId="10561" sId="20">
    <oc r="X11">
      <f>X12</f>
    </oc>
    <nc r="X11">
      <f>X12</f>
    </nc>
  </rcc>
  <rcc rId="10562" sId="20">
    <oc r="Y11">
      <f>Y12</f>
    </oc>
    <nc r="Y11">
      <f>Y12</f>
    </nc>
  </rcc>
  <rcc rId="10563" sId="20">
    <oc r="Z11">
      <f>Z12</f>
    </oc>
    <nc r="Z11">
      <f>Z12</f>
    </nc>
  </rcc>
  <rcc rId="10564" sId="20">
    <oc r="AA11">
      <f>AA12</f>
    </oc>
    <nc r="AA11">
      <f>AA12</f>
    </nc>
  </rcc>
  <rcc rId="10565" sId="20">
    <oc r="AB11">
      <f>AB12</f>
    </oc>
    <nc r="AB11">
      <f>AB12</f>
    </nc>
  </rcc>
  <rcc rId="10566" sId="20">
    <oc r="AC11">
      <f>AC12</f>
    </oc>
    <nc r="AC11">
      <f>AC12</f>
    </nc>
  </rcc>
  <rcc rId="10567" sId="20">
    <oc r="AD11">
      <f>AD12</f>
    </oc>
    <nc r="AD11">
      <f>AD12</f>
    </nc>
  </rcc>
  <rcc rId="10568" sId="20">
    <oc r="AE11">
      <f>AE12</f>
    </oc>
    <nc r="AE11">
      <f>AE12</f>
    </nc>
  </rcc>
  <rcc rId="10569" sId="20">
    <oc r="B12">
      <f>H12+J12+L12+N12+P12+R12+T12+V12+X12+Z12+AB12+AD12</f>
    </oc>
    <nc r="B12">
      <f>H12+J12+L12+N12+P12+R12+T12+V12+X12+Z12+AB12+AD12</f>
    </nc>
  </rcc>
  <rcc rId="10570" sId="20">
    <oc r="C12">
      <f>H12+J12+L12+N12</f>
    </oc>
    <nc r="C12">
      <f>H12+J12+L12+N12+P12</f>
    </nc>
  </rcc>
  <rcc rId="10571" sId="20">
    <oc r="D12">
      <f>I12+K12+M12+O12</f>
    </oc>
    <nc r="D12">
      <f>D15</f>
    </nc>
  </rcc>
  <rcc rId="10572" sId="20">
    <oc r="E12">
      <f>I12+K12+M12+O12+Q12+S12+U12+W12+Y12+AA12+AC12+AE12</f>
    </oc>
    <nc r="E12">
      <f>I12+K12+M12+O12+Q12+S12+U12+W12+Y12+AA12+AC12+AE12</f>
    </nc>
  </rcc>
  <rcc rId="10573" sId="20">
    <oc r="F12">
      <f>IFERROR(E12/B12*100,0)</f>
    </oc>
    <nc r="F12">
      <f>IFERROR(E12/B12*100,0)</f>
    </nc>
  </rcc>
  <rcc rId="10574" sId="20">
    <oc r="G12">
      <f>IFERROR(E12/C12*100,0)</f>
    </oc>
    <nc r="G12">
      <f>IFERROR(E12/C12*100,0)</f>
    </nc>
  </rcc>
  <rcc rId="10575" sId="20">
    <oc r="B14">
      <f>B15</f>
    </oc>
    <nc r="B14">
      <f>B15</f>
    </nc>
  </rcc>
  <rcc rId="10576" sId="20">
    <oc r="C14">
      <f>C15</f>
    </oc>
    <nc r="C14">
      <f>C15</f>
    </nc>
  </rcc>
  <rcc rId="10577" sId="20">
    <oc r="D14">
      <f>D15</f>
    </oc>
    <nc r="D14">
      <f>D15</f>
    </nc>
  </rcc>
  <rcc rId="10578" sId="20">
    <oc r="E14">
      <f>E15</f>
    </oc>
    <nc r="E14">
      <f>E15</f>
    </nc>
  </rcc>
  <rcc rId="10579" sId="20">
    <oc r="F14">
      <f>IFERROR(E14/B14*100,0)</f>
    </oc>
    <nc r="F14">
      <f>IFERROR(E14/B14*100,0)</f>
    </nc>
  </rcc>
  <rcc rId="10580" sId="20">
    <oc r="G14">
      <f>IFERROR(E14/C14*100,0)</f>
    </oc>
    <nc r="G14">
      <f>IFERROR(E14/C14*100,0)</f>
    </nc>
  </rcc>
  <rcc rId="10581" sId="20">
    <oc r="H14">
      <f>H15</f>
    </oc>
    <nc r="H14">
      <f>H15</f>
    </nc>
  </rcc>
  <rcc rId="10582" sId="20">
    <oc r="I14">
      <f>I15</f>
    </oc>
    <nc r="I14">
      <f>I15</f>
    </nc>
  </rcc>
  <rcc rId="10583" sId="20">
    <oc r="J14">
      <f>J15</f>
    </oc>
    <nc r="J14">
      <f>J15</f>
    </nc>
  </rcc>
  <rcc rId="10584" sId="20">
    <oc r="K14">
      <f>K15</f>
    </oc>
    <nc r="K14">
      <f>K15</f>
    </nc>
  </rcc>
  <rcc rId="10585" sId="20">
    <oc r="L14">
      <f>L15</f>
    </oc>
    <nc r="L14">
      <f>L15</f>
    </nc>
  </rcc>
  <rcc rId="10586" sId="20">
    <oc r="M14">
      <f>M15</f>
    </oc>
    <nc r="M14">
      <f>M15</f>
    </nc>
  </rcc>
  <rcc rId="10587" sId="20">
    <oc r="N14">
      <f>N15</f>
    </oc>
    <nc r="N14">
      <f>N15</f>
    </nc>
  </rcc>
  <rcc rId="10588" sId="20">
    <oc r="O14">
      <f>O15</f>
    </oc>
    <nc r="O14">
      <f>O15</f>
    </nc>
  </rcc>
  <rcc rId="10589" sId="20">
    <oc r="P14">
      <f>P15</f>
    </oc>
    <nc r="P14">
      <f>P15</f>
    </nc>
  </rcc>
  <rcc rId="10590" sId="20">
    <oc r="Q14">
      <f>Q15</f>
    </oc>
    <nc r="Q14">
      <f>Q15</f>
    </nc>
  </rcc>
  <rcc rId="10591" sId="20">
    <oc r="R14">
      <f>R15</f>
    </oc>
    <nc r="R14">
      <f>R15</f>
    </nc>
  </rcc>
  <rcc rId="10592" sId="20">
    <oc r="S14">
      <f>S15</f>
    </oc>
    <nc r="S14">
      <f>S15</f>
    </nc>
  </rcc>
  <rcc rId="10593" sId="20">
    <oc r="T14">
      <f>T15</f>
    </oc>
    <nc r="T14">
      <f>T15</f>
    </nc>
  </rcc>
  <rcc rId="10594" sId="20">
    <oc r="U14">
      <f>U15</f>
    </oc>
    <nc r="U14">
      <f>U15</f>
    </nc>
  </rcc>
  <rcc rId="10595" sId="20">
    <oc r="V14">
      <f>V15</f>
    </oc>
    <nc r="V14">
      <f>V15</f>
    </nc>
  </rcc>
  <rcc rId="10596" sId="20">
    <oc r="W14">
      <f>W15</f>
    </oc>
    <nc r="W14">
      <f>W15</f>
    </nc>
  </rcc>
  <rcc rId="10597" sId="20">
    <oc r="X14">
      <f>X15</f>
    </oc>
    <nc r="X14">
      <f>X15</f>
    </nc>
  </rcc>
  <rcc rId="10598" sId="20">
    <oc r="Y14">
      <f>Y15</f>
    </oc>
    <nc r="Y14">
      <f>Y15</f>
    </nc>
  </rcc>
  <rcc rId="10599" sId="20">
    <oc r="Z14">
      <f>Z15</f>
    </oc>
    <nc r="Z14">
      <f>Z15</f>
    </nc>
  </rcc>
  <rcc rId="10600" sId="20">
    <oc r="AA14">
      <f>AA15</f>
    </oc>
    <nc r="AA14">
      <f>AA15</f>
    </nc>
  </rcc>
  <rcc rId="10601" sId="20">
    <oc r="AB14">
      <f>AB15</f>
    </oc>
    <nc r="AB14">
      <f>AB15</f>
    </nc>
  </rcc>
  <rcc rId="10602" sId="20">
    <oc r="AC14">
      <f>AC15</f>
    </oc>
    <nc r="AC14">
      <f>AC15</f>
    </nc>
  </rcc>
  <rcc rId="10603" sId="20">
    <oc r="AD14">
      <f>AD15</f>
    </oc>
    <nc r="AD14">
      <f>AD15</f>
    </nc>
  </rcc>
  <rcc rId="10604" sId="20">
    <oc r="AE14">
      <f>AE15</f>
    </oc>
    <nc r="AE14">
      <f>AE15</f>
    </nc>
  </rcc>
  <rcc rId="10605" sId="20" odxf="1" dxf="1">
    <oc r="AF14" t="inlineStr">
      <is>
        <t>Заключно соглашение о предоставление из  бюджета города Когалыма Югорскому фонду капитального ремонта многоквартирных домов субсидии на долевое финансирование обеспечение  проведения капитального ремонта общего имущества в многоквартирных домах, расположенных на территории города Когалыма № 31/МС от 06.05.2024 года;</t>
      </is>
    </oc>
    <nc r="AF14"/>
    <odxf>
      <font>
        <b val="0"/>
        <color auto="1"/>
        <name val="Times New Roman"/>
        <scheme val="none"/>
      </font>
    </odxf>
    <ndxf>
      <font>
        <b/>
        <sz val="12"/>
        <color auto="1"/>
        <name val="Times New Roman"/>
        <scheme val="none"/>
      </font>
    </ndxf>
  </rcc>
  <rcc rId="10606" sId="20">
    <oc r="B15">
      <f>H15+J15+L15+N15+P15+R15+T15+V15+X15+Z15+AB15+AD15</f>
    </oc>
    <nc r="B15">
      <f>H15+J15+L15+N15+P15+R15+T15+V15+X15+Z15+AB15+AD15</f>
    </nc>
  </rcc>
  <rcc rId="10607" sId="20">
    <oc r="C15">
      <f>H15+J15+L15+N15</f>
    </oc>
    <nc r="C15">
      <f>H15+J15+L15+N15+P15</f>
    </nc>
  </rcc>
  <rcc rId="10608" sId="20">
    <oc r="D15">
      <f>I15+K15+M15</f>
    </oc>
    <nc r="D15">
      <f>D18</f>
    </nc>
  </rcc>
  <rcc rId="10609" sId="20">
    <oc r="E15">
      <f>I15+K15+M15+O15+Q15+S15+U15+W15+Y15+AA15+AC15+AE15</f>
    </oc>
    <nc r="E15">
      <f>I15+K15+M15+O15+Q15+S15+U15+W15+Y15+AA15+AC15+AE15</f>
    </nc>
  </rcc>
  <rcc rId="10610" sId="20">
    <oc r="F15">
      <f>IFERROR(E15/B15*100,0)</f>
    </oc>
    <nc r="F15">
      <f>IFERROR(E15/B15*100,0)</f>
    </nc>
  </rcc>
  <rcc rId="10611" sId="20">
    <oc r="G15">
      <f>IFERROR(E15/C15*100,0)</f>
    </oc>
    <nc r="G15">
      <f>IFERROR(E15/C15*100,0)</f>
    </nc>
  </rcc>
  <rcc rId="10612" sId="20">
    <oc r="AF15" t="inlineStr">
      <is>
        <t>-сумма соглашения: 2 958 026,73</t>
      </is>
    </oc>
    <nc r="AF15"/>
  </rcc>
  <rcc rId="10613" sId="20" odxf="1" dxf="1">
    <oc r="AF16" t="inlineStr">
      <is>
        <t>-сроки предоставления : с 06.05.2024 по 31.12.2024 г.</t>
      </is>
    </oc>
    <nc r="AF16"/>
    <odxf>
      <alignment vertical="top" wrapText="1" readingOrder="0"/>
    </odxf>
    <ndxf>
      <alignment vertical="bottom" wrapText="0" readingOrder="0"/>
    </ndxf>
  </rcc>
  <rcc rId="10614" sId="20">
    <oc r="B17">
      <f>B18</f>
    </oc>
    <nc r="B17">
      <f>B18</f>
    </nc>
  </rcc>
  <rcc rId="10615" sId="20">
    <oc r="C17">
      <f>C18</f>
    </oc>
    <nc r="C17">
      <f>C18</f>
    </nc>
  </rcc>
  <rcc rId="10616" sId="20">
    <oc r="D17">
      <f>D18</f>
    </oc>
    <nc r="D17">
      <f>D18</f>
    </nc>
  </rcc>
  <rcc rId="10617" sId="20">
    <oc r="E17">
      <f>E18</f>
    </oc>
    <nc r="E17">
      <f>E18</f>
    </nc>
  </rcc>
  <rcc rId="10618" sId="20">
    <oc r="F17">
      <f>IFERROR(E17/B17*100,0)</f>
    </oc>
    <nc r="F17">
      <f>IFERROR(E17/B17*100,0)</f>
    </nc>
  </rcc>
  <rcc rId="10619" sId="20">
    <oc r="G17">
      <f>IFERROR(E17/C17*100,0)</f>
    </oc>
    <nc r="G17">
      <f>IFERROR(E17/C17*100,0)</f>
    </nc>
  </rcc>
  <rcc rId="10620" sId="20">
    <oc r="H17">
      <f>H18</f>
    </oc>
    <nc r="H17">
      <f>H18</f>
    </nc>
  </rcc>
  <rcc rId="10621" sId="20">
    <oc r="I17">
      <f>I18</f>
    </oc>
    <nc r="I17">
      <f>I18</f>
    </nc>
  </rcc>
  <rcc rId="10622" sId="20">
    <oc r="J17">
      <f>J18</f>
    </oc>
    <nc r="J17">
      <f>J18</f>
    </nc>
  </rcc>
  <rcc rId="10623" sId="20">
    <oc r="K17">
      <f>K18</f>
    </oc>
    <nc r="K17">
      <f>K18</f>
    </nc>
  </rcc>
  <rcc rId="10624" sId="20">
    <oc r="L17">
      <f>L18</f>
    </oc>
    <nc r="L17">
      <f>L18</f>
    </nc>
  </rcc>
  <rcc rId="10625" sId="20">
    <oc r="M17">
      <f>M18</f>
    </oc>
    <nc r="M17">
      <f>M18</f>
    </nc>
  </rcc>
  <rcc rId="10626" sId="20">
    <oc r="N17">
      <f>N18</f>
    </oc>
    <nc r="N17">
      <f>N18</f>
    </nc>
  </rcc>
  <rcc rId="10627" sId="20">
    <oc r="O17">
      <f>O18</f>
    </oc>
    <nc r="O17">
      <f>O18</f>
    </nc>
  </rcc>
  <rcc rId="10628" sId="20">
    <oc r="P17">
      <f>P18</f>
    </oc>
    <nc r="P17">
      <f>P18</f>
    </nc>
  </rcc>
  <rcc rId="10629" sId="20">
    <oc r="Q17">
      <f>Q18</f>
    </oc>
    <nc r="Q17">
      <f>Q18</f>
    </nc>
  </rcc>
  <rcc rId="10630" sId="20">
    <oc r="R17">
      <f>R18</f>
    </oc>
    <nc r="R17">
      <f>R18</f>
    </nc>
  </rcc>
  <rcc rId="10631" sId="20">
    <oc r="S17">
      <f>S18</f>
    </oc>
    <nc r="S17">
      <f>S18</f>
    </nc>
  </rcc>
  <rcc rId="10632" sId="20">
    <oc r="T17">
      <f>T18</f>
    </oc>
    <nc r="T17">
      <f>T18</f>
    </nc>
  </rcc>
  <rcc rId="10633" sId="20">
    <oc r="U17">
      <f>U18</f>
    </oc>
    <nc r="U17">
      <f>U18</f>
    </nc>
  </rcc>
  <rcc rId="10634" sId="20">
    <oc r="V17">
      <f>V18</f>
    </oc>
    <nc r="V17">
      <f>V18</f>
    </nc>
  </rcc>
  <rcc rId="10635" sId="20">
    <oc r="W17">
      <f>W18</f>
    </oc>
    <nc r="W17">
      <f>W18</f>
    </nc>
  </rcc>
  <rcc rId="10636" sId="20">
    <oc r="X17">
      <f>X18</f>
    </oc>
    <nc r="X17">
      <f>X18</f>
    </nc>
  </rcc>
  <rcc rId="10637" sId="20">
    <oc r="Y17">
      <f>Y18</f>
    </oc>
    <nc r="Y17">
      <f>Y18</f>
    </nc>
  </rcc>
  <rcc rId="10638" sId="20">
    <oc r="Z17">
      <f>Z18</f>
    </oc>
    <nc r="Z17">
      <f>Z18</f>
    </nc>
  </rcc>
  <rcc rId="10639" sId="20">
    <oc r="AA17">
      <f>AA18</f>
    </oc>
    <nc r="AA17">
      <f>AA18</f>
    </nc>
  </rcc>
  <rcc rId="10640" sId="20">
    <oc r="AB17">
      <f>AB18</f>
    </oc>
    <nc r="AB17">
      <f>AB18</f>
    </nc>
  </rcc>
  <rcc rId="10641" sId="20">
    <oc r="AC17">
      <f>AC18</f>
    </oc>
    <nc r="AC17">
      <f>AC18</f>
    </nc>
  </rcc>
  <rcc rId="10642" sId="20">
    <oc r="AD17">
      <f>AD18</f>
    </oc>
    <nc r="AD17">
      <f>AD18</f>
    </nc>
  </rcc>
  <rcc rId="10643" sId="20">
    <oc r="AE17">
      <f>AE18</f>
    </oc>
    <nc r="AE17">
      <f>AE18</f>
    </nc>
  </rcc>
  <rcc rId="10644" sId="20" odxf="1" dxf="1">
    <nc r="AF17" t="inlineStr">
      <is>
        <t>Заключно соглашение о предоставление из  бюджета города Когалыма Югорскому фонду капитального ремонта многоквартирных домов субсидии на долевое финансирование обеспечение  проведения капитального ремонта общего имущества в многоквартирных домах, расположенных на территории города Когалыма № 31/МС от 06.05.2024 года;</t>
      </is>
    </nc>
    <odxf>
      <font>
        <b/>
        <sz val="12"/>
        <color auto="1"/>
        <name val="Times New Roman"/>
        <scheme val="none"/>
      </font>
      <alignment vertical="bottom" wrapText="0" readingOrder="0"/>
    </odxf>
    <ndxf>
      <font>
        <b val="0"/>
        <sz val="12"/>
        <color auto="1"/>
        <name val="Times New Roman"/>
        <scheme val="none"/>
      </font>
      <alignment vertical="top" wrapText="1" readingOrder="0"/>
    </ndxf>
  </rcc>
  <rcc rId="10645" sId="20">
    <oc r="B18">
      <f>H18+J18+L18+N18+P18+R18+T18+V18+X18+Z18+AB18+AD18</f>
    </oc>
    <nc r="B18">
      <f>H18+J18+L18+N18+P18+R18+T18+V18+X18+Z18+AB18+AD18</f>
    </nc>
  </rcc>
  <rcc rId="10646" sId="20">
    <oc r="C18">
      <f>H18+J18+L18+N18</f>
    </oc>
    <nc r="C18">
      <f>H18+J18+L18+N18+P18</f>
    </nc>
  </rcc>
  <rcc rId="10647" sId="20">
    <oc r="D18">
      <f>I18+K18+M18</f>
    </oc>
    <nc r="D18">
      <f>I18+K18+M18+O18+Q18</f>
    </nc>
  </rcc>
  <rcc rId="10648" sId="20">
    <oc r="E18">
      <f>I18+K18+M18+O18+Q18+S18+U18+W18+Y18+AA18+AC18+AE18</f>
    </oc>
    <nc r="E18">
      <f>I18+K18+M18+O18+Q18+S18+U18+W18+Y18+AA18+AC18+AE18</f>
    </nc>
  </rcc>
  <rcc rId="10649" sId="20">
    <oc r="F18">
      <f>IFERROR(E18/B18*100,0)</f>
    </oc>
    <nc r="F18">
      <f>IFERROR(E18/B18*100,0)</f>
    </nc>
  </rcc>
  <rcc rId="10650" sId="20">
    <oc r="G18">
      <f>IFERROR(E18/C18*100,0)</f>
    </oc>
    <nc r="G18">
      <f>IFERROR(E18/C18*100,0)</f>
    </nc>
  </rcc>
  <rcc rId="10651" sId="20">
    <oc r="H18">
      <f>H9</f>
    </oc>
    <nc r="H18">
      <f>H9</f>
    </nc>
  </rcc>
  <rcc rId="10652" sId="20">
    <oc r="I18">
      <f>I9</f>
    </oc>
    <nc r="I18">
      <f>I9</f>
    </nc>
  </rcc>
  <rcc rId="10653" sId="20">
    <oc r="J18">
      <f>J9</f>
    </oc>
    <nc r="J18">
      <f>J9</f>
    </nc>
  </rcc>
  <rcc rId="10654" sId="20">
    <oc r="K18">
      <f>K9</f>
    </oc>
    <nc r="K18">
      <f>K9</f>
    </nc>
  </rcc>
  <rcc rId="10655" sId="20">
    <oc r="L18">
      <f>L9</f>
    </oc>
    <nc r="L18">
      <f>L9</f>
    </nc>
  </rcc>
  <rcc rId="10656" sId="20">
    <oc r="M18">
      <f>M9</f>
    </oc>
    <nc r="M18">
      <f>M9</f>
    </nc>
  </rcc>
  <rcc rId="10657" sId="20">
    <oc r="N18">
      <f>N9</f>
    </oc>
    <nc r="N18">
      <f>N9</f>
    </nc>
  </rcc>
  <rcc rId="10658" sId="20">
    <oc r="O18">
      <f>O9</f>
    </oc>
    <nc r="O18">
      <f>O9</f>
    </nc>
  </rcc>
  <rcc rId="10659" sId="20">
    <oc r="P18">
      <f>P9</f>
    </oc>
    <nc r="P18">
      <f>P9</f>
    </nc>
  </rcc>
  <rcc rId="10660" sId="20">
    <oc r="Q18">
      <f>Q9</f>
    </oc>
    <nc r="Q18">
      <f>Q9</f>
    </nc>
  </rcc>
  <rcc rId="10661" sId="20">
    <oc r="R18">
      <f>R9</f>
    </oc>
    <nc r="R18">
      <f>R9</f>
    </nc>
  </rcc>
  <rcc rId="10662" sId="20">
    <oc r="S18">
      <f>S9</f>
    </oc>
    <nc r="S18">
      <f>S9</f>
    </nc>
  </rcc>
  <rcc rId="10663" sId="20">
    <oc r="T18">
      <f>T9</f>
    </oc>
    <nc r="T18">
      <f>T9</f>
    </nc>
  </rcc>
  <rcc rId="10664" sId="20">
    <oc r="U18">
      <f>U9</f>
    </oc>
    <nc r="U18">
      <f>U9</f>
    </nc>
  </rcc>
  <rcc rId="10665" sId="20">
    <oc r="V18">
      <f>V9</f>
    </oc>
    <nc r="V18">
      <f>V9</f>
    </nc>
  </rcc>
  <rcc rId="10666" sId="20">
    <oc r="W18">
      <f>W9</f>
    </oc>
    <nc r="W18">
      <f>W9</f>
    </nc>
  </rcc>
  <rcc rId="10667" sId="20">
    <oc r="X18">
      <f>X9</f>
    </oc>
    <nc r="X18">
      <f>X9</f>
    </nc>
  </rcc>
  <rcc rId="10668" sId="20">
    <oc r="Y18">
      <f>Y9</f>
    </oc>
    <nc r="Y18">
      <f>Y9</f>
    </nc>
  </rcc>
  <rcc rId="10669" sId="20">
    <oc r="Z18">
      <f>Z9</f>
    </oc>
    <nc r="Z18">
      <f>Z9</f>
    </nc>
  </rcc>
  <rcc rId="10670" sId="20">
    <oc r="AA18">
      <f>AA9</f>
    </oc>
    <nc r="AA18">
      <f>AA9</f>
    </nc>
  </rcc>
  <rcc rId="10671" sId="20">
    <oc r="AB18">
      <f>AB9</f>
    </oc>
    <nc r="AB18">
      <f>AB9</f>
    </nc>
  </rcc>
  <rcc rId="10672" sId="20">
    <oc r="AC18">
      <f>AC9</f>
    </oc>
    <nc r="AC18">
      <f>AC9</f>
    </nc>
  </rcc>
  <rcc rId="10673" sId="20">
    <oc r="AD18">
      <f>AD9</f>
    </oc>
    <nc r="AD18">
      <f>AD9</f>
    </nc>
  </rcc>
  <rcc rId="10674" sId="20">
    <oc r="AE18">
      <f>AE9</f>
    </oc>
    <nc r="AE18">
      <f>AE9</f>
    </nc>
  </rcc>
  <rcc rId="10675" sId="20">
    <nc r="AF18" t="inlineStr">
      <is>
        <t>-сумма соглашения: 2 958 026,73</t>
      </is>
    </nc>
  </rcc>
  <rcc rId="10676" sId="20" odxf="1" dxf="1">
    <nc r="AF19" t="inlineStr">
      <is>
        <t>-сроки предоставления : с 06.05.2024 по 31.12.2024 г.</t>
      </is>
    </nc>
    <odxf>
      <font>
        <b/>
        <sz val="12"/>
        <color rgb="FFFF0000"/>
        <name val="Times New Roman"/>
        <scheme val="none"/>
      </font>
    </odxf>
    <ndxf>
      <font>
        <b val="0"/>
        <sz val="12"/>
        <color auto="1"/>
        <name val="Times New Roman"/>
        <scheme val="none"/>
      </font>
    </ndxf>
  </rcc>
  <rcc rId="10677" sId="20">
    <oc r="B22">
      <f>B23+B24+B26</f>
    </oc>
    <nc r="B22">
      <f>B23+B24+B26</f>
    </nc>
  </rcc>
  <rcc rId="10678" sId="20">
    <oc r="C22">
      <f>C23+C24+C26</f>
    </oc>
    <nc r="C22">
      <f>C23+C24+C26</f>
    </nc>
  </rcc>
  <rcc rId="10679" sId="20">
    <oc r="D22">
      <f>D23+D24+D26</f>
    </oc>
    <nc r="D22">
      <f>D23+D24+D26</f>
    </nc>
  </rcc>
  <rcc rId="10680" sId="20">
    <oc r="E22">
      <f>E23+E24+E26</f>
    </oc>
    <nc r="E22">
      <f>E23+E24+E26</f>
    </nc>
  </rcc>
  <rcc rId="10681" sId="20">
    <oc r="F22">
      <f>IFERROR(E22/B22*100,0)</f>
    </oc>
    <nc r="F22">
      <f>IFERROR(E22/B22*100,0)</f>
    </nc>
  </rcc>
  <rcc rId="10682" sId="20">
    <oc r="G22">
      <f>IFERROR(E22/C22*100,0)</f>
    </oc>
    <nc r="G22">
      <f>IFERROR(E22/C22*100,0)</f>
    </nc>
  </rcc>
  <rcc rId="10683" sId="20">
    <oc r="H22">
      <f>H23+H24+H26</f>
    </oc>
    <nc r="H22">
      <f>H23+H24+H26</f>
    </nc>
  </rcc>
  <rcc rId="10684" sId="20">
    <oc r="I22">
      <f>I23+I24+I26</f>
    </oc>
    <nc r="I22">
      <f>I23+I24+I26</f>
    </nc>
  </rcc>
  <rcc rId="10685" sId="20">
    <oc r="J22">
      <f>J23+J24+J26</f>
    </oc>
    <nc r="J22">
      <f>J23+J24+J26</f>
    </nc>
  </rcc>
  <rcc rId="10686" sId="20">
    <oc r="K22">
      <f>K23+K24+K26</f>
    </oc>
    <nc r="K22">
      <f>K23+K24+K26</f>
    </nc>
  </rcc>
  <rcc rId="10687" sId="20">
    <oc r="L22">
      <f>L23+L24+L26</f>
    </oc>
    <nc r="L22">
      <f>L23+L24+L26</f>
    </nc>
  </rcc>
  <rcc rId="10688" sId="20">
    <oc r="M22">
      <f>M23+M24+M26</f>
    </oc>
    <nc r="M22">
      <f>M23+M24+M26</f>
    </nc>
  </rcc>
  <rcc rId="10689" sId="20">
    <oc r="N22">
      <f>N23+N24+N26</f>
    </oc>
    <nc r="N22">
      <f>N23+N24+N26</f>
    </nc>
  </rcc>
  <rcc rId="10690" sId="20">
    <oc r="O22">
      <f>O23+O24+O26</f>
    </oc>
    <nc r="O22">
      <f>O23+O24+O26</f>
    </nc>
  </rcc>
  <rcc rId="10691" sId="20">
    <oc r="P22">
      <f>P23+P24+P26</f>
    </oc>
    <nc r="P22">
      <f>P23+P24+P26</f>
    </nc>
  </rcc>
  <rcc rId="10692" sId="20">
    <oc r="Q22">
      <f>Q23+Q24+Q26</f>
    </oc>
    <nc r="Q22">
      <f>Q23+Q24+Q26</f>
    </nc>
  </rcc>
  <rcc rId="10693" sId="20">
    <oc r="R22">
      <f>R23+R24+R26</f>
    </oc>
    <nc r="R22">
      <f>R23+R24+R26</f>
    </nc>
  </rcc>
  <rcc rId="10694" sId="20">
    <oc r="S22">
      <f>S23+S24+S26</f>
    </oc>
    <nc r="S22">
      <f>S23+S24+S26</f>
    </nc>
  </rcc>
  <rcc rId="10695" sId="20">
    <oc r="T22">
      <f>T23+T24+T26</f>
    </oc>
    <nc r="T22">
      <f>T23+T24+T26</f>
    </nc>
  </rcc>
  <rcc rId="10696" sId="20">
    <oc r="U22">
      <f>U23+U24+U26</f>
    </oc>
    <nc r="U22">
      <f>U23+U24+U26</f>
    </nc>
  </rcc>
  <rcc rId="10697" sId="20">
    <oc r="V22">
      <f>V23+V24+V26</f>
    </oc>
    <nc r="V22">
      <f>V23+V24+V26</f>
    </nc>
  </rcc>
  <rcc rId="10698" sId="20">
    <oc r="W22">
      <f>W23+W24+W26</f>
    </oc>
    <nc r="W22">
      <f>W23+W24+W26</f>
    </nc>
  </rcc>
  <rcc rId="10699" sId="20">
    <oc r="X22">
      <f>X23+X24+X26</f>
    </oc>
    <nc r="X22">
      <f>X23+X24+X26</f>
    </nc>
  </rcc>
  <rcc rId="10700" sId="20">
    <oc r="Y22">
      <f>Y23+Y24+Y26</f>
    </oc>
    <nc r="Y22">
      <f>Y23+Y24+Y26</f>
    </nc>
  </rcc>
  <rcc rId="10701" sId="20">
    <oc r="Z22">
      <f>Z23+Z24+Z26</f>
    </oc>
    <nc r="Z22">
      <f>Z23+Z24+Z26</f>
    </nc>
  </rcc>
  <rcc rId="10702" sId="20">
    <oc r="AA22">
      <f>AA23+AA24+AA26</f>
    </oc>
    <nc r="AA22">
      <f>AA23+AA24+AA26</f>
    </nc>
  </rcc>
  <rcc rId="10703" sId="20">
    <oc r="AB22">
      <f>AB23+AB24+AB26</f>
    </oc>
    <nc r="AB22">
      <f>AB23+AB24+AB26</f>
    </nc>
  </rcc>
  <rcc rId="10704" sId="20">
    <oc r="AC22">
      <f>AC23+AC24+AC26</f>
    </oc>
    <nc r="AC22">
      <f>AC23+AC24+AC26</f>
    </nc>
  </rcc>
  <rcc rId="10705" sId="20">
    <oc r="AD22">
      <f>AD23+AD24+AD26</f>
    </oc>
    <nc r="AD22">
      <f>AD23+AD24+AD26</f>
    </nc>
  </rcc>
  <rcc rId="10706" sId="20">
    <oc r="AE22">
      <f>AE23+AE24+AE26</f>
    </oc>
    <nc r="AE22">
      <f>AE23+AE24+AE26</f>
    </nc>
  </rcc>
  <rcc rId="10707" sId="20">
    <oc r="B23">
      <f>B29</f>
    </oc>
    <nc r="B23">
      <f>B29</f>
    </nc>
  </rcc>
  <rcc rId="10708" sId="20">
    <oc r="C23">
      <f>H23+J23+L23+N23</f>
    </oc>
    <nc r="C23">
      <f>H23+J23+L23+N23</f>
    </nc>
  </rcc>
  <rcc rId="10709" sId="20">
    <oc r="D23">
      <f>I23+K23+M23+O23</f>
    </oc>
    <nc r="D23">
      <f>I23+K23+M23+O23</f>
    </nc>
  </rcc>
  <rcc rId="10710" sId="20" odxf="1" dxf="1">
    <oc r="E23">
      <f>I23+K23+M23+O23+Q23+S23+U23+W23+Y23+AA23+AC23+AE23</f>
    </oc>
    <nc r="E23">
      <f>I23+K23+M23+O23</f>
    </nc>
    <odxf>
      <numFmt numFmtId="4" formatCode="#,##0.00"/>
    </odxf>
    <ndxf>
      <numFmt numFmtId="172" formatCode="#,##0.00_р_."/>
    </ndxf>
  </rcc>
  <rcc rId="10711" sId="20">
    <oc r="F23">
      <f>IFERROR(E23/B23*100,0)</f>
    </oc>
    <nc r="F23">
      <f>IFERROR(E23/B23*100,0)</f>
    </nc>
  </rcc>
  <rcc rId="10712" sId="20">
    <oc r="G23">
      <f>IFERROR(E23/C23*100,0)</f>
    </oc>
    <nc r="G23">
      <f>IFERROR(E23/C23*100,0)</f>
    </nc>
  </rcc>
  <rcc rId="10713" sId="20">
    <oc r="H23">
      <f>H29</f>
    </oc>
    <nc r="H23">
      <f>H29</f>
    </nc>
  </rcc>
  <rcc rId="10714" sId="20">
    <oc r="I23">
      <f>I29</f>
    </oc>
    <nc r="I23">
      <f>I29</f>
    </nc>
  </rcc>
  <rcc rId="10715" sId="20">
    <oc r="J23">
      <f>J29</f>
    </oc>
    <nc r="J23">
      <f>J29</f>
    </nc>
  </rcc>
  <rcc rId="10716" sId="20">
    <oc r="K23">
      <f>K29</f>
    </oc>
    <nc r="K23">
      <f>K29</f>
    </nc>
  </rcc>
  <rcc rId="10717" sId="20">
    <oc r="L23">
      <f>L29</f>
    </oc>
    <nc r="L23">
      <f>L29</f>
    </nc>
  </rcc>
  <rcc rId="10718" sId="20">
    <oc r="M23">
      <f>M29</f>
    </oc>
    <nc r="M23">
      <f>M29</f>
    </nc>
  </rcc>
  <rcc rId="10719" sId="20">
    <oc r="N23">
      <f>N29</f>
    </oc>
    <nc r="N23">
      <f>N29</f>
    </nc>
  </rcc>
  <rcc rId="10720" sId="20">
    <oc r="O23">
      <f>O29</f>
    </oc>
    <nc r="O23">
      <f>O29</f>
    </nc>
  </rcc>
  <rcc rId="10721" sId="20">
    <oc r="P23">
      <f>P29</f>
    </oc>
    <nc r="P23">
      <f>P29</f>
    </nc>
  </rcc>
  <rcc rId="10722" sId="20">
    <oc r="Q23">
      <f>Q29</f>
    </oc>
    <nc r="Q23">
      <f>Q29</f>
    </nc>
  </rcc>
  <rcc rId="10723" sId="20">
    <oc r="R23">
      <f>R29</f>
    </oc>
    <nc r="R23">
      <f>R29</f>
    </nc>
  </rcc>
  <rcc rId="10724" sId="20">
    <oc r="S23">
      <f>S29</f>
    </oc>
    <nc r="S23">
      <f>S29</f>
    </nc>
  </rcc>
  <rcc rId="10725" sId="20">
    <oc r="T23">
      <f>T29</f>
    </oc>
    <nc r="T23">
      <f>T29</f>
    </nc>
  </rcc>
  <rcc rId="10726" sId="20">
    <oc r="U23">
      <f>U29</f>
    </oc>
    <nc r="U23">
      <f>U29</f>
    </nc>
  </rcc>
  <rcc rId="10727" sId="20">
    <oc r="V23">
      <f>V29</f>
    </oc>
    <nc r="V23">
      <f>V29</f>
    </nc>
  </rcc>
  <rcc rId="10728" sId="20">
    <oc r="W23">
      <f>W29</f>
    </oc>
    <nc r="W23">
      <f>W29</f>
    </nc>
  </rcc>
  <rcc rId="10729" sId="20">
    <oc r="X23">
      <f>X29</f>
    </oc>
    <nc r="X23">
      <f>X29</f>
    </nc>
  </rcc>
  <rcc rId="10730" sId="20">
    <oc r="Y23">
      <f>Y29</f>
    </oc>
    <nc r="Y23">
      <f>Y29</f>
    </nc>
  </rcc>
  <rcc rId="10731" sId="20">
    <oc r="Z23">
      <f>Z29</f>
    </oc>
    <nc r="Z23">
      <f>Z29</f>
    </nc>
  </rcc>
  <rcc rId="10732" sId="20">
    <oc r="AA23">
      <f>AA29</f>
    </oc>
    <nc r="AA23">
      <f>AA29</f>
    </nc>
  </rcc>
  <rcc rId="10733" sId="20">
    <oc r="AB23">
      <f>AB29</f>
    </oc>
    <nc r="AB23">
      <f>AB29</f>
    </nc>
  </rcc>
  <rcc rId="10734" sId="20">
    <oc r="AC23">
      <f>AC29</f>
    </oc>
    <nc r="AC23">
      <f>AC29</f>
    </nc>
  </rcc>
  <rcc rId="10735" sId="20">
    <oc r="AD23">
      <f>AD29</f>
    </oc>
    <nc r="AD23">
      <f>AD29</f>
    </nc>
  </rcc>
  <rcc rId="10736" sId="20">
    <oc r="AE23">
      <f>AE29</f>
    </oc>
    <nc r="AE23">
      <f>AE29</f>
    </nc>
  </rcc>
  <rcc rId="10737" sId="20">
    <oc r="B24">
      <f>B30</f>
    </oc>
    <nc r="B24">
      <f>B30</f>
    </nc>
  </rcc>
  <rcc rId="10738" sId="20">
    <oc r="C24">
      <f>H24+J24+L24+N24</f>
    </oc>
    <nc r="C24">
      <f>H24+J24+L24+N24</f>
    </nc>
  </rcc>
  <rcc rId="10739" sId="20">
    <oc r="D24">
      <f>I24+K24+M24+O24</f>
    </oc>
    <nc r="D24">
      <f>I24+K24+M24+O24</f>
    </nc>
  </rcc>
  <rcc rId="10740" sId="20" odxf="1" dxf="1">
    <oc r="E24">
      <f>I24+K24+M24+O24+Q24+S24+U24+W24+Y24+AA24+AC24+AE24</f>
    </oc>
    <nc r="E24">
      <f>I24+K24+M24+O24</f>
    </nc>
    <odxf>
      <numFmt numFmtId="4" formatCode="#,##0.00"/>
    </odxf>
    <ndxf>
      <numFmt numFmtId="172" formatCode="#,##0.00_р_."/>
    </ndxf>
  </rcc>
  <rcc rId="10741" sId="20">
    <oc r="F24">
      <f>IFERROR(E24/B24*100,0)</f>
    </oc>
    <nc r="F24">
      <f>IFERROR(E24/B24*100,0)</f>
    </nc>
  </rcc>
  <rcc rId="10742" sId="20">
    <oc r="G24">
      <f>IFERROR(E24/C24*100,0)</f>
    </oc>
    <nc r="G24">
      <f>IFERROR(E24/C24*100,0)</f>
    </nc>
  </rcc>
  <rcc rId="10743" sId="20">
    <oc r="H24">
      <f>H30</f>
    </oc>
    <nc r="H24">
      <f>H30</f>
    </nc>
  </rcc>
  <rcc rId="10744" sId="20">
    <oc r="I24">
      <f>I30</f>
    </oc>
    <nc r="I24">
      <f>I30</f>
    </nc>
  </rcc>
  <rcc rId="10745" sId="20">
    <oc r="J24">
      <f>J30</f>
    </oc>
    <nc r="J24">
      <f>J30</f>
    </nc>
  </rcc>
  <rcc rId="10746" sId="20">
    <oc r="K24">
      <f>K30</f>
    </oc>
    <nc r="K24">
      <f>K30</f>
    </nc>
  </rcc>
  <rcc rId="10747" sId="20">
    <oc r="L24">
      <f>L30</f>
    </oc>
    <nc r="L24">
      <f>L30</f>
    </nc>
  </rcc>
  <rcc rId="10748" sId="20">
    <oc r="M24">
      <f>M30</f>
    </oc>
    <nc r="M24">
      <f>M30</f>
    </nc>
  </rcc>
  <rcc rId="10749" sId="20">
    <oc r="N24">
      <f>N30</f>
    </oc>
    <nc r="N24">
      <f>N30</f>
    </nc>
  </rcc>
  <rcc rId="10750" sId="20">
    <oc r="O24">
      <f>O30</f>
    </oc>
    <nc r="O24">
      <f>O30</f>
    </nc>
  </rcc>
  <rcc rId="10751" sId="20">
    <oc r="P24">
      <f>P30</f>
    </oc>
    <nc r="P24">
      <f>P30</f>
    </nc>
  </rcc>
  <rcc rId="10752" sId="20">
    <oc r="Q24">
      <f>Q30</f>
    </oc>
    <nc r="Q24">
      <f>Q30</f>
    </nc>
  </rcc>
  <rcc rId="10753" sId="20">
    <oc r="R24">
      <f>R30</f>
    </oc>
    <nc r="R24">
      <f>R30</f>
    </nc>
  </rcc>
  <rcc rId="10754" sId="20">
    <oc r="S24">
      <f>S30</f>
    </oc>
    <nc r="S24">
      <f>S30</f>
    </nc>
  </rcc>
  <rcc rId="10755" sId="20">
    <oc r="T24">
      <f>T30</f>
    </oc>
    <nc r="T24">
      <f>T30</f>
    </nc>
  </rcc>
  <rcc rId="10756" sId="20">
    <oc r="U24">
      <f>U30</f>
    </oc>
    <nc r="U24">
      <f>U30</f>
    </nc>
  </rcc>
  <rcc rId="10757" sId="20">
    <oc r="V24">
      <f>V30</f>
    </oc>
    <nc r="V24">
      <f>V30</f>
    </nc>
  </rcc>
  <rcc rId="10758" sId="20">
    <oc r="W24">
      <f>W30</f>
    </oc>
    <nc r="W24">
      <f>W30</f>
    </nc>
  </rcc>
  <rcc rId="10759" sId="20">
    <oc r="X24">
      <f>X30</f>
    </oc>
    <nc r="X24">
      <f>X30</f>
    </nc>
  </rcc>
  <rcc rId="10760" sId="20">
    <oc r="Y24">
      <f>Y30</f>
    </oc>
    <nc r="Y24">
      <f>Y30</f>
    </nc>
  </rcc>
  <rcc rId="10761" sId="20">
    <oc r="Z24">
      <f>Z30</f>
    </oc>
    <nc r="Z24">
      <f>Z30</f>
    </nc>
  </rcc>
  <rcc rId="10762" sId="20">
    <oc r="AA24">
      <f>AA30</f>
    </oc>
    <nc r="AA24">
      <f>AA30</f>
    </nc>
  </rcc>
  <rcc rId="10763" sId="20">
    <oc r="AB24">
      <f>AB30</f>
    </oc>
    <nc r="AB24">
      <f>AB30</f>
    </nc>
  </rcc>
  <rcc rId="10764" sId="20">
    <oc r="AC24">
      <f>AC30</f>
    </oc>
    <nc r="AC24">
      <f>AC30</f>
    </nc>
  </rcc>
  <rcc rId="10765" sId="20">
    <oc r="AD24">
      <f>AD30</f>
    </oc>
    <nc r="AD24">
      <f>AD30</f>
    </nc>
  </rcc>
  <rcc rId="10766" sId="20">
    <oc r="AE24">
      <f>AE30</f>
    </oc>
    <nc r="AE24">
      <f>AE30</f>
    </nc>
  </rcc>
  <rcc rId="10767" sId="20">
    <oc r="B25">
      <f>B31</f>
    </oc>
    <nc r="B25">
      <f>B31</f>
    </nc>
  </rcc>
  <rcc rId="10768" sId="20">
    <oc r="C25">
      <f>H25+J25+L25+N25</f>
    </oc>
    <nc r="C25">
      <f>H25+J25+L25+N25</f>
    </nc>
  </rcc>
  <rcc rId="10769" sId="20">
    <oc r="D25">
      <f>I25+K25+M25+O25</f>
    </oc>
    <nc r="D25">
      <f>I25+K25+M25+O25</f>
    </nc>
  </rcc>
  <rcc rId="10770" sId="20" odxf="1" dxf="1">
    <oc r="E25">
      <f>I25+K25+M25+O25+Q25+S25+U25+W25+Y25+AA25+AC25+AE25</f>
    </oc>
    <nc r="E25">
      <f>I25+K25+M25+O25</f>
    </nc>
    <odxf>
      <numFmt numFmtId="4" formatCode="#,##0.00"/>
    </odxf>
    <ndxf>
      <numFmt numFmtId="172" formatCode="#,##0.00_р_."/>
    </ndxf>
  </rcc>
  <rcc rId="10771" sId="20">
    <oc r="F25">
      <f>IFERROR(E25/B25*100,0)</f>
    </oc>
    <nc r="F25">
      <f>IFERROR(E25/B25*100,0)</f>
    </nc>
  </rcc>
  <rcc rId="10772" sId="20">
    <oc r="G25">
      <f>IFERROR(E25/C25*100,0)</f>
    </oc>
    <nc r="G25">
      <f>IFERROR(E25/C25*100,0)</f>
    </nc>
  </rcc>
  <rcc rId="10773" sId="20">
    <oc r="H25">
      <f>H31</f>
    </oc>
    <nc r="H25">
      <f>H31</f>
    </nc>
  </rcc>
  <rcc rId="10774" sId="20">
    <oc r="I25">
      <f>I31</f>
    </oc>
    <nc r="I25">
      <f>I31</f>
    </nc>
  </rcc>
  <rcc rId="10775" sId="20">
    <oc r="J25">
      <f>J31</f>
    </oc>
    <nc r="J25">
      <f>J31</f>
    </nc>
  </rcc>
  <rcc rId="10776" sId="20">
    <oc r="K25">
      <f>K31</f>
    </oc>
    <nc r="K25">
      <f>K31</f>
    </nc>
  </rcc>
  <rcc rId="10777" sId="20">
    <oc r="L25">
      <f>L31</f>
    </oc>
    <nc r="L25">
      <f>L31</f>
    </nc>
  </rcc>
  <rcc rId="10778" sId="20">
    <oc r="M25">
      <f>M31</f>
    </oc>
    <nc r="M25">
      <f>M31</f>
    </nc>
  </rcc>
  <rcc rId="10779" sId="20">
    <oc r="N25">
      <f>N31</f>
    </oc>
    <nc r="N25">
      <f>N31</f>
    </nc>
  </rcc>
  <rcc rId="10780" sId="20">
    <oc r="O25">
      <f>O31</f>
    </oc>
    <nc r="O25">
      <f>O31</f>
    </nc>
  </rcc>
  <rcc rId="10781" sId="20">
    <oc r="P25">
      <f>P31</f>
    </oc>
    <nc r="P25">
      <f>P31</f>
    </nc>
  </rcc>
  <rcc rId="10782" sId="20">
    <oc r="Q25">
      <f>Q31</f>
    </oc>
    <nc r="Q25">
      <f>Q31</f>
    </nc>
  </rcc>
  <rcc rId="10783" sId="20">
    <oc r="R25">
      <f>R31</f>
    </oc>
    <nc r="R25">
      <f>R31</f>
    </nc>
  </rcc>
  <rcc rId="10784" sId="20">
    <oc r="S25">
      <f>S31</f>
    </oc>
    <nc r="S25">
      <f>S31</f>
    </nc>
  </rcc>
  <rcc rId="10785" sId="20">
    <oc r="T25">
      <f>T31</f>
    </oc>
    <nc r="T25">
      <f>T31</f>
    </nc>
  </rcc>
  <rcc rId="10786" sId="20">
    <oc r="U25">
      <f>U31</f>
    </oc>
    <nc r="U25">
      <f>U31</f>
    </nc>
  </rcc>
  <rcc rId="10787" sId="20">
    <oc r="V25">
      <f>V31</f>
    </oc>
    <nc r="V25">
      <f>V31</f>
    </nc>
  </rcc>
  <rcc rId="10788" sId="20">
    <oc r="W25">
      <f>W31</f>
    </oc>
    <nc r="W25">
      <f>W31</f>
    </nc>
  </rcc>
  <rcc rId="10789" sId="20">
    <oc r="X25">
      <f>X31</f>
    </oc>
    <nc r="X25">
      <f>X31</f>
    </nc>
  </rcc>
  <rcc rId="10790" sId="20">
    <oc r="Y25">
      <f>Y31</f>
    </oc>
    <nc r="Y25">
      <f>Y31</f>
    </nc>
  </rcc>
  <rcc rId="10791" sId="20">
    <oc r="Z25">
      <f>Z31</f>
    </oc>
    <nc r="Z25">
      <f>Z31</f>
    </nc>
  </rcc>
  <rcc rId="10792" sId="20">
    <oc r="AA25">
      <f>AA31</f>
    </oc>
    <nc r="AA25">
      <f>AA31</f>
    </nc>
  </rcc>
  <rcc rId="10793" sId="20">
    <oc r="AB25">
      <f>AB31</f>
    </oc>
    <nc r="AB25">
      <f>AB31</f>
    </nc>
  </rcc>
  <rcc rId="10794" sId="20">
    <oc r="AC25">
      <f>AC31</f>
    </oc>
    <nc r="AC25">
      <f>AC31</f>
    </nc>
  </rcc>
  <rcc rId="10795" sId="20">
    <oc r="AD25">
      <f>AD31</f>
    </oc>
    <nc r="AD25">
      <f>AD31</f>
    </nc>
  </rcc>
  <rcc rId="10796" sId="20">
    <oc r="AE25">
      <f>AE31</f>
    </oc>
    <nc r="AE25">
      <f>AE31</f>
    </nc>
  </rcc>
  <rcc rId="10797" sId="20">
    <oc r="B26">
      <f>B32</f>
    </oc>
    <nc r="B26">
      <f>B32</f>
    </nc>
  </rcc>
  <rcc rId="10798" sId="20">
    <oc r="C26">
      <f>H26+J26+L26+N26</f>
    </oc>
    <nc r="C26">
      <f>H26+J26+L26+N26</f>
    </nc>
  </rcc>
  <rcc rId="10799" sId="20">
    <oc r="D26">
      <f>I26+K26+M26+O26</f>
    </oc>
    <nc r="D26">
      <f>I26+K26+M26+O26</f>
    </nc>
  </rcc>
  <rcc rId="10800" sId="20" odxf="1" dxf="1">
    <oc r="E26">
      <f>I26+K26+M26+O26+Q26+S26+U26+W26+Y26+AA26+AC26+AE26</f>
    </oc>
    <nc r="E26">
      <f>I26+K26+M26+O26</f>
    </nc>
    <odxf>
      <numFmt numFmtId="4" formatCode="#,##0.00"/>
    </odxf>
    <ndxf>
      <numFmt numFmtId="172" formatCode="#,##0.00_р_."/>
    </ndxf>
  </rcc>
  <rcc rId="10801" sId="20">
    <oc r="F26">
      <f>IFERROR(E26/B26*100,0)</f>
    </oc>
    <nc r="F26">
      <f>IFERROR(E26/B26*100,0)</f>
    </nc>
  </rcc>
  <rcc rId="10802" sId="20">
    <oc r="G26">
      <f>IFERROR(E26/C26*100,0)</f>
    </oc>
    <nc r="G26">
      <f>IFERROR(E26/C26*100,0)</f>
    </nc>
  </rcc>
  <rcc rId="10803" sId="20">
    <oc r="H26">
      <f>H32</f>
    </oc>
    <nc r="H26">
      <f>H32</f>
    </nc>
  </rcc>
  <rcc rId="10804" sId="20">
    <oc r="I26">
      <f>I32</f>
    </oc>
    <nc r="I26">
      <f>I32</f>
    </nc>
  </rcc>
  <rcc rId="10805" sId="20">
    <oc r="J26">
      <f>J32</f>
    </oc>
    <nc r="J26">
      <f>J32</f>
    </nc>
  </rcc>
  <rcc rId="10806" sId="20">
    <oc r="K26">
      <f>K32</f>
    </oc>
    <nc r="K26">
      <f>K32</f>
    </nc>
  </rcc>
  <rcc rId="10807" sId="20">
    <oc r="L26">
      <f>L32</f>
    </oc>
    <nc r="L26">
      <f>L32</f>
    </nc>
  </rcc>
  <rcc rId="10808" sId="20">
    <oc r="M26">
      <f>M32</f>
    </oc>
    <nc r="M26">
      <f>M32</f>
    </nc>
  </rcc>
  <rcc rId="10809" sId="20">
    <oc r="N26">
      <f>N32</f>
    </oc>
    <nc r="N26">
      <f>N32</f>
    </nc>
  </rcc>
  <rcc rId="10810" sId="20">
    <oc r="O26">
      <f>O32</f>
    </oc>
    <nc r="O26">
      <f>O32</f>
    </nc>
  </rcc>
  <rcc rId="10811" sId="20">
    <oc r="P26">
      <f>P32</f>
    </oc>
    <nc r="P26">
      <f>P32</f>
    </nc>
  </rcc>
  <rcc rId="10812" sId="20">
    <oc r="Q26">
      <f>Q32</f>
    </oc>
    <nc r="Q26">
      <f>Q32</f>
    </nc>
  </rcc>
  <rcc rId="10813" sId="20">
    <oc r="R26">
      <f>R32</f>
    </oc>
    <nc r="R26">
      <f>R32</f>
    </nc>
  </rcc>
  <rcc rId="10814" sId="20">
    <oc r="S26">
      <f>S32</f>
    </oc>
    <nc r="S26">
      <f>S32</f>
    </nc>
  </rcc>
  <rcc rId="10815" sId="20">
    <oc r="T26">
      <f>T32</f>
    </oc>
    <nc r="T26">
      <f>T32</f>
    </nc>
  </rcc>
  <rcc rId="10816" sId="20">
    <oc r="U26">
      <f>U32</f>
    </oc>
    <nc r="U26">
      <f>U32</f>
    </nc>
  </rcc>
  <rcc rId="10817" sId="20">
    <oc r="V26">
      <f>V32</f>
    </oc>
    <nc r="V26">
      <f>V32</f>
    </nc>
  </rcc>
  <rcc rId="10818" sId="20">
    <oc r="W26">
      <f>W32</f>
    </oc>
    <nc r="W26">
      <f>W32</f>
    </nc>
  </rcc>
  <rcc rId="10819" sId="20">
    <oc r="X26">
      <f>X32</f>
    </oc>
    <nc r="X26">
      <f>X32</f>
    </nc>
  </rcc>
  <rcc rId="10820" sId="20">
    <oc r="Y26">
      <f>Y32</f>
    </oc>
    <nc r="Y26">
      <f>Y32</f>
    </nc>
  </rcc>
  <rcc rId="10821" sId="20">
    <oc r="Z26">
      <f>Z32</f>
    </oc>
    <nc r="Z26">
      <f>Z32</f>
    </nc>
  </rcc>
  <rcc rId="10822" sId="20">
    <oc r="AA26">
      <f>AA32</f>
    </oc>
    <nc r="AA26">
      <f>AA32</f>
    </nc>
  </rcc>
  <rcc rId="10823" sId="20">
    <oc r="AB26">
      <f>AB32</f>
    </oc>
    <nc r="AB26">
      <f>AB32</f>
    </nc>
  </rcc>
  <rcc rId="10824" sId="20">
    <oc r="AC26">
      <f>AC32</f>
    </oc>
    <nc r="AC26">
      <f>AC32</f>
    </nc>
  </rcc>
  <rcc rId="10825" sId="20">
    <oc r="AD26">
      <f>AD32</f>
    </oc>
    <nc r="AD26">
      <f>AD32</f>
    </nc>
  </rcc>
  <rcc rId="10826" sId="20">
    <oc r="AE26">
      <f>AE32</f>
    </oc>
    <nc r="AE26">
      <f>AE32</f>
    </nc>
  </rcc>
  <rcc rId="10827" sId="20">
    <oc r="B28">
      <f>B29+B30+B32</f>
    </oc>
    <nc r="B28">
      <f>B29+B30+B32</f>
    </nc>
  </rcc>
  <rcc rId="10828" sId="20">
    <oc r="C28">
      <f>C29+C30+C32</f>
    </oc>
    <nc r="C28">
      <f>C29+C30+C32</f>
    </nc>
  </rcc>
  <rcc rId="10829" sId="20">
    <oc r="D28">
      <f>D29+D30+D32</f>
    </oc>
    <nc r="D28">
      <f>D29+D30+D32</f>
    </nc>
  </rcc>
  <rcc rId="10830" sId="20">
    <oc r="E28">
      <f>E29+E30+E32</f>
    </oc>
    <nc r="E28">
      <f>E29+E30+E32</f>
    </nc>
  </rcc>
  <rcc rId="10831" sId="20">
    <oc r="F28">
      <f>IFERROR(E28/B28*100,0)</f>
    </oc>
    <nc r="F28">
      <f>IFERROR(E28/B28*100,0)</f>
    </nc>
  </rcc>
  <rcc rId="10832" sId="20">
    <oc r="G28">
      <f>IFERROR(E28/C28*100,0)</f>
    </oc>
    <nc r="G28">
      <f>IFERROR(E28/C28*100,0)</f>
    </nc>
  </rcc>
  <rcc rId="10833" sId="20">
    <oc r="H28">
      <f>H29+H30+H32</f>
    </oc>
    <nc r="H28">
      <f>H29+H30+H32</f>
    </nc>
  </rcc>
  <rcc rId="10834" sId="20">
    <oc r="I28">
      <f>I29+I30+I32</f>
    </oc>
    <nc r="I28">
      <f>I29+I30+I32</f>
    </nc>
  </rcc>
  <rcc rId="10835" sId="20">
    <oc r="J28">
      <f>J29+J30+J32</f>
    </oc>
    <nc r="J28">
      <f>J29+J30+J32</f>
    </nc>
  </rcc>
  <rcc rId="10836" sId="20">
    <oc r="K28">
      <f>K29+K30+K32</f>
    </oc>
    <nc r="K28">
      <f>K29+K30+K32</f>
    </nc>
  </rcc>
  <rcc rId="10837" sId="20">
    <oc r="L28">
      <f>L29+L30+L32</f>
    </oc>
    <nc r="L28">
      <f>L29+L30+L32</f>
    </nc>
  </rcc>
  <rcc rId="10838" sId="20">
    <oc r="M28">
      <f>M29+M30+M32</f>
    </oc>
    <nc r="M28">
      <f>M29+M30+M32</f>
    </nc>
  </rcc>
  <rcc rId="10839" sId="20">
    <oc r="N28">
      <f>N29+N30+N32</f>
    </oc>
    <nc r="N28">
      <f>N29+N30+N32</f>
    </nc>
  </rcc>
  <rcc rId="10840" sId="20">
    <oc r="O28">
      <f>O29+O30+O32</f>
    </oc>
    <nc r="O28">
      <f>O29+O30+O32</f>
    </nc>
  </rcc>
  <rcc rId="10841" sId="20">
    <oc r="P28">
      <f>P29+P30+P32</f>
    </oc>
    <nc r="P28">
      <f>P29+P30+P32</f>
    </nc>
  </rcc>
  <rcc rId="10842" sId="20">
    <oc r="Q28">
      <f>Q29+Q30+Q32</f>
    </oc>
    <nc r="Q28">
      <f>Q29+Q30+Q32</f>
    </nc>
  </rcc>
  <rcc rId="10843" sId="20">
    <oc r="R28">
      <f>R29+R30+R32</f>
    </oc>
    <nc r="R28">
      <f>R29+R30+R32</f>
    </nc>
  </rcc>
  <rcc rId="10844" sId="20">
    <oc r="S28">
      <f>S29+S30+S32</f>
    </oc>
    <nc r="S28">
      <f>S29+S30+S32</f>
    </nc>
  </rcc>
  <rcc rId="10845" sId="20">
    <oc r="T28">
      <f>T29+T30+T32</f>
    </oc>
    <nc r="T28">
      <f>T29+T30+T32</f>
    </nc>
  </rcc>
  <rcc rId="10846" sId="20">
    <oc r="U28">
      <f>U29+U30+U32</f>
    </oc>
    <nc r="U28">
      <f>U29+U30+U32</f>
    </nc>
  </rcc>
  <rcc rId="10847" sId="20">
    <oc r="V28">
      <f>V29+V30+V32</f>
    </oc>
    <nc r="V28">
      <f>V29+V30+V32</f>
    </nc>
  </rcc>
  <rcc rId="10848" sId="20">
    <oc r="W28">
      <f>W29+W30+W32</f>
    </oc>
    <nc r="W28">
      <f>W29+W30+W32</f>
    </nc>
  </rcc>
  <rcc rId="10849" sId="20">
    <oc r="X28">
      <f>X29+X30+X32</f>
    </oc>
    <nc r="X28">
      <f>X29+X30+X32</f>
    </nc>
  </rcc>
  <rcc rId="10850" sId="20">
    <oc r="Y28">
      <f>Y29+Y30+Y32</f>
    </oc>
    <nc r="Y28">
      <f>Y29+Y30+Y32</f>
    </nc>
  </rcc>
  <rcc rId="10851" sId="20">
    <oc r="Z28">
      <f>Z29+Z30+Z32</f>
    </oc>
    <nc r="Z28">
      <f>Z29+Z30+Z32</f>
    </nc>
  </rcc>
  <rcc rId="10852" sId="20">
    <oc r="AA28">
      <f>AA29+AA30+AA32</f>
    </oc>
    <nc r="AA28">
      <f>AA29+AA30+AA32</f>
    </nc>
  </rcc>
  <rcc rId="10853" sId="20">
    <oc r="AB28">
      <f>AB29+AB30+AB32</f>
    </oc>
    <nc r="AB28">
      <f>AB29+AB30+AB32</f>
    </nc>
  </rcc>
  <rcc rId="10854" sId="20">
    <oc r="AC28">
      <f>AC29+AC30+AC32</f>
    </oc>
    <nc r="AC28">
      <f>AC29+AC30+AC32</f>
    </nc>
  </rcc>
  <rcc rId="10855" sId="20">
    <oc r="AD28">
      <f>AD29+AD30+AD32</f>
    </oc>
    <nc r="AD28">
      <f>AD29+AD30+AD32</f>
    </nc>
  </rcc>
  <rcc rId="10856" sId="20">
    <oc r="AE28">
      <f>AE29+AE30+AE32</f>
    </oc>
    <nc r="AE28">
      <f>AE29+AE30+AE32</f>
    </nc>
  </rcc>
  <rcc rId="10857" sId="20">
    <oc r="B29">
      <f>H29+J29+L29+N29+P29+R29+T29+V29+X29+Z29+AB29+AD29</f>
    </oc>
    <nc r="B29">
      <f>H29+J29+L29+N29+P29+R29+T29+V29+X29+Z29+AB29+AD29</f>
    </nc>
  </rcc>
  <rcc rId="10858" sId="20">
    <oc r="C29">
      <f>H29+J29+L29+N29</f>
    </oc>
    <nc r="C29">
      <f>H29+J29</f>
    </nc>
  </rcc>
  <rcc rId="10859" sId="20">
    <oc r="D29">
      <f>I29+K29+M29+O29</f>
    </oc>
    <nc r="D29">
      <f>D32+K32</f>
    </nc>
  </rcc>
  <rcc rId="10860" sId="20">
    <oc r="E29">
      <f>I29+K29+M29+O29+Q29+S29+U29+W29+Y29+AA29+AC29+AE29</f>
    </oc>
    <nc r="E29">
      <f>I29+K29+M29+O29+Q29+S29+U29+W29+Y29+AA29+AC29+AE29</f>
    </nc>
  </rcc>
  <rcc rId="10861" sId="20">
    <oc r="F29">
      <f>IFERROR(E29/B29*100,0)</f>
    </oc>
    <nc r="F29">
      <f>IFERROR(E29/B29*100,0)</f>
    </nc>
  </rcc>
  <rcc rId="10862" sId="20">
    <oc r="G29">
      <f>IFERROR(E29/C29*100,0)</f>
    </oc>
    <nc r="G29">
      <f>IFERROR(E29/C29*100,0)</f>
    </nc>
  </rcc>
  <rcc rId="10863" sId="20">
    <oc r="B30">
      <f>H30+J30+L30+N30+P30+R30+T30+V30+X30+Z30+AB30+AD30</f>
    </oc>
    <nc r="B30">
      <f>H30+J30+L30+N30+P30+R30+T30+V30+X30+Z30+AB30+AD30</f>
    </nc>
  </rcc>
  <rcc rId="10864" sId="20">
    <oc r="C30">
      <f>H30+J30+L30+N30</f>
    </oc>
    <nc r="C30">
      <f>H30+J30</f>
    </nc>
  </rcc>
  <rcc rId="10865" sId="20">
    <oc r="D30">
      <f>I30+K30+M30+O30</f>
    </oc>
    <nc r="D30">
      <f>D33+K33</f>
    </nc>
  </rcc>
  <rcc rId="10866" sId="20">
    <oc r="E30">
      <f>I30+K30+M30+O30+Q30+S30+U30+W30+Y30+AA30+AC30+AE30</f>
    </oc>
    <nc r="E30">
      <f>I30+K30+M30+O30+Q30+S30+U30+W30+Y30+AA30+AC30+AE30</f>
    </nc>
  </rcc>
  <rcc rId="10867" sId="20">
    <oc r="F30">
      <f>IFERROR(E30/B30*100,0)</f>
    </oc>
    <nc r="F30">
      <f>IFERROR(E30/B30*100,0)</f>
    </nc>
  </rcc>
  <rcc rId="10868" sId="20">
    <oc r="G30">
      <f>IFERROR(E30/C30*100,0)</f>
    </oc>
    <nc r="G30">
      <f>IFERROR(E30/C30*100,0)</f>
    </nc>
  </rcc>
  <rcc rId="10869" sId="20">
    <oc r="B31">
      <f>H31+J31+L31+N31+P31+R31+T31+V31+X31+Z31+AB31+AD31</f>
    </oc>
    <nc r="B31">
      <f>H31+J31+L31+N31+P31+R31+T31+V31+X31+Z31+AB31+AD31</f>
    </nc>
  </rcc>
  <rcc rId="10870" sId="20">
    <oc r="C31">
      <f>H31+J31+L31+N31</f>
    </oc>
    <nc r="C31">
      <f>H31+J31</f>
    </nc>
  </rcc>
  <rcc rId="10871" sId="20">
    <oc r="D31">
      <f>I31+K31+M31+O31</f>
    </oc>
    <nc r="D31">
      <f>D34+K34</f>
    </nc>
  </rcc>
  <rcc rId="10872" sId="20">
    <oc r="E31">
      <f>I31+K31+M31+O31+Q31+S31+U31+W31+Y31+AA31+AC31+AE31</f>
    </oc>
    <nc r="E31">
      <f>I31+K31+M31+O31+Q31+S31+U31+W31+Y31+AA31+AC31+AE31</f>
    </nc>
  </rcc>
  <rcc rId="10873" sId="20">
    <oc r="F31">
      <f>IFERROR(E31/B31*100,0)</f>
    </oc>
    <nc r="F31">
      <f>IFERROR(E31/B31*100,0)</f>
    </nc>
  </rcc>
  <rcc rId="10874" sId="20">
    <oc r="G31">
      <f>IFERROR(E31/C31*100,0)</f>
    </oc>
    <nc r="G31">
      <f>IFERROR(E31/C31*100,0)</f>
    </nc>
  </rcc>
  <rcc rId="10875" sId="20">
    <oc r="B32">
      <f>H32+J32+L32+N32+P32+R32+T32+V32+X32+Z32+AB32+AD32</f>
    </oc>
    <nc r="B32">
      <f>H32+J32+L32+N32+P32+R32+T32+V32+X32+Z32+AB32+AD32</f>
    </nc>
  </rcc>
  <rcc rId="10876" sId="20">
    <oc r="C32">
      <f>H32+J32+L32+N32</f>
    </oc>
    <nc r="C32">
      <f>H32+J32</f>
    </nc>
  </rcc>
  <rcc rId="10877" sId="20">
    <oc r="D32">
      <f>I32+K32+M32+O32</f>
    </oc>
    <nc r="D32">
      <f>D35+K35</f>
    </nc>
  </rcc>
  <rcc rId="10878" sId="20">
    <oc r="E32">
      <f>I32+K32+M32+O32+Q32+S32+U32+W32+Y32+AA32+AC32+AE32</f>
    </oc>
    <nc r="E32">
      <f>I32+K32+M32+O32+Q32+S32+U32+W32+Y32+AA32+AC32+AE32</f>
    </nc>
  </rcc>
  <rcc rId="10879" sId="20">
    <oc r="F32">
      <f>IFERROR(E32/B32*100,0)</f>
    </oc>
    <nc r="F32">
      <f>IFERROR(E32/B32*100,0)</f>
    </nc>
  </rcc>
  <rcc rId="10880" sId="20">
    <oc r="G32">
      <f>IFERROR(E32/C32*100,0)</f>
    </oc>
    <nc r="G32">
      <f>IFERROR(E32/C32*100,0)</f>
    </nc>
  </rcc>
  <rcc rId="10881" sId="20">
    <oc r="B34">
      <f>B35+B36+B38</f>
    </oc>
    <nc r="B34">
      <f>B35+B36+B38</f>
    </nc>
  </rcc>
  <rcc rId="10882" sId="20">
    <oc r="C34">
      <f>C35+C36+C38</f>
    </oc>
    <nc r="C34">
      <f>C35+C36+C38</f>
    </nc>
  </rcc>
  <rcc rId="10883" sId="20">
    <oc r="D34">
      <f>D35+D36+D38</f>
    </oc>
    <nc r="D34">
      <f>D35+D36+D38</f>
    </nc>
  </rcc>
  <rcc rId="10884" sId="20">
    <oc r="E34">
      <f>E35+E36+E38</f>
    </oc>
    <nc r="E34">
      <f>E35+E36+E38</f>
    </nc>
  </rcc>
  <rcc rId="10885" sId="20">
    <oc r="F34">
      <f>IFERROR(E34/B34*100,0)</f>
    </oc>
    <nc r="F34">
      <f>IFERROR(E34/B34*100,0)</f>
    </nc>
  </rcc>
  <rcc rId="10886" sId="20">
    <oc r="G34">
      <f>IFERROR(E34/C34*100,0)</f>
    </oc>
    <nc r="G34">
      <f>IFERROR(E34/C34*100,0)</f>
    </nc>
  </rcc>
  <rcc rId="10887" sId="20">
    <oc r="H34">
      <f>H35+H36+H38</f>
    </oc>
    <nc r="H34">
      <f>H35+H36+H38</f>
    </nc>
  </rcc>
  <rcc rId="10888" sId="20">
    <oc r="I34">
      <f>I35+I36+I38</f>
    </oc>
    <nc r="I34">
      <f>I35+I36+I38</f>
    </nc>
  </rcc>
  <rcc rId="10889" sId="20">
    <oc r="J34">
      <f>J35+J36+J38</f>
    </oc>
    <nc r="J34">
      <f>J35+J36+J38</f>
    </nc>
  </rcc>
  <rcc rId="10890" sId="20">
    <oc r="K34">
      <f>K35+K36+K38</f>
    </oc>
    <nc r="K34">
      <f>K35+K36+K38</f>
    </nc>
  </rcc>
  <rcc rId="10891" sId="20">
    <oc r="L34">
      <f>L35+L36+L38</f>
    </oc>
    <nc r="L34">
      <f>L35+L36+L38</f>
    </nc>
  </rcc>
  <rcc rId="10892" sId="20">
    <oc r="M34">
      <f>M35+M36+M38</f>
    </oc>
    <nc r="M34">
      <f>M35+M36+M38</f>
    </nc>
  </rcc>
  <rcc rId="10893" sId="20">
    <oc r="N34">
      <f>N35+N36+N38</f>
    </oc>
    <nc r="N34">
      <f>N35+N36+N38</f>
    </nc>
  </rcc>
  <rcc rId="10894" sId="20">
    <oc r="O34">
      <f>O35+O36+O38</f>
    </oc>
    <nc r="O34">
      <f>O35+O36+O38</f>
    </nc>
  </rcc>
  <rcc rId="10895" sId="20">
    <oc r="P34">
      <f>P35+P36+P38</f>
    </oc>
    <nc r="P34">
      <f>P35+P36+P38</f>
    </nc>
  </rcc>
  <rcc rId="10896" sId="20">
    <oc r="Q34">
      <f>Q35+Q36+Q38</f>
    </oc>
    <nc r="Q34">
      <f>Q35+Q36+Q38</f>
    </nc>
  </rcc>
  <rcc rId="10897" sId="20">
    <oc r="R34">
      <f>R35+R36+R38</f>
    </oc>
    <nc r="R34">
      <f>R35+R36+R38</f>
    </nc>
  </rcc>
  <rcc rId="10898" sId="20">
    <oc r="S34">
      <f>S35+S36+S38</f>
    </oc>
    <nc r="S34">
      <f>S35+S36+S38</f>
    </nc>
  </rcc>
  <rcc rId="10899" sId="20">
    <oc r="T34">
      <f>T35+T36+T38</f>
    </oc>
    <nc r="T34">
      <f>T35+T36+T38</f>
    </nc>
  </rcc>
  <rcc rId="10900" sId="20">
    <oc r="U34">
      <f>U35+U36+U38</f>
    </oc>
    <nc r="U34">
      <f>U35+U36+U38</f>
    </nc>
  </rcc>
  <rcc rId="10901" sId="20">
    <oc r="V34">
      <f>V35+V36+V38</f>
    </oc>
    <nc r="V34">
      <f>V35+V36+V38</f>
    </nc>
  </rcc>
  <rcc rId="10902" sId="20">
    <oc r="W34">
      <f>W35+W36+W38</f>
    </oc>
    <nc r="W34">
      <f>W35+W36+W38</f>
    </nc>
  </rcc>
  <rcc rId="10903" sId="20">
    <oc r="X34">
      <f>X35+X36+X38</f>
    </oc>
    <nc r="X34">
      <f>X35+X36+X38</f>
    </nc>
  </rcc>
  <rcc rId="10904" sId="20">
    <oc r="Y34">
      <f>Y35+Y36+Y38</f>
    </oc>
    <nc r="Y34">
      <f>Y35+Y36+Y38</f>
    </nc>
  </rcc>
  <rcc rId="10905" sId="20">
    <oc r="Z34">
      <f>Z35+Z36+Z38</f>
    </oc>
    <nc r="Z34">
      <f>Z35+Z36+Z38</f>
    </nc>
  </rcc>
  <rcc rId="10906" sId="20">
    <oc r="AA34">
      <f>AA35+AA36+AA38</f>
    </oc>
    <nc r="AA34">
      <f>AA35+AA36+AA38</f>
    </nc>
  </rcc>
  <rcc rId="10907" sId="20">
    <oc r="AB34">
      <f>AB35+AB36+AB38</f>
    </oc>
    <nc r="AB34">
      <f>AB35+AB36+AB38</f>
    </nc>
  </rcc>
  <rcc rId="10908" sId="20">
    <oc r="AC34">
      <f>AC35+AC36+AC38</f>
    </oc>
    <nc r="AC34">
      <f>AC35+AC36+AC38</f>
    </nc>
  </rcc>
  <rcc rId="10909" sId="20">
    <oc r="AD34">
      <f>AD35+AD36+AD38</f>
    </oc>
    <nc r="AD34">
      <f>AD35+AD36+AD38</f>
    </nc>
  </rcc>
  <rcc rId="10910" sId="20">
    <oc r="AE34">
      <f>AE35+AE36+AE38</f>
    </oc>
    <nc r="AE34">
      <f>AE35+AE36+AE38</f>
    </nc>
  </rcc>
  <rcc rId="10911" sId="20">
    <oc r="B35">
      <f>H35+J35+L35+N35+P35+R35+T35+V35+X35+Z35+AB35+AD35</f>
    </oc>
    <nc r="B35">
      <f>H35+J35+L35+N35+P35+R35+T35+V35+X35+Z35+AB35+AD35</f>
    </nc>
  </rcc>
  <rcc rId="10912" sId="20">
    <oc r="C35">
      <f>H35+J35+L35+N35</f>
    </oc>
    <nc r="C35">
      <f>H35+J35</f>
    </nc>
  </rcc>
  <rcc rId="10913" sId="20">
    <oc r="D35">
      <f>I35+K35+M35+O35</f>
    </oc>
    <nc r="D35">
      <f>D38+K38</f>
    </nc>
  </rcc>
  <rcc rId="10914" sId="20">
    <oc r="E35">
      <f>I35+K35+M35+O35+Q35+S35+U35+W35+Y35+AA35+AC35+AE35</f>
    </oc>
    <nc r="E35">
      <f>E23</f>
    </nc>
  </rcc>
  <rcc rId="10915" sId="20">
    <oc r="F35">
      <f>IFERROR(E35/B35*100,0)</f>
    </oc>
    <nc r="F35">
      <f>IFERROR(E35/B35*100,0)</f>
    </nc>
  </rcc>
  <rcc rId="10916" sId="20">
    <oc r="G35">
      <f>IFERROR(E35/C35*100,0)</f>
    </oc>
    <nc r="G35">
      <f>IFERROR(E35/C35*100,0)</f>
    </nc>
  </rcc>
  <rcc rId="10917" sId="20">
    <oc r="H35">
      <f>H23</f>
    </oc>
    <nc r="H35">
      <f>H23</f>
    </nc>
  </rcc>
  <rcc rId="10918" sId="20">
    <oc r="I35">
      <f>I23</f>
    </oc>
    <nc r="I35">
      <f>I23</f>
    </nc>
  </rcc>
  <rcc rId="10919" sId="20">
    <oc r="J35">
      <f>J23</f>
    </oc>
    <nc r="J35">
      <f>J23</f>
    </nc>
  </rcc>
  <rcc rId="10920" sId="20">
    <oc r="K35">
      <f>K23</f>
    </oc>
    <nc r="K35">
      <f>K23</f>
    </nc>
  </rcc>
  <rcc rId="10921" sId="20">
    <oc r="L35">
      <f>L23</f>
    </oc>
    <nc r="L35">
      <f>L23</f>
    </nc>
  </rcc>
  <rcc rId="10922" sId="20">
    <oc r="M35">
      <f>M23</f>
    </oc>
    <nc r="M35">
      <f>M23</f>
    </nc>
  </rcc>
  <rcc rId="10923" sId="20">
    <oc r="N35">
      <f>N23</f>
    </oc>
    <nc r="N35">
      <f>N23</f>
    </nc>
  </rcc>
  <rcc rId="10924" sId="20">
    <oc r="O35">
      <f>O23</f>
    </oc>
    <nc r="O35">
      <f>O23</f>
    </nc>
  </rcc>
  <rcc rId="10925" sId="20">
    <oc r="P35">
      <f>P23</f>
    </oc>
    <nc r="P35">
      <f>P23</f>
    </nc>
  </rcc>
  <rcc rId="10926" sId="20">
    <oc r="Q35">
      <f>Q23</f>
    </oc>
    <nc r="Q35">
      <f>Q23</f>
    </nc>
  </rcc>
  <rcc rId="10927" sId="20">
    <oc r="R35">
      <f>R23</f>
    </oc>
    <nc r="R35">
      <f>R23</f>
    </nc>
  </rcc>
  <rcc rId="10928" sId="20">
    <oc r="S35">
      <f>S23</f>
    </oc>
    <nc r="S35">
      <f>S23</f>
    </nc>
  </rcc>
  <rcc rId="10929" sId="20">
    <oc r="T35">
      <f>T23</f>
    </oc>
    <nc r="T35">
      <f>T23</f>
    </nc>
  </rcc>
  <rcc rId="10930" sId="20">
    <oc r="U35">
      <f>U23</f>
    </oc>
    <nc r="U35">
      <f>U23</f>
    </nc>
  </rcc>
  <rcc rId="10931" sId="20">
    <oc r="V35">
      <f>V23</f>
    </oc>
    <nc r="V35">
      <f>V23</f>
    </nc>
  </rcc>
  <rcc rId="10932" sId="20">
    <oc r="W35">
      <f>W23</f>
    </oc>
    <nc r="W35">
      <f>W23</f>
    </nc>
  </rcc>
  <rcc rId="10933" sId="20">
    <oc r="X35">
      <f>X23</f>
    </oc>
    <nc r="X35">
      <f>X23</f>
    </nc>
  </rcc>
  <rcc rId="10934" sId="20">
    <oc r="Y35">
      <f>Y23</f>
    </oc>
    <nc r="Y35">
      <f>Y23</f>
    </nc>
  </rcc>
  <rcc rId="10935" sId="20">
    <oc r="Z35">
      <f>Z23</f>
    </oc>
    <nc r="Z35">
      <f>Z23</f>
    </nc>
  </rcc>
  <rcc rId="10936" sId="20">
    <oc r="AA35">
      <f>AA23</f>
    </oc>
    <nc r="AA35">
      <f>AA23</f>
    </nc>
  </rcc>
  <rcc rId="10937" sId="20">
    <oc r="AB35">
      <f>AB23</f>
    </oc>
    <nc r="AB35">
      <f>AB23</f>
    </nc>
  </rcc>
  <rcc rId="10938" sId="20">
    <oc r="AC35">
      <f>AC23</f>
    </oc>
    <nc r="AC35">
      <f>AC23</f>
    </nc>
  </rcc>
  <rcc rId="10939" sId="20">
    <oc r="AD35">
      <f>AD23</f>
    </oc>
    <nc r="AD35">
      <f>AD23</f>
    </nc>
  </rcc>
  <rcc rId="10940" sId="20">
    <oc r="AE35">
      <f>AE23</f>
    </oc>
    <nc r="AE35">
      <f>AE23</f>
    </nc>
  </rcc>
  <rcc rId="10941" sId="20">
    <oc r="B36">
      <f>H36+J36+L36+N36+P36+R36+T36+V36+X36+Z36+AB36+AD36</f>
    </oc>
    <nc r="B36">
      <f>H36+J36+L36+N36+P36+R36+T36+V36+X36+Z36+AB36+AD36</f>
    </nc>
  </rcc>
  <rcc rId="10942" sId="20">
    <oc r="C36">
      <f>H36+J36+L36+N36</f>
    </oc>
    <nc r="C36">
      <f>H36+J36</f>
    </nc>
  </rcc>
  <rcc rId="10943" sId="20">
    <oc r="D36">
      <f>I36+K36+M36+O36</f>
    </oc>
    <nc r="D36">
      <f>D39+K39</f>
    </nc>
  </rcc>
  <rcc rId="10944" sId="20">
    <oc r="E36">
      <f>I36+K36+M36+O36+Q36+S36+U36+W36+Y36+AA36+AC36+AE36</f>
    </oc>
    <nc r="E36">
      <f>E24</f>
    </nc>
  </rcc>
  <rcc rId="10945" sId="20">
    <oc r="F36">
      <f>IFERROR(E36/B36*100,0)</f>
    </oc>
    <nc r="F36">
      <f>IFERROR(E36/B36*100,0)</f>
    </nc>
  </rcc>
  <rcc rId="10946" sId="20">
    <oc r="G36">
      <f>IFERROR(E36/C36*100,0)</f>
    </oc>
    <nc r="G36">
      <f>IFERROR(E36/C36*100,0)</f>
    </nc>
  </rcc>
  <rcc rId="10947" sId="20">
    <oc r="H36">
      <f>H24</f>
    </oc>
    <nc r="H36">
      <f>H24</f>
    </nc>
  </rcc>
  <rcc rId="10948" sId="20">
    <oc r="I36">
      <f>I24</f>
    </oc>
    <nc r="I36">
      <f>I24</f>
    </nc>
  </rcc>
  <rcc rId="10949" sId="20">
    <oc r="J36">
      <f>J24</f>
    </oc>
    <nc r="J36">
      <f>J24</f>
    </nc>
  </rcc>
  <rcc rId="10950" sId="20">
    <oc r="K36">
      <f>K24</f>
    </oc>
    <nc r="K36">
      <f>K24</f>
    </nc>
  </rcc>
  <rcc rId="10951" sId="20">
    <oc r="L36">
      <f>L24</f>
    </oc>
    <nc r="L36">
      <f>L24</f>
    </nc>
  </rcc>
  <rcc rId="10952" sId="20">
    <oc r="M36">
      <f>M24</f>
    </oc>
    <nc r="M36">
      <f>M24</f>
    </nc>
  </rcc>
  <rcc rId="10953" sId="20">
    <oc r="N36">
      <f>N24</f>
    </oc>
    <nc r="N36">
      <f>N24</f>
    </nc>
  </rcc>
  <rcc rId="10954" sId="20">
    <oc r="O36">
      <f>O24</f>
    </oc>
    <nc r="O36">
      <f>O24</f>
    </nc>
  </rcc>
  <rcc rId="10955" sId="20">
    <oc r="P36">
      <f>P24</f>
    </oc>
    <nc r="P36">
      <f>P24</f>
    </nc>
  </rcc>
  <rcc rId="10956" sId="20">
    <oc r="Q36">
      <f>Q24</f>
    </oc>
    <nc r="Q36">
      <f>Q24</f>
    </nc>
  </rcc>
  <rcc rId="10957" sId="20">
    <oc r="R36">
      <f>R24</f>
    </oc>
    <nc r="R36">
      <f>R24</f>
    </nc>
  </rcc>
  <rcc rId="10958" sId="20">
    <oc r="S36">
      <f>S24</f>
    </oc>
    <nc r="S36">
      <f>S24</f>
    </nc>
  </rcc>
  <rcc rId="10959" sId="20">
    <oc r="T36">
      <f>T24</f>
    </oc>
    <nc r="T36">
      <f>T24</f>
    </nc>
  </rcc>
  <rcc rId="10960" sId="20">
    <oc r="U36">
      <f>U24</f>
    </oc>
    <nc r="U36">
      <f>U24</f>
    </nc>
  </rcc>
  <rcc rId="10961" sId="20">
    <oc r="V36">
      <f>V24</f>
    </oc>
    <nc r="V36">
      <f>V24</f>
    </nc>
  </rcc>
  <rcc rId="10962" sId="20">
    <oc r="W36">
      <f>W24</f>
    </oc>
    <nc r="W36">
      <f>W24</f>
    </nc>
  </rcc>
  <rcc rId="10963" sId="20">
    <oc r="X36">
      <f>X24</f>
    </oc>
    <nc r="X36">
      <f>X24</f>
    </nc>
  </rcc>
  <rcc rId="10964" sId="20">
    <oc r="Y36">
      <f>Y24</f>
    </oc>
    <nc r="Y36">
      <f>Y24</f>
    </nc>
  </rcc>
  <rcc rId="10965" sId="20">
    <oc r="Z36">
      <f>Z24</f>
    </oc>
    <nc r="Z36">
      <f>Z24</f>
    </nc>
  </rcc>
  <rcc rId="10966" sId="20">
    <oc r="AA36">
      <f>AA24</f>
    </oc>
    <nc r="AA36">
      <f>AA24</f>
    </nc>
  </rcc>
  <rcc rId="10967" sId="20">
    <oc r="AB36">
      <f>AB24</f>
    </oc>
    <nc r="AB36">
      <f>AB24</f>
    </nc>
  </rcc>
  <rcc rId="10968" sId="20">
    <oc r="AC36">
      <f>AC24</f>
    </oc>
    <nc r="AC36">
      <f>AC24</f>
    </nc>
  </rcc>
  <rcc rId="10969" sId="20">
    <oc r="AD36">
      <f>AD24</f>
    </oc>
    <nc r="AD36">
      <f>AD24</f>
    </nc>
  </rcc>
  <rcc rId="10970" sId="20">
    <oc r="AE36">
      <f>AE24</f>
    </oc>
    <nc r="AE36">
      <f>AE24</f>
    </nc>
  </rcc>
  <rcc rId="10971" sId="20">
    <oc r="B37">
      <f>H37+J37+L37+N37+P37+R37+T37+V37+X37+Z37+AB37+AD37</f>
    </oc>
    <nc r="B37">
      <f>H37+J37+L37+N37+P37+R37+T37+V37+X37+Z37+AB37+AD37</f>
    </nc>
  </rcc>
  <rcc rId="10972" sId="20">
    <oc r="C37">
      <f>H37+J37+L37+N37</f>
    </oc>
    <nc r="C37">
      <f>H37+J37</f>
    </nc>
  </rcc>
  <rcc rId="10973" sId="20">
    <oc r="D37">
      <f>I37+K37+M37+O37</f>
    </oc>
    <nc r="D37">
      <f>D40+K40</f>
    </nc>
  </rcc>
  <rcc rId="10974" sId="20">
    <oc r="E37">
      <f>I37+K37+M37+O37+Q37+S37+U37+W37+Y37+AA37+AC37+AE37</f>
    </oc>
    <nc r="E37">
      <f>E25</f>
    </nc>
  </rcc>
  <rcc rId="10975" sId="20">
    <oc r="F37">
      <f>IFERROR(E37/B37*100,0)</f>
    </oc>
    <nc r="F37">
      <f>IFERROR(E37/B37*100,0)</f>
    </nc>
  </rcc>
  <rcc rId="10976" sId="20">
    <oc r="G37">
      <f>IFERROR(E37/C37*100,0)</f>
    </oc>
    <nc r="G37">
      <f>IFERROR(E37/C37*100,0)</f>
    </nc>
  </rcc>
  <rcc rId="10977" sId="20">
    <oc r="H37">
      <f>H25</f>
    </oc>
    <nc r="H37">
      <f>H25</f>
    </nc>
  </rcc>
  <rcc rId="10978" sId="20">
    <oc r="I37">
      <f>I25</f>
    </oc>
    <nc r="I37">
      <f>I25</f>
    </nc>
  </rcc>
  <rcc rId="10979" sId="20">
    <oc r="J37">
      <f>J25</f>
    </oc>
    <nc r="J37">
      <f>J25</f>
    </nc>
  </rcc>
  <rcc rId="10980" sId="20">
    <oc r="K37">
      <f>K25</f>
    </oc>
    <nc r="K37">
      <f>K25</f>
    </nc>
  </rcc>
  <rcc rId="10981" sId="20">
    <oc r="L37">
      <f>L25</f>
    </oc>
    <nc r="L37">
      <f>L25</f>
    </nc>
  </rcc>
  <rcc rId="10982" sId="20">
    <oc r="M37">
      <f>M25</f>
    </oc>
    <nc r="M37">
      <f>M25</f>
    </nc>
  </rcc>
  <rcc rId="10983" sId="20">
    <oc r="N37">
      <f>N25</f>
    </oc>
    <nc r="N37">
      <f>N25</f>
    </nc>
  </rcc>
  <rcc rId="10984" sId="20">
    <oc r="O37">
      <f>O25</f>
    </oc>
    <nc r="O37">
      <f>O25</f>
    </nc>
  </rcc>
  <rcc rId="10985" sId="20">
    <oc r="P37">
      <f>P25</f>
    </oc>
    <nc r="P37">
      <f>P25</f>
    </nc>
  </rcc>
  <rcc rId="10986" sId="20">
    <oc r="Q37">
      <f>Q25</f>
    </oc>
    <nc r="Q37">
      <f>Q25</f>
    </nc>
  </rcc>
  <rcc rId="10987" sId="20">
    <oc r="R37">
      <f>R25</f>
    </oc>
    <nc r="R37">
      <f>R25</f>
    </nc>
  </rcc>
  <rcc rId="10988" sId="20">
    <oc r="S37">
      <f>S25</f>
    </oc>
    <nc r="S37">
      <f>S25</f>
    </nc>
  </rcc>
  <rcc rId="10989" sId="20">
    <oc r="T37">
      <f>T25</f>
    </oc>
    <nc r="T37">
      <f>T25</f>
    </nc>
  </rcc>
  <rcc rId="10990" sId="20">
    <oc r="U37">
      <f>U25</f>
    </oc>
    <nc r="U37">
      <f>U25</f>
    </nc>
  </rcc>
  <rcc rId="10991" sId="20">
    <oc r="V37">
      <f>V25</f>
    </oc>
    <nc r="V37">
      <f>V25</f>
    </nc>
  </rcc>
  <rcc rId="10992" sId="20">
    <oc r="W37">
      <f>W25</f>
    </oc>
    <nc r="W37">
      <f>W25</f>
    </nc>
  </rcc>
  <rcc rId="10993" sId="20">
    <oc r="X37">
      <f>X25</f>
    </oc>
    <nc r="X37">
      <f>X25</f>
    </nc>
  </rcc>
  <rcc rId="10994" sId="20">
    <oc r="Y37">
      <f>Y25</f>
    </oc>
    <nc r="Y37">
      <f>Y25</f>
    </nc>
  </rcc>
  <rcc rId="10995" sId="20">
    <oc r="Z37">
      <f>Z25</f>
    </oc>
    <nc r="Z37">
      <f>Z25</f>
    </nc>
  </rcc>
  <rcc rId="10996" sId="20">
    <oc r="AA37">
      <f>AA25</f>
    </oc>
    <nc r="AA37">
      <f>AA25</f>
    </nc>
  </rcc>
  <rcc rId="10997" sId="20">
    <oc r="AB37">
      <f>AB25</f>
    </oc>
    <nc r="AB37">
      <f>AB25</f>
    </nc>
  </rcc>
  <rcc rId="10998" sId="20">
    <oc r="AC37">
      <f>AC25</f>
    </oc>
    <nc r="AC37">
      <f>AC25</f>
    </nc>
  </rcc>
  <rcc rId="10999" sId="20">
    <oc r="AD37">
      <f>AD25</f>
    </oc>
    <nc r="AD37">
      <f>AD25</f>
    </nc>
  </rcc>
  <rcc rId="11000" sId="20">
    <oc r="AE37">
      <f>AE25</f>
    </oc>
    <nc r="AE37">
      <f>AE25</f>
    </nc>
  </rcc>
  <rcc rId="11001" sId="20">
    <oc r="B38">
      <f>H38+J38+L38+N38+P38+R38+T38+V38+X38+Z38+AB38+AD38</f>
    </oc>
    <nc r="B38">
      <f>H38+J38+L38+N38+P38+R38+T38+V38+X38+Z38+AB38+AD38</f>
    </nc>
  </rcc>
  <rcc rId="11002" sId="20">
    <oc r="C38">
      <f>H38+J38+L38+N38</f>
    </oc>
    <nc r="C38">
      <f>H38+J38</f>
    </nc>
  </rcc>
  <rcc rId="11003" sId="20">
    <oc r="D38">
      <f>I38+K38+M38+O38</f>
    </oc>
    <nc r="D38">
      <f>D41+K41</f>
    </nc>
  </rcc>
  <rcc rId="11004" sId="20">
    <oc r="E38">
      <f>I38+K38+M38+O38+Q38+S38+U38+W38+Y38+AA38+AC38+AE38</f>
    </oc>
    <nc r="E38">
      <f>E26</f>
    </nc>
  </rcc>
  <rcc rId="11005" sId="20">
    <oc r="F38">
      <f>IFERROR(E38/B38*100,0)</f>
    </oc>
    <nc r="F38">
      <f>IFERROR(E38/B38*100,0)</f>
    </nc>
  </rcc>
  <rcc rId="11006" sId="20">
    <oc r="G38">
      <f>IFERROR(E38/C38*100,0)</f>
    </oc>
    <nc r="G38">
      <f>IFERROR(E38/C38*100,0)</f>
    </nc>
  </rcc>
  <rcc rId="11007" sId="20">
    <oc r="H38">
      <f>H26</f>
    </oc>
    <nc r="H38">
      <f>H26</f>
    </nc>
  </rcc>
  <rcc rId="11008" sId="20">
    <oc r="I38">
      <f>I26</f>
    </oc>
    <nc r="I38">
      <f>I26</f>
    </nc>
  </rcc>
  <rcc rId="11009" sId="20">
    <oc r="J38">
      <f>J26</f>
    </oc>
    <nc r="J38">
      <f>J26</f>
    </nc>
  </rcc>
  <rcc rId="11010" sId="20">
    <oc r="K38">
      <f>K26</f>
    </oc>
    <nc r="K38">
      <f>K26</f>
    </nc>
  </rcc>
  <rcc rId="11011" sId="20">
    <oc r="L38">
      <f>L26</f>
    </oc>
    <nc r="L38">
      <f>L26</f>
    </nc>
  </rcc>
  <rcc rId="11012" sId="20">
    <oc r="M38">
      <f>M26</f>
    </oc>
    <nc r="M38">
      <f>M26</f>
    </nc>
  </rcc>
  <rcc rId="11013" sId="20">
    <oc r="N38">
      <f>N26</f>
    </oc>
    <nc r="N38">
      <f>N26</f>
    </nc>
  </rcc>
  <rcc rId="11014" sId="20">
    <oc r="O38">
      <f>O26</f>
    </oc>
    <nc r="O38">
      <f>O26</f>
    </nc>
  </rcc>
  <rcc rId="11015" sId="20">
    <oc r="P38">
      <f>P26</f>
    </oc>
    <nc r="P38">
      <f>P26</f>
    </nc>
  </rcc>
  <rcc rId="11016" sId="20">
    <oc r="Q38">
      <f>Q26</f>
    </oc>
    <nc r="Q38">
      <f>Q26</f>
    </nc>
  </rcc>
  <rcc rId="11017" sId="20">
    <oc r="R38">
      <f>R26</f>
    </oc>
    <nc r="R38">
      <f>R26</f>
    </nc>
  </rcc>
  <rcc rId="11018" sId="20">
    <oc r="S38">
      <f>S26</f>
    </oc>
    <nc r="S38">
      <f>S26</f>
    </nc>
  </rcc>
  <rcc rId="11019" sId="20">
    <oc r="T38">
      <f>T26</f>
    </oc>
    <nc r="T38">
      <f>T26</f>
    </nc>
  </rcc>
  <rcc rId="11020" sId="20">
    <oc r="U38">
      <f>U26</f>
    </oc>
    <nc r="U38">
      <f>U26</f>
    </nc>
  </rcc>
  <rcc rId="11021" sId="20">
    <oc r="V38">
      <f>V26</f>
    </oc>
    <nc r="V38">
      <f>V26</f>
    </nc>
  </rcc>
  <rcc rId="11022" sId="20">
    <oc r="W38">
      <f>W26</f>
    </oc>
    <nc r="W38">
      <f>W26</f>
    </nc>
  </rcc>
  <rcc rId="11023" sId="20">
    <oc r="X38">
      <f>X26</f>
    </oc>
    <nc r="X38">
      <f>X26</f>
    </nc>
  </rcc>
  <rcc rId="11024" sId="20">
    <oc r="Y38">
      <f>Y26</f>
    </oc>
    <nc r="Y38">
      <f>Y26</f>
    </nc>
  </rcc>
  <rcc rId="11025" sId="20">
    <oc r="Z38">
      <f>Z26</f>
    </oc>
    <nc r="Z38">
      <f>Z26</f>
    </nc>
  </rcc>
  <rcc rId="11026" sId="20">
    <oc r="AA38">
      <f>AA26</f>
    </oc>
    <nc r="AA38">
      <f>AA26</f>
    </nc>
  </rcc>
  <rcc rId="11027" sId="20">
    <oc r="AB38">
      <f>AB26</f>
    </oc>
    <nc r="AB38">
      <f>AB26</f>
    </nc>
  </rcc>
  <rcc rId="11028" sId="20">
    <oc r="AC38">
      <f>AC26</f>
    </oc>
    <nc r="AC38">
      <f>AC26</f>
    </nc>
  </rcc>
  <rcc rId="11029" sId="20">
    <oc r="AD38">
      <f>AD26</f>
    </oc>
    <nc r="AD38">
      <f>AD26</f>
    </nc>
  </rcc>
  <rcc rId="11030" sId="20">
    <oc r="AE38">
      <f>AE26</f>
    </oc>
    <nc r="AE38">
      <f>AE26</f>
    </nc>
  </rcc>
  <rcc rId="11031" sId="20">
    <oc r="A39" t="inlineStr">
      <is>
        <t>Подпрограмма 3. «Создание условий для обеспечения качественными коммунальными услугами».</t>
      </is>
    </oc>
    <nc r="A39" t="inlineStr">
      <is>
        <t>Подпрограмма 3.«Создание условий для обеспечения качественными коммунальными услугами».</t>
      </is>
    </nc>
  </rcc>
  <rcc rId="11032" sId="20">
    <oc r="B42">
      <f>B43+B44+B46</f>
    </oc>
    <nc r="B42">
      <f>B43+B44+B46</f>
    </nc>
  </rcc>
  <rcc rId="11033" sId="20">
    <oc r="C42">
      <f>C43+C44+C46</f>
    </oc>
    <nc r="C42">
      <f>C43+C44+C46</f>
    </nc>
  </rcc>
  <rcc rId="11034" sId="20">
    <oc r="D42">
      <f>D43+D44+D46</f>
    </oc>
    <nc r="D42">
      <f>D43+D44+D46</f>
    </nc>
  </rcc>
  <rcc rId="11035" sId="20">
    <oc r="E42">
      <f>E43+E44+E46</f>
    </oc>
    <nc r="E42">
      <f>E43+E44+E46</f>
    </nc>
  </rcc>
  <rcc rId="11036" sId="20">
    <oc r="F42">
      <f>IFERROR(E42/B42*100,0)</f>
    </oc>
    <nc r="F42">
      <f>IFERROR(E42/B42*100,0)</f>
    </nc>
  </rcc>
  <rcc rId="11037" sId="20">
    <oc r="G42">
      <f>IFERROR(E42/C42*100,0)</f>
    </oc>
    <nc r="G42">
      <f>IFERROR(E42/C42*100,0)</f>
    </nc>
  </rcc>
  <rcc rId="11038" sId="20">
    <oc r="H42">
      <f>H43+H44+H46</f>
    </oc>
    <nc r="H42">
      <f>H43+H44+H46</f>
    </nc>
  </rcc>
  <rcc rId="11039" sId="20">
    <oc r="I42">
      <f>I43+I44+I46</f>
    </oc>
    <nc r="I42">
      <f>I43+I44+I46</f>
    </nc>
  </rcc>
  <rcc rId="11040" sId="20">
    <oc r="J42">
      <f>J43+J44+J46</f>
    </oc>
    <nc r="J42">
      <f>J43+J44+J46</f>
    </nc>
  </rcc>
  <rcc rId="11041" sId="20">
    <oc r="K42">
      <f>K43+K44+K46</f>
    </oc>
    <nc r="K42">
      <f>K43+K44+K46</f>
    </nc>
  </rcc>
  <rcc rId="11042" sId="20">
    <oc r="L42">
      <f>L43+L44+L46</f>
    </oc>
    <nc r="L42">
      <f>L43+L44+L46</f>
    </nc>
  </rcc>
  <rcc rId="11043" sId="20">
    <oc r="M42">
      <f>M43+M44+M46</f>
    </oc>
    <nc r="M42">
      <f>M43+M44+M46</f>
    </nc>
  </rcc>
  <rcc rId="11044" sId="20">
    <oc r="N42">
      <f>N43+N44+N46</f>
    </oc>
    <nc r="N42">
      <f>N43+N44+N46</f>
    </nc>
  </rcc>
  <rcc rId="11045" sId="20">
    <oc r="O42">
      <f>O43+O44+O46</f>
    </oc>
    <nc r="O42">
      <f>O43+O44+O46</f>
    </nc>
  </rcc>
  <rcc rId="11046" sId="20">
    <oc r="P42">
      <f>P43+P44+P46</f>
    </oc>
    <nc r="P42">
      <f>P43+P44+P46</f>
    </nc>
  </rcc>
  <rcc rId="11047" sId="20">
    <oc r="Q42">
      <f>Q43+Q44+Q46</f>
    </oc>
    <nc r="Q42">
      <f>Q43+Q44+Q46</f>
    </nc>
  </rcc>
  <rcc rId="11048" sId="20">
    <oc r="R42">
      <f>R43+R44+R46</f>
    </oc>
    <nc r="R42">
      <f>R43+R44+R46</f>
    </nc>
  </rcc>
  <rcc rId="11049" sId="20">
    <oc r="S42">
      <f>S43+S44+S46</f>
    </oc>
    <nc r="S42">
      <f>S43+S44+S46</f>
    </nc>
  </rcc>
  <rcc rId="11050" sId="20">
    <oc r="T42">
      <f>T43+T44+T46</f>
    </oc>
    <nc r="T42">
      <f>T43+T44+T46</f>
    </nc>
  </rcc>
  <rcc rId="11051" sId="20">
    <oc r="U42">
      <f>U43+U44+U46</f>
    </oc>
    <nc r="U42">
      <f>U43+U44+U46</f>
    </nc>
  </rcc>
  <rcc rId="11052" sId="20">
    <oc r="V42">
      <f>V43+V44+V46</f>
    </oc>
    <nc r="V42">
      <f>V43+V44+V46</f>
    </nc>
  </rcc>
  <rcc rId="11053" sId="20">
    <oc r="W42">
      <f>W43+W44+W46</f>
    </oc>
    <nc r="W42">
      <f>W43+W44+W46</f>
    </nc>
  </rcc>
  <rcc rId="11054" sId="20">
    <oc r="X42">
      <f>X43+X44+X46</f>
    </oc>
    <nc r="X42">
      <f>X43+X44+X46</f>
    </nc>
  </rcc>
  <rcc rId="11055" sId="20">
    <oc r="Y42">
      <f>Y43+Y44+Y46</f>
    </oc>
    <nc r="Y42">
      <f>Y43+Y44+Y46</f>
    </nc>
  </rcc>
  <rcc rId="11056" sId="20">
    <oc r="Z42">
      <f>Z43+Z44+Z46</f>
    </oc>
    <nc r="Z42">
      <f>Z43+Z44+Z46</f>
    </nc>
  </rcc>
  <rcc rId="11057" sId="20">
    <oc r="AA42">
      <f>AA43+AA44+AA46</f>
    </oc>
    <nc r="AA42">
      <f>AA43+AA44+AA46</f>
    </nc>
  </rcc>
  <rcc rId="11058" sId="20">
    <oc r="AB42">
      <f>AB43+AB44+AB46</f>
    </oc>
    <nc r="AB42">
      <f>AB43+AB44+AB46</f>
    </nc>
  </rcc>
  <rcc rId="11059" sId="20">
    <oc r="AC42">
      <f>AC43+AC44+AC46</f>
    </oc>
    <nc r="AC42">
      <f>AC43+AC44+AC46</f>
    </nc>
  </rcc>
  <rcc rId="11060" sId="20">
    <oc r="AD42">
      <f>AD43+AD44+AD46</f>
    </oc>
    <nc r="AD42">
      <f>AD43+AD44+AD46</f>
    </nc>
  </rcc>
  <rcc rId="11061" sId="20">
    <oc r="AE42">
      <f>AE43+AE44+AE46</f>
    </oc>
    <nc r="AE42">
      <f>AE43+AE44+AE46</f>
    </nc>
  </rcc>
  <rcc rId="11062" sId="20">
    <oc r="B43">
      <f>H43+J43+L43+N43+P43+R43+T43+V43+X43+Z43+AB43+AD43</f>
    </oc>
    <nc r="B43">
      <f>H43+J43+L43+N43+P43+R43+T43+V43+X43+Z43+AB43+AD43</f>
    </nc>
  </rcc>
  <rcc rId="11063" sId="20">
    <oc r="C43">
      <f>H43+J43+L43+N43+P43</f>
    </oc>
    <nc r="C43">
      <f>H43+J43+L43+P43+R43+T43</f>
    </nc>
  </rcc>
  <rcc rId="11064" sId="20">
    <oc r="D43">
      <f>D49</f>
    </oc>
    <nc r="D43">
      <f>I43+K43+M43+Q43+S43+U43</f>
    </nc>
  </rcc>
  <rcc rId="11065" sId="20">
    <oc r="E43">
      <f>E49</f>
    </oc>
    <nc r="E43">
      <f>D43</f>
    </nc>
  </rcc>
  <rcc rId="11066" sId="20">
    <oc r="F43">
      <f>IFERROR(E43/B43*100,0)</f>
    </oc>
    <nc r="F43">
      <f>IFERROR(E43/B43*100,0)</f>
    </nc>
  </rcc>
  <rcc rId="11067" sId="20">
    <oc r="G43">
      <f>IFERROR(E43/C43*100,0)</f>
    </oc>
    <nc r="G43">
      <f>IFERROR(E43/C43*100,0)</f>
    </nc>
  </rcc>
  <rcc rId="11068" sId="20">
    <oc r="H43">
      <f>H49</f>
    </oc>
    <nc r="H43">
      <f>H49</f>
    </nc>
  </rcc>
  <rcc rId="11069" sId="20">
    <oc r="I43">
      <f>I49</f>
    </oc>
    <nc r="I43">
      <f>I49</f>
    </nc>
  </rcc>
  <rcc rId="11070" sId="20">
    <oc r="J43">
      <f>J49</f>
    </oc>
    <nc r="J43">
      <f>J49</f>
    </nc>
  </rcc>
  <rcc rId="11071" sId="20">
    <oc r="K43">
      <f>K49</f>
    </oc>
    <nc r="K43">
      <f>K49</f>
    </nc>
  </rcc>
  <rcc rId="11072" sId="20">
    <oc r="L43">
      <f>L49</f>
    </oc>
    <nc r="L43">
      <f>L49</f>
    </nc>
  </rcc>
  <rcc rId="11073" sId="20">
    <oc r="M43">
      <f>M49</f>
    </oc>
    <nc r="M43">
      <f>M49</f>
    </nc>
  </rcc>
  <rcc rId="11074" sId="20">
    <oc r="N43">
      <f>N49</f>
    </oc>
    <nc r="N43">
      <f>N49</f>
    </nc>
  </rcc>
  <rcc rId="11075" sId="20">
    <oc r="O43">
      <f>O49</f>
    </oc>
    <nc r="O43">
      <f>O49</f>
    </nc>
  </rcc>
  <rcc rId="11076" sId="20">
    <oc r="P43">
      <f>P49</f>
    </oc>
    <nc r="P43">
      <f>P49</f>
    </nc>
  </rcc>
  <rcc rId="11077" sId="20">
    <oc r="Q43">
      <f>Q49</f>
    </oc>
    <nc r="Q43">
      <f>Q49</f>
    </nc>
  </rcc>
  <rcc rId="11078" sId="20">
    <oc r="R43">
      <f>R49+R53+R61</f>
    </oc>
    <nc r="R43">
      <f>R49+R53+R61</f>
    </nc>
  </rcc>
  <rcc rId="11079" sId="20">
    <oc r="S43">
      <f>S49+S53+S61</f>
    </oc>
    <nc r="S43">
      <f>S49+S53+S61</f>
    </nc>
  </rcc>
  <rcc rId="11080" sId="20">
    <oc r="T43">
      <f>T49+T55+T61</f>
    </oc>
    <nc r="T43">
      <f>T49+T55+T61</f>
    </nc>
  </rcc>
  <rcc rId="11081" sId="20">
    <oc r="U43">
      <f>U49+U55+U61</f>
    </oc>
    <nc r="U43">
      <f>U49+U55+U61</f>
    </nc>
  </rcc>
  <rcc rId="11082" sId="20">
    <oc r="V43">
      <f>V49+V55+V61</f>
    </oc>
    <nc r="V43">
      <f>V49+V55+V61</f>
    </nc>
  </rcc>
  <rcc rId="11083" sId="20">
    <oc r="W43">
      <f>W49+W55+W61</f>
    </oc>
    <nc r="W43">
      <f>W49+W55+W61</f>
    </nc>
  </rcc>
  <rcc rId="11084" sId="20">
    <oc r="X43">
      <f>X49+X55+X61</f>
    </oc>
    <nc r="X43">
      <f>X49+X55+X61</f>
    </nc>
  </rcc>
  <rcc rId="11085" sId="20">
    <oc r="Y43">
      <f>Y49+Y55+Y61</f>
    </oc>
    <nc r="Y43">
      <f>Y49+Y55+Y61</f>
    </nc>
  </rcc>
  <rcc rId="11086" sId="20">
    <oc r="Z43">
      <f>Z49+Z55+Z61</f>
    </oc>
    <nc r="Z43">
      <f>Z49+Z55+Z61</f>
    </nc>
  </rcc>
  <rcc rId="11087" sId="20">
    <oc r="AA43">
      <f>AA49+AA55+AA61</f>
    </oc>
    <nc r="AA43">
      <f>AA49+AA55+AA61</f>
    </nc>
  </rcc>
  <rcc rId="11088" sId="20">
    <oc r="AB43">
      <f>AB49+AB55+AB61</f>
    </oc>
    <nc r="AB43">
      <f>AB49+AB55+AB61</f>
    </nc>
  </rcc>
  <rcc rId="11089" sId="20">
    <oc r="AC43">
      <f>AC49+AC55+AC61</f>
    </oc>
    <nc r="AC43">
      <f>AC49+AC55+AC61</f>
    </nc>
  </rcc>
  <rcc rId="11090" sId="20">
    <oc r="AD43">
      <f>AD49+AD55+AD61</f>
    </oc>
    <nc r="AD43">
      <f>AD49+AD55+AD61</f>
    </nc>
  </rcc>
  <rcc rId="11091" sId="20">
    <oc r="AE43">
      <f>AE49</f>
    </oc>
    <nc r="AE43">
      <f>AE49</f>
    </nc>
  </rcc>
  <rcc rId="11092" sId="20">
    <oc r="B44">
      <f>H44+J44+L44+N44+P44+R44+T44+V44+X44+Z44+AB44+AD44</f>
    </oc>
    <nc r="B44">
      <f>H44+J44+L44+N44+P44+R44+T44+V44+X44+Z44+AB44+AD44</f>
    </nc>
  </rcc>
  <rcc rId="11093" sId="20">
    <oc r="C44">
      <f>H44+J44+L44+N44+P44</f>
    </oc>
    <nc r="C44">
      <f>H44+J44+L44+P44+R44+T44</f>
    </nc>
  </rcc>
  <rcc rId="11094" sId="20" numFmtId="4">
    <oc r="D44">
      <v>0</v>
    </oc>
    <nc r="D44">
      <f>I44+K44+M44+Q44+S44+U44</f>
    </nc>
  </rcc>
  <rcc rId="11095" sId="20">
    <oc r="E44">
      <f>E50</f>
    </oc>
    <nc r="E44">
      <f>D44</f>
    </nc>
  </rcc>
  <rcc rId="11096" sId="20">
    <oc r="F44">
      <f>IFERROR(E44/B44*100,0)</f>
    </oc>
    <nc r="F44">
      <f>IFERROR(E44/B44*100,0)</f>
    </nc>
  </rcc>
  <rcc rId="11097" sId="20">
    <oc r="G44">
      <f>IFERROR(E44/C44*100,0)</f>
    </oc>
    <nc r="G44">
      <f>IFERROR(E44/C44*100,0)</f>
    </nc>
  </rcc>
  <rcc rId="11098" sId="20">
    <oc r="H44">
      <f>H50</f>
    </oc>
    <nc r="H44">
      <f>H50</f>
    </nc>
  </rcc>
  <rcc rId="11099" sId="20">
    <oc r="I44">
      <f>I50</f>
    </oc>
    <nc r="I44">
      <f>I50</f>
    </nc>
  </rcc>
  <rcc rId="11100" sId="20">
    <oc r="J44">
      <f>J50</f>
    </oc>
    <nc r="J44">
      <f>J50</f>
    </nc>
  </rcc>
  <rcc rId="11101" sId="20">
    <oc r="K44">
      <f>K50</f>
    </oc>
    <nc r="K44">
      <f>K50</f>
    </nc>
  </rcc>
  <rcc rId="11102" sId="20">
    <oc r="L44">
      <f>L50</f>
    </oc>
    <nc r="L44">
      <f>L50</f>
    </nc>
  </rcc>
  <rcc rId="11103" sId="20">
    <oc r="M44">
      <f>M50</f>
    </oc>
    <nc r="M44">
      <f>M50</f>
    </nc>
  </rcc>
  <rcc rId="11104" sId="20">
    <oc r="N44">
      <f>N50</f>
    </oc>
    <nc r="N44">
      <f>N50</f>
    </nc>
  </rcc>
  <rcc rId="11105" sId="20">
    <oc r="O44">
      <f>O50</f>
    </oc>
    <nc r="O44">
      <f>O50</f>
    </nc>
  </rcc>
  <rcc rId="11106" sId="20">
    <oc r="P44">
      <f>P50</f>
    </oc>
    <nc r="P44">
      <f>P50</f>
    </nc>
  </rcc>
  <rcc rId="11107" sId="20">
    <oc r="Q44">
      <f>Q50</f>
    </oc>
    <nc r="Q44">
      <f>Q50</f>
    </nc>
  </rcc>
  <rcc rId="11108" sId="20">
    <oc r="R44">
      <f>R50+R56+R62</f>
    </oc>
    <nc r="R44">
      <f>R50+R56+R62</f>
    </nc>
  </rcc>
  <rcc rId="11109" sId="20">
    <oc r="S44">
      <f>S50+S56+S62</f>
    </oc>
    <nc r="S44">
      <f>S50+S56+S62</f>
    </nc>
  </rcc>
  <rcc rId="11110" sId="20">
    <oc r="T44">
      <f>T50+T56+T62</f>
    </oc>
    <nc r="T44">
      <f>T50+T56+T62</f>
    </nc>
  </rcc>
  <rcc rId="11111" sId="20">
    <oc r="U44">
      <f>U50+U56+U62</f>
    </oc>
    <nc r="U44">
      <f>U50+U56+U62</f>
    </nc>
  </rcc>
  <rcc rId="11112" sId="20">
    <oc r="V44">
      <f>V50+V56+V62</f>
    </oc>
    <nc r="V44">
      <f>V50+V56+V62</f>
    </nc>
  </rcc>
  <rcc rId="11113" sId="20">
    <oc r="W44">
      <f>W50+W56+W62</f>
    </oc>
    <nc r="W44">
      <f>W50+W56+W62</f>
    </nc>
  </rcc>
  <rcc rId="11114" sId="20">
    <oc r="X44">
      <f>X50+X56+X62</f>
    </oc>
    <nc r="X44">
      <f>X50+X56+X62</f>
    </nc>
  </rcc>
  <rcc rId="11115" sId="20">
    <oc r="Y44">
      <f>Y50+Y56+Y62</f>
    </oc>
    <nc r="Y44">
      <f>Y50+Y56+Y62</f>
    </nc>
  </rcc>
  <rcc rId="11116" sId="20">
    <oc r="Z44">
      <f>Z50+Z56+Z62</f>
    </oc>
    <nc r="Z44">
      <f>Z50+Z56+Z62</f>
    </nc>
  </rcc>
  <rcc rId="11117" sId="20">
    <oc r="AA44">
      <f>AA50+AA56+AA62</f>
    </oc>
    <nc r="AA44">
      <f>AA50+AA56+AA62</f>
    </nc>
  </rcc>
  <rcc rId="11118" sId="20">
    <oc r="AB44">
      <f>AB50+AB56+AB62</f>
    </oc>
    <nc r="AB44">
      <f>AB50+AB56+AB62</f>
    </nc>
  </rcc>
  <rcc rId="11119" sId="20">
    <oc r="AC44">
      <f>AC50+AC56+AC62</f>
    </oc>
    <nc r="AC44">
      <f>AC50+AC56+AC62</f>
    </nc>
  </rcc>
  <rcc rId="11120" sId="20">
    <oc r="AD44">
      <f>AD50+AD56+AD62</f>
    </oc>
    <nc r="AD44">
      <f>AD50+AD56+AD62</f>
    </nc>
  </rcc>
  <rcc rId="11121" sId="20">
    <oc r="AE44">
      <f>AE50</f>
    </oc>
    <nc r="AE44">
      <f>AE50</f>
    </nc>
  </rcc>
  <rcc rId="11122" sId="20">
    <oc r="B45">
      <f>H45+J45+L45+N45+P45+R45+T45+V45+X45+Z45+AB45+AD45</f>
    </oc>
    <nc r="B45">
      <f>H45+J45+L45+N45+P45+R45+T45+V45+X45+Z45+AB45+AD45</f>
    </nc>
  </rcc>
  <rcc rId="11123" sId="20">
    <oc r="C45">
      <f>H45+J45+L45+N45+P45</f>
    </oc>
    <nc r="C45">
      <f>H45+J45+L45+N45+P45</f>
    </nc>
  </rcc>
  <rcc rId="11124" sId="20">
    <oc r="D45">
      <f>D51</f>
    </oc>
    <nc r="D45">
      <f>D51</f>
    </nc>
  </rcc>
  <rcc rId="11125" sId="20">
    <oc r="E45">
      <f>E51</f>
    </oc>
    <nc r="E45">
      <f>E51</f>
    </nc>
  </rcc>
  <rcc rId="11126" sId="20">
    <oc r="F45">
      <f>IFERROR(E45/B45*100,0)</f>
    </oc>
    <nc r="F45">
      <f>IFERROR(E45/B45*100,0)</f>
    </nc>
  </rcc>
  <rcc rId="11127" sId="20">
    <oc r="G45">
      <f>IFERROR(E45/C45*100,0)</f>
    </oc>
    <nc r="G45">
      <f>IFERROR(E45/C45*100,0)</f>
    </nc>
  </rcc>
  <rcc rId="11128" sId="20">
    <oc r="H45">
      <f>H51</f>
    </oc>
    <nc r="H45">
      <f>H51</f>
    </nc>
  </rcc>
  <rcc rId="11129" sId="20">
    <oc r="I45">
      <f>I51</f>
    </oc>
    <nc r="I45">
      <f>I51</f>
    </nc>
  </rcc>
  <rcc rId="11130" sId="20">
    <oc r="J45">
      <f>J51</f>
    </oc>
    <nc r="J45">
      <f>J51</f>
    </nc>
  </rcc>
  <rcc rId="11131" sId="20">
    <oc r="K45">
      <f>K51</f>
    </oc>
    <nc r="K45">
      <f>K51</f>
    </nc>
  </rcc>
  <rcc rId="11132" sId="20">
    <oc r="L45">
      <f>L51</f>
    </oc>
    <nc r="L45">
      <f>L51</f>
    </nc>
  </rcc>
  <rcc rId="11133" sId="20">
    <oc r="M45">
      <f>M51</f>
    </oc>
    <nc r="M45">
      <f>M51</f>
    </nc>
  </rcc>
  <rcc rId="11134" sId="20">
    <oc r="N45">
      <f>N51</f>
    </oc>
    <nc r="N45">
      <f>N51</f>
    </nc>
  </rcc>
  <rcc rId="11135" sId="20">
    <oc r="O45">
      <f>O51</f>
    </oc>
    <nc r="O45">
      <f>O51</f>
    </nc>
  </rcc>
  <rcc rId="11136" sId="20">
    <oc r="P45">
      <f>P51</f>
    </oc>
    <nc r="P45">
      <f>P51</f>
    </nc>
  </rcc>
  <rcc rId="11137" sId="20">
    <oc r="Q45">
      <f>Q51</f>
    </oc>
    <nc r="Q45">
      <f>Q51</f>
    </nc>
  </rcc>
  <rcc rId="11138" sId="20">
    <oc r="R45">
      <f>R51+R57+R63</f>
    </oc>
    <nc r="R45">
      <f>R51+R57+R63</f>
    </nc>
  </rcc>
  <rcc rId="11139" sId="20">
    <oc r="S45">
      <f>S51+S57+S63</f>
    </oc>
    <nc r="S45">
      <f>S51+S57+S63</f>
    </nc>
  </rcc>
  <rcc rId="11140" sId="20">
    <oc r="T45">
      <f>T51+T57+T63</f>
    </oc>
    <nc r="T45">
      <f>T51+T57+T63</f>
    </nc>
  </rcc>
  <rcc rId="11141" sId="20">
    <oc r="U45">
      <f>U51+U57+U63</f>
    </oc>
    <nc r="U45">
      <f>U51+U57+U63</f>
    </nc>
  </rcc>
  <rcc rId="11142" sId="20">
    <oc r="V45">
      <f>V51+V57+V63</f>
    </oc>
    <nc r="V45">
      <f>V51+V57+V63</f>
    </nc>
  </rcc>
  <rcc rId="11143" sId="20">
    <oc r="W45">
      <f>W51+W57+W63</f>
    </oc>
    <nc r="W45">
      <f>W51+W57+W63</f>
    </nc>
  </rcc>
  <rcc rId="11144" sId="20">
    <oc r="X45">
      <f>X51+X57+X63</f>
    </oc>
    <nc r="X45">
      <f>X51+X57+X63</f>
    </nc>
  </rcc>
  <rcc rId="11145" sId="20">
    <oc r="Y45">
      <f>Y51+Y57+Y63</f>
    </oc>
    <nc r="Y45">
      <f>Y51+Y57+Y63</f>
    </nc>
  </rcc>
  <rcc rId="11146" sId="20">
    <oc r="Z45">
      <f>Z51+Z57+Z63</f>
    </oc>
    <nc r="Z45">
      <f>Z51+Z57+Z63</f>
    </nc>
  </rcc>
  <rcc rId="11147" sId="20">
    <oc r="AA45">
      <f>AA51+AA57+AA63</f>
    </oc>
    <nc r="AA45">
      <f>AA51+AA57+AA63</f>
    </nc>
  </rcc>
  <rcc rId="11148" sId="20">
    <oc r="AB45">
      <f>AB51+AB57+AB63</f>
    </oc>
    <nc r="AB45">
      <f>AB51+AB57+AB63</f>
    </nc>
  </rcc>
  <rcc rId="11149" sId="20">
    <oc r="AC45">
      <f>AC51+AC57+AC63</f>
    </oc>
    <nc r="AC45">
      <f>AC51+AC57+AC63</f>
    </nc>
  </rcc>
  <rcc rId="11150" sId="20">
    <oc r="AD45">
      <f>AD51+AD57+AD63</f>
    </oc>
    <nc r="AD45">
      <f>AD51+AD57+AD63</f>
    </nc>
  </rcc>
  <rcc rId="11151" sId="20">
    <oc r="AE45">
      <f>AE51</f>
    </oc>
    <nc r="AE45">
      <f>AE51</f>
    </nc>
  </rcc>
  <rcc rId="11152" sId="20">
    <oc r="B46">
      <f>H46+J46+L46+N46+P46+R46+T46+V46+X46+Z46+AB46+AD46</f>
    </oc>
    <nc r="B46">
      <f>H46+J46+L46+N46+P46+R46+T46+V46+X46+Z46+AB46+AD46</f>
    </nc>
  </rcc>
  <rcc rId="11153" sId="20">
    <oc r="C46">
      <f>H46+J46+L46+N46+P46</f>
    </oc>
    <nc r="C46">
      <f>H46+J46+L46+N46+P46+R46+T46</f>
    </nc>
  </rcc>
  <rcc rId="11154" sId="20">
    <oc r="D46">
      <f>D52</f>
    </oc>
    <nc r="D46">
      <f>D52</f>
    </nc>
  </rcc>
  <rcc rId="11155" sId="20">
    <oc r="E46">
      <f>E52</f>
    </oc>
    <nc r="E46">
      <f>E52</f>
    </nc>
  </rcc>
  <rcc rId="11156" sId="20">
    <oc r="F46">
      <f>IFERROR(E46/B46*100,0)</f>
    </oc>
    <nc r="F46">
      <f>IFERROR(E46/B46*100,0)</f>
    </nc>
  </rcc>
  <rcc rId="11157" sId="20">
    <oc r="G46">
      <f>IFERROR(E46/C46*100,0)</f>
    </oc>
    <nc r="G46">
      <f>IFERROR(E46/C46*100,0)</f>
    </nc>
  </rcc>
  <rcc rId="11158" sId="20">
    <oc r="H46">
      <f>H52</f>
    </oc>
    <nc r="H46">
      <f>H52</f>
    </nc>
  </rcc>
  <rcc rId="11159" sId="20">
    <oc r="I46">
      <f>I52</f>
    </oc>
    <nc r="I46">
      <f>I52</f>
    </nc>
  </rcc>
  <rcc rId="11160" sId="20">
    <oc r="J46">
      <f>J52</f>
    </oc>
    <nc r="J46">
      <f>J52</f>
    </nc>
  </rcc>
  <rcc rId="11161" sId="20">
    <oc r="K46">
      <f>K52</f>
    </oc>
    <nc r="K46">
      <f>K52</f>
    </nc>
  </rcc>
  <rcc rId="11162" sId="20">
    <oc r="L46">
      <f>L52</f>
    </oc>
    <nc r="L46">
      <f>L52</f>
    </nc>
  </rcc>
  <rcc rId="11163" sId="20">
    <oc r="M46">
      <f>M52</f>
    </oc>
    <nc r="M46">
      <f>M52</f>
    </nc>
  </rcc>
  <rcc rId="11164" sId="20">
    <oc r="N46">
      <f>N52</f>
    </oc>
    <nc r="N46">
      <f>N52</f>
    </nc>
  </rcc>
  <rcc rId="11165" sId="20">
    <oc r="O46">
      <f>O52</f>
    </oc>
    <nc r="O46">
      <f>O52</f>
    </nc>
  </rcc>
  <rcc rId="11166" sId="20">
    <oc r="P46">
      <f>P52</f>
    </oc>
    <nc r="P46">
      <f>P52</f>
    </nc>
  </rcc>
  <rcc rId="11167" sId="20">
    <oc r="Q46">
      <f>Q52</f>
    </oc>
    <nc r="Q46">
      <f>Q52</f>
    </nc>
  </rcc>
  <rcc rId="11168" sId="20">
    <oc r="R46">
      <f>R52+R58+R64</f>
    </oc>
    <nc r="R46">
      <f>R52+R58+R64</f>
    </nc>
  </rcc>
  <rcc rId="11169" sId="20">
    <oc r="S46">
      <f>S52+S58+S64</f>
    </oc>
    <nc r="S46">
      <f>S52+S58+S64</f>
    </nc>
  </rcc>
  <rcc rId="11170" sId="20">
    <oc r="T46">
      <f>T52+T58+T64</f>
    </oc>
    <nc r="T46">
      <f>T52+T58+T64</f>
    </nc>
  </rcc>
  <rcc rId="11171" sId="20">
    <oc r="U46">
      <f>U52+U58+U64</f>
    </oc>
    <nc r="U46">
      <f>U52+U58+U64</f>
    </nc>
  </rcc>
  <rcc rId="11172" sId="20">
    <oc r="V46">
      <f>V52+V58+V64</f>
    </oc>
    <nc r="V46">
      <f>V52+V58+V64</f>
    </nc>
  </rcc>
  <rcc rId="11173" sId="20">
    <oc r="W46">
      <f>W52+W58+W64</f>
    </oc>
    <nc r="W46">
      <f>W52+W58+W64</f>
    </nc>
  </rcc>
  <rcc rId="11174" sId="20">
    <oc r="X46">
      <f>X52+X58+X64</f>
    </oc>
    <nc r="X46">
      <f>X52+X58+X64</f>
    </nc>
  </rcc>
  <rcc rId="11175" sId="20">
    <oc r="Y46">
      <f>Y52+Y58+Y64</f>
    </oc>
    <nc r="Y46">
      <f>Y52+Y58+Y64</f>
    </nc>
  </rcc>
  <rcc rId="11176" sId="20">
    <oc r="Z46">
      <f>Z52+Z58+Z64</f>
    </oc>
    <nc r="Z46">
      <f>Z52+Z58+Z64</f>
    </nc>
  </rcc>
  <rcc rId="11177" sId="20">
    <oc r="AA46">
      <f>AA52+AA58+AA64</f>
    </oc>
    <nc r="AA46">
      <f>AA52+AA58+AA64</f>
    </nc>
  </rcc>
  <rcc rId="11178" sId="20">
    <oc r="AB46">
      <f>AB52+AB58+AB64</f>
    </oc>
    <nc r="AB46">
      <f>AB52+AB58+AB64</f>
    </nc>
  </rcc>
  <rcc rId="11179" sId="20">
    <oc r="AC46">
      <f>AC52+AC58+AC64</f>
    </oc>
    <nc r="AC46">
      <f>AC52+AC58+AC64</f>
    </nc>
  </rcc>
  <rcc rId="11180" sId="20">
    <oc r="AD46">
      <f>AD52+AD58+AD64</f>
    </oc>
    <nc r="AD46">
      <f>AD52+AD58+AD64</f>
    </nc>
  </rcc>
  <rcc rId="11181" sId="20">
    <oc r="AE46">
      <f>AE52</f>
    </oc>
    <nc r="AE46">
      <f>AE52</f>
    </nc>
  </rcc>
  <rcc rId="11182" sId="20">
    <oc r="B48">
      <f>B49+B50+B52</f>
    </oc>
    <nc r="B48">
      <f>B49+B50+B52</f>
    </nc>
  </rcc>
  <rcc rId="11183" sId="20">
    <oc r="C48">
      <f>C49+C50+C52</f>
    </oc>
    <nc r="C48">
      <f>C49+C50+C52</f>
    </nc>
  </rcc>
  <rcc rId="11184" sId="20">
    <oc r="D48">
      <f>D49+D50+D52</f>
    </oc>
    <nc r="D48">
      <f>D49+D50+D52</f>
    </nc>
  </rcc>
  <rcc rId="11185" sId="20">
    <oc r="E48">
      <f>E49+E50+E52</f>
    </oc>
    <nc r="E48">
      <f>E49+E50+E52</f>
    </nc>
  </rcc>
  <rcc rId="11186" sId="20">
    <oc r="F48">
      <f>IFERROR(E48/B48*100,0)</f>
    </oc>
    <nc r="F48">
      <f>IFERROR(E48/B48*100,0)</f>
    </nc>
  </rcc>
  <rcc rId="11187" sId="20">
    <oc r="G48">
      <f>IFERROR(E48/C48*100,0)</f>
    </oc>
    <nc r="G48">
      <f>IFERROR(E48/C48*100,0)</f>
    </nc>
  </rcc>
  <rcc rId="11188" sId="20">
    <oc r="H48">
      <f>H49+H50+H52</f>
    </oc>
    <nc r="H48">
      <f>H49+H50+H52</f>
    </nc>
  </rcc>
  <rcc rId="11189" sId="20">
    <oc r="I48">
      <f>I49+I50+I52</f>
    </oc>
    <nc r="I48">
      <f>I49+I50+I52</f>
    </nc>
  </rcc>
  <rcc rId="11190" sId="20">
    <oc r="J48">
      <f>J49+J50+J52</f>
    </oc>
    <nc r="J48">
      <f>J49+J50+J52</f>
    </nc>
  </rcc>
  <rcc rId="11191" sId="20">
    <oc r="K48">
      <f>K49+K50+K52</f>
    </oc>
    <nc r="K48">
      <f>K49+K50+K52</f>
    </nc>
  </rcc>
  <rcc rId="11192" sId="20">
    <oc r="L48">
      <f>L49+L50+L52</f>
    </oc>
    <nc r="L48">
      <f>L49+L50+L52</f>
    </nc>
  </rcc>
  <rcc rId="11193" sId="20">
    <oc r="M48">
      <f>M49+M50+M52</f>
    </oc>
    <nc r="M48">
      <f>M49+M50+M52</f>
    </nc>
  </rcc>
  <rcc rId="11194" sId="20">
    <oc r="N48">
      <f>N49+N50+N52</f>
    </oc>
    <nc r="N48">
      <f>N49+N50+N52</f>
    </nc>
  </rcc>
  <rcc rId="11195" sId="20">
    <oc r="O48">
      <f>O49+O50+O52</f>
    </oc>
    <nc r="O48">
      <f>O49+O50+O52</f>
    </nc>
  </rcc>
  <rcc rId="11196" sId="20">
    <oc r="P48">
      <f>P49+P50+P52</f>
    </oc>
    <nc r="P48">
      <f>P49+P50+P52</f>
    </nc>
  </rcc>
  <rcc rId="11197" sId="20">
    <oc r="Q48">
      <f>Q49+Q50+Q52</f>
    </oc>
    <nc r="Q48">
      <f>Q49+Q50+Q52</f>
    </nc>
  </rcc>
  <rcc rId="11198" sId="20">
    <oc r="R48">
      <f>R49+R50+R52</f>
    </oc>
    <nc r="R48">
      <f>R49+R50+R52</f>
    </nc>
  </rcc>
  <rcc rId="11199" sId="20">
    <oc r="S48">
      <f>S49+S50+S52</f>
    </oc>
    <nc r="S48">
      <f>S49+S50+S52</f>
    </nc>
  </rcc>
  <rcc rId="11200" sId="20">
    <oc r="T48">
      <f>T49+T50+T52</f>
    </oc>
    <nc r="T48">
      <f>T49+T50+T52</f>
    </nc>
  </rcc>
  <rcc rId="11201" sId="20">
    <oc r="U48">
      <f>U49+U50+U52</f>
    </oc>
    <nc r="U48">
      <f>U49+U50+U52</f>
    </nc>
  </rcc>
  <rcc rId="11202" sId="20">
    <oc r="V48">
      <f>V49+V50+V52</f>
    </oc>
    <nc r="V48">
      <f>V49+V50+V52</f>
    </nc>
  </rcc>
  <rcc rId="11203" sId="20">
    <oc r="W48">
      <f>W49+W50+W52</f>
    </oc>
    <nc r="W48">
      <f>W49+W50+W52</f>
    </nc>
  </rcc>
  <rcc rId="11204" sId="20">
    <oc r="X48">
      <f>X49+X50+X52</f>
    </oc>
    <nc r="X48">
      <f>X49+X50+X52</f>
    </nc>
  </rcc>
  <rcc rId="11205" sId="20">
    <oc r="Y48">
      <f>Y49+Y50+Y52</f>
    </oc>
    <nc r="Y48">
      <f>Y49+Y50+Y52</f>
    </nc>
  </rcc>
  <rcc rId="11206" sId="20">
    <oc r="Z48">
      <f>Z49+Z50+Z52</f>
    </oc>
    <nc r="Z48">
      <f>Z49+Z50+Z52</f>
    </nc>
  </rcc>
  <rcc rId="11207" sId="20">
    <oc r="AA48">
      <f>AA49+AA50+AA52</f>
    </oc>
    <nc r="AA48">
      <f>AA49+AA50+AA52</f>
    </nc>
  </rcc>
  <rcc rId="11208" sId="20">
    <oc r="AB48">
      <f>AB49+AB50+AB52</f>
    </oc>
    <nc r="AB48">
      <f>AB49+AB50+AB52</f>
    </nc>
  </rcc>
  <rcc rId="11209" sId="20">
    <oc r="AC48">
      <f>AC49+AC50+AC52</f>
    </oc>
    <nc r="AC48">
      <f>AC49+AC50+AC52</f>
    </nc>
  </rcc>
  <rcc rId="11210" sId="20">
    <oc r="AD48">
      <f>AD49+AD50+AD52</f>
    </oc>
    <nc r="AD48">
      <f>AD49+AD50+AD52</f>
    </nc>
  </rcc>
  <rcc rId="11211" sId="20">
    <oc r="AE48">
      <f>AE49+AE50+AE52</f>
    </oc>
    <nc r="AE48">
      <f>AE49+AE50+AE52</f>
    </nc>
  </rcc>
  <rcc rId="11212" sId="20">
    <oc r="B49">
      <f>H49+J49+L49+N49+P49+R49+T49+V49+X49+Z49+AB49+AD49</f>
    </oc>
    <nc r="B49">
      <f>H49+J49+L49+N49+P49+R49+T49+V49+X49+Z49+AB49+AD49</f>
    </nc>
  </rcc>
  <rcc rId="11213" sId="20">
    <oc r="C49">
      <f>H49+J49+L49+N49+P49+R49</f>
    </oc>
    <nc r="C49">
      <f>H49+J49+L49+N49+P49+R49</f>
    </nc>
  </rcc>
  <rcc rId="11214" sId="20">
    <oc r="E49">
      <f>I49+K49+M49+O49+Q49+S49+U49+W49+Y49+AA49+AC49+AE49</f>
    </oc>
    <nc r="E49">
      <f>I49+K49+M49+O49+Q49+S49+U49+W49+Y49+AA49+AC49+AE49</f>
    </nc>
  </rcc>
  <rcc rId="11215" sId="20">
    <oc r="F49">
      <f>IFERROR(E49/B49*100,0)</f>
    </oc>
    <nc r="F49">
      <f>IFERROR(E49/B49*100,0)</f>
    </nc>
  </rcc>
  <rcc rId="11216" sId="20">
    <oc r="G49">
      <f>IFERROR(E49/C49*100,0)</f>
    </oc>
    <nc r="G49">
      <f>IFERROR(E49/C49*100,0)</f>
    </nc>
  </rcc>
  <rcc rId="11217" sId="20">
    <oc r="B50">
      <f>H50+J50+L50+N50+P50+R50+T50+V50+X50+Z50+AB50+AD50</f>
    </oc>
    <nc r="B50">
      <f>H50+J50+L50+N50+P50+R50+T50+V50+X50+Z50+AB50+AD50</f>
    </nc>
  </rcc>
  <rcc rId="11218" sId="20">
    <oc r="C50">
      <f>H50+J50+L50+N50+P50+R50</f>
    </oc>
    <nc r="C50">
      <f>H50+J50+L50+N50+P50+R50</f>
    </nc>
  </rcc>
  <rcc rId="11219" sId="20">
    <oc r="E50">
      <f>I50+K50+M50+O50+Q50+S50+U50+W50+Y50+AA50+AC50+AE50</f>
    </oc>
    <nc r="E50">
      <f>I50+K50+M50+O50+Q50+S50+U50+W50+Y50+AA50+AC50+AE50</f>
    </nc>
  </rcc>
  <rcc rId="11220" sId="20">
    <oc r="F50">
      <f>IFERROR(E50/B50*100,0)</f>
    </oc>
    <nc r="F50">
      <f>IFERROR(E50/B50*100,0)</f>
    </nc>
  </rcc>
  <rcc rId="11221" sId="20">
    <oc r="G50">
      <f>IFERROR(E50/C50*100,0)</f>
    </oc>
    <nc r="G50">
      <f>IFERROR(E50/C50*100,0)</f>
    </nc>
  </rcc>
  <rcc rId="11222" sId="20">
    <oc r="B51">
      <f>H51+J51+L51+N51+P51+R51+T51+V51+X51+Z51+AB51+AD51</f>
    </oc>
    <nc r="B51">
      <f>H51+J51+L51+N51+P51+R51+T51+V51+X51+Z51+AB51+AD51</f>
    </nc>
  </rcc>
  <rcc rId="11223" sId="20">
    <oc r="C51">
      <f>H51+J51+L51+N51+P51+R51</f>
    </oc>
    <nc r="C51">
      <f>H51+J51+L51+N51+P51+R51</f>
    </nc>
  </rcc>
  <rcc rId="11224" sId="20">
    <oc r="E51">
      <f>I51+K51+M51+O51+Q51+S51+U51+W51+Y51+AA51+AC51+AE51</f>
    </oc>
    <nc r="E51">
      <f>I51+K51+M51+O51+Q51+S51+U51+W51+Y51+AA51+AC51+AE51</f>
    </nc>
  </rcc>
  <rcc rId="11225" sId="20">
    <oc r="F51">
      <f>IFERROR(E51/B51*100,0)</f>
    </oc>
    <nc r="F51">
      <f>IFERROR(E51/B51*100,0)</f>
    </nc>
  </rcc>
  <rcc rId="11226" sId="20">
    <oc r="G51">
      <f>IFERROR(E51/C51*100,0)</f>
    </oc>
    <nc r="G51">
      <f>IFERROR(E51/C51*100,0)</f>
    </nc>
  </rcc>
  <rcc rId="11227" sId="20">
    <oc r="B52">
      <f>H52+J52+L52+N52+P52+R52+T52+V52+X52+Z52+AB52+AD52</f>
    </oc>
    <nc r="B52">
      <f>H52+J52+L52+N52+P52+R52+T52+V52+X52+Z52+AB52+AD52</f>
    </nc>
  </rcc>
  <rcc rId="11228" sId="20">
    <oc r="C52">
      <f>H52+J52+L52+N52+P52+R52</f>
    </oc>
    <nc r="C52">
      <f>H52+J52+L52+N52+P52+R52+T52</f>
    </nc>
  </rcc>
  <rcc rId="11229" sId="20" numFmtId="4">
    <oc r="D52">
      <v>0</v>
    </oc>
    <nc r="D52">
      <f>E52</f>
    </nc>
  </rcc>
  <rcc rId="11230" sId="20">
    <oc r="E52">
      <f>I52+K52+M52+O52+Q52+S52+U52+W52+Y52+AA52+AC52+AE52</f>
    </oc>
    <nc r="E52">
      <f>I52+K52+M52+O52+Q52+S52+U52+W52+Y52+AA52+AC52+AE52</f>
    </nc>
  </rcc>
  <rcc rId="11231" sId="20">
    <oc r="F52">
      <f>IFERROR(E52/B52*100,0)</f>
    </oc>
    <nc r="F52">
      <f>IFERROR(E52/B52*100,0)</f>
    </nc>
  </rcc>
  <rcc rId="11232" sId="20">
    <oc r="G52">
      <f>IFERROR(E52/C52*100,0)</f>
    </oc>
    <nc r="G52">
      <f>IFERROR(E52/C52*100,0)</f>
    </nc>
  </rcc>
  <rcc rId="11233" sId="20" numFmtId="4">
    <oc r="T52">
      <v>0</v>
    </oc>
    <nc r="T52">
      <v>8839.92</v>
    </nc>
  </rcc>
  <rcc rId="11234" sId="20" numFmtId="4">
    <oc r="U52">
      <v>0</v>
    </oc>
    <nc r="U52">
      <v>8839.92</v>
    </nc>
  </rcc>
  <rcc rId="11235" sId="20" numFmtId="4">
    <oc r="V52">
      <v>0</v>
    </oc>
    <nc r="V52">
      <v>446.6</v>
    </nc>
  </rcc>
  <rcc rId="11236" sId="20" numFmtId="4">
    <oc r="AD52">
      <v>26081.72</v>
    </oc>
    <nc r="AD52">
      <v>17241.79637</v>
    </nc>
  </rcc>
  <rcc rId="11237" sId="20">
    <oc r="B53">
      <f>T53+AB53</f>
    </oc>
    <nc r="B53">
      <f>T53+AB53</f>
    </nc>
  </rcc>
  <rcc rId="11238" sId="20">
    <oc r="C53">
      <f>H53+J53</f>
    </oc>
    <nc r="C53">
      <f>H53+J53</f>
    </nc>
  </rcc>
  <rcc rId="11239" sId="20">
    <oc r="E53">
      <f>I53+K53+M53+O53+Q53+S53+U53+W53+Y53+AA53+AC53+AE53</f>
    </oc>
    <nc r="E53">
      <f>I53+K53+M53+O53+Q53+S53+U53+W53+Y53+AA53+AC53+AE53</f>
    </nc>
  </rcc>
  <rcc rId="11240" sId="20">
    <oc r="F53">
      <f>IFERROR(E53/B53*100,0)</f>
    </oc>
    <nc r="F53">
      <f>IFERROR(E53/B53*100,0)</f>
    </nc>
  </rcc>
  <rcc rId="11241" sId="20">
    <oc r="G53">
      <f>IFERROR(E53/C53*100,0)</f>
    </oc>
    <nc r="G53">
      <f>IFERROR(E53/C53*100,0)</f>
    </nc>
  </rcc>
  <rcc rId="11242" sId="20">
    <oc r="T53">
      <f>T55+T56</f>
    </oc>
    <nc r="T53">
      <f>T55+T56</f>
    </nc>
  </rcc>
  <rcc rId="11243" sId="20">
    <oc r="AB53">
      <f>AB55+AB56</f>
    </oc>
    <nc r="AB53">
      <f>AB55+AB56</f>
    </nc>
  </rcc>
  <rcc rId="11244" sId="20">
    <oc r="AF53" t="inlineStr">
      <is>
        <t>Подведены итоги  электронного аукциона на строительство объекта: "Магистральные инженерные сети водоснабжения и канализации жилых комплексов "Философский камень" и "ЛУКОЙЛ" в городе Когалыме",планируемая  дата зподписания Заказчиком  - 08.07.2024г.</t>
      </is>
    </oc>
    <nc r="AF53" t="inlineStr">
      <is>
        <t xml:space="preserve">Муниципальный контракт № 0187200001724001244 от 08.07.2024  на строительство объекта: "Магистральные инженерные сети водоснабжения и канализации жилых комплексов "Философский камень" и "ЛУКОЙЛ" в городе Когалыме"
-сроки выполнения работ 25.11.2024;
-цена контракта 80 607,12 тыс.руб; по условиям которого произведено авансирование 10%, что составляет 8 060,71 тыс.руб.
-ведется выполнение работ.
</t>
      </is>
    </nc>
  </rcc>
  <rfmt sheetId="20" sqref="A53:XFD53" start="0" length="0">
    <dxf>
      <fill>
        <patternFill patternType="solid">
          <bgColor theme="0"/>
        </patternFill>
      </fill>
    </dxf>
  </rfmt>
  <rcc rId="11245" sId="20">
    <oc r="B54">
      <f>B55+B56+B58</f>
    </oc>
    <nc r="B54">
      <f>B55+B56+B58</f>
    </nc>
  </rcc>
  <rcc rId="11246" sId="20">
    <oc r="C54">
      <f>C55+C56+C58</f>
    </oc>
    <nc r="C54">
      <f>C55+C56+C58</f>
    </nc>
  </rcc>
  <rcc rId="11247" sId="20">
    <oc r="D54">
      <f>D55+D56+D58</f>
    </oc>
    <nc r="D54">
      <f>D55+D56+D58</f>
    </nc>
  </rcc>
  <rcc rId="11248" sId="20">
    <oc r="E54">
      <f>E55+E56+E58</f>
    </oc>
    <nc r="E54">
      <f>E55+E56+E58</f>
    </nc>
  </rcc>
  <rcc rId="11249" sId="20">
    <oc r="F54">
      <f>F55+F56+F58</f>
    </oc>
    <nc r="F54">
      <f>F55+F56+F58</f>
    </nc>
  </rcc>
  <rcc rId="11250" sId="20">
    <oc r="G54">
      <f>G55+G56+G58</f>
    </oc>
    <nc r="G54">
      <f>G55+G56+G58</f>
    </nc>
  </rcc>
  <rcc rId="11251" sId="20">
    <oc r="H54">
      <f>H55+H56+H58</f>
    </oc>
    <nc r="H54">
      <f>H55+H56+H58</f>
    </nc>
  </rcc>
  <rcc rId="11252" sId="20">
    <oc r="I54">
      <f>I55+I56+I58</f>
    </oc>
    <nc r="I54">
      <f>I55+I56+I58</f>
    </nc>
  </rcc>
  <rcc rId="11253" sId="20">
    <oc r="J54">
      <f>J55+J56+J58</f>
    </oc>
    <nc r="J54">
      <f>J55+J56+J58</f>
    </nc>
  </rcc>
  <rcc rId="11254" sId="20">
    <oc r="K54">
      <f>K55+K56+K58</f>
    </oc>
    <nc r="K54">
      <f>K55+K56+K58</f>
    </nc>
  </rcc>
  <rcc rId="11255" sId="20">
    <oc r="L54">
      <f>L55+L56+L58</f>
    </oc>
    <nc r="L54">
      <f>L55+L56+L58</f>
    </nc>
  </rcc>
  <rcc rId="11256" sId="20">
    <oc r="M54">
      <f>M55+M56+M58</f>
    </oc>
    <nc r="M54">
      <f>M55+M56+M58</f>
    </nc>
  </rcc>
  <rcc rId="11257" sId="20">
    <oc r="N54">
      <f>N55+N56+N58</f>
    </oc>
    <nc r="N54">
      <f>N55+N56+N58</f>
    </nc>
  </rcc>
  <rcc rId="11258" sId="20">
    <oc r="O54">
      <f>O55+O56+O58</f>
    </oc>
    <nc r="O54">
      <f>O55+O56+O58</f>
    </nc>
  </rcc>
  <rcc rId="11259" sId="20">
    <oc r="P54">
      <f>P55+P56+P58</f>
    </oc>
    <nc r="P54">
      <f>P55+P56+P58</f>
    </nc>
  </rcc>
  <rcc rId="11260" sId="20">
    <oc r="Q54">
      <f>Q55+Q56+Q58</f>
    </oc>
    <nc r="Q54">
      <f>Q55+Q56+Q58</f>
    </nc>
  </rcc>
  <rcc rId="11261" sId="20">
    <oc r="R54">
      <f>R55+R56+R58</f>
    </oc>
    <nc r="R54">
      <f>R55+R56+R58</f>
    </nc>
  </rcc>
  <rcc rId="11262" sId="20">
    <oc r="S54">
      <f>S55+S56+S58</f>
    </oc>
    <nc r="S54">
      <f>S55+S56+S58</f>
    </nc>
  </rcc>
  <rcc rId="11263" sId="20">
    <oc r="T54">
      <f>T55+T56+T58</f>
    </oc>
    <nc r="T54">
      <f>T55+T56+T58</f>
    </nc>
  </rcc>
  <rcc rId="11264" sId="20">
    <oc r="U54">
      <f>U55+U56+U58</f>
    </oc>
    <nc r="U54">
      <f>U55+U56+U58</f>
    </nc>
  </rcc>
  <rcc rId="11265" sId="20">
    <oc r="V54">
      <f>V55+V56+V58</f>
    </oc>
    <nc r="V54">
      <f>V55+V56+V58</f>
    </nc>
  </rcc>
  <rcc rId="11266" sId="20">
    <oc r="W54">
      <f>W55+W56+W58</f>
    </oc>
    <nc r="W54">
      <f>W55+W56+W58</f>
    </nc>
  </rcc>
  <rcc rId="11267" sId="20">
    <oc r="X54">
      <f>X55+X56+X58</f>
    </oc>
    <nc r="X54">
      <f>X55+X56+X58</f>
    </nc>
  </rcc>
  <rcc rId="11268" sId="20">
    <oc r="Y54">
      <f>Y55+Y56+Y58</f>
    </oc>
    <nc r="Y54">
      <f>Y55+Y56+Y58</f>
    </nc>
  </rcc>
  <rcc rId="11269" sId="20">
    <oc r="Z54">
      <f>Z55+Z56+Z58</f>
    </oc>
    <nc r="Z54">
      <f>Z55+Z56+Z58</f>
    </nc>
  </rcc>
  <rcc rId="11270" sId="20">
    <oc r="AA54">
      <f>AA55+AA56+AA58</f>
    </oc>
    <nc r="AA54">
      <f>AA55+AA56+AA58</f>
    </nc>
  </rcc>
  <rcc rId="11271" sId="20">
    <oc r="AB54">
      <f>AB55+AB56+AB58</f>
    </oc>
    <nc r="AB54">
      <f>AB55+AB56+AB58</f>
    </nc>
  </rcc>
  <rcc rId="11272" sId="20">
    <oc r="AC54">
      <f>AC55+AC56+AC58</f>
    </oc>
    <nc r="AC54">
      <f>AC55+AC56+AC58</f>
    </nc>
  </rcc>
  <rcc rId="11273" sId="20">
    <oc r="AD54">
      <f>AD55+AD56+AD58</f>
    </oc>
    <nc r="AD54">
      <f>AD55+AD56+AD58</f>
    </nc>
  </rcc>
  <rcc rId="11274" sId="20">
    <oc r="AE54">
      <f>AE55+AE56+AE58</f>
    </oc>
    <nc r="AE54">
      <f>AE55+AE56+AE58</f>
    </nc>
  </rcc>
  <rcc rId="11275" sId="20">
    <oc r="B55">
      <f>H55+J55+L55+N55+P55+R55+T55+V55+X55+Z55+AB55+AD55</f>
    </oc>
    <nc r="B55">
      <f>H55+J55+L55+N55+P55+R55+T55+V55+X55+Z55+AB55+AD55</f>
    </nc>
  </rcc>
  <rcc rId="11276" sId="20">
    <oc r="C55">
      <f>H55+J55</f>
    </oc>
    <nc r="C55">
      <f>H55+J55</f>
    </nc>
  </rcc>
  <rcc rId="11277" sId="20">
    <oc r="E55">
      <f>I55+K55+M55+O55+Q55+S55+U55+W55+Y55+AA55+AC55+AE55</f>
    </oc>
    <nc r="E55">
      <f>I55+K55+M55+O55+Q55+S55+U55+W55+Y55+AA55+AC55+AE55</f>
    </nc>
  </rcc>
  <rcc rId="11278" sId="20">
    <oc r="F55">
      <f>IFERROR(E55/B55*100,0)</f>
    </oc>
    <nc r="F55">
      <f>IFERROR(E55/B55*100,0)</f>
    </nc>
  </rcc>
  <rcc rId="11279" sId="20">
    <oc r="G55">
      <f>IFERROR(E55/C55*100,0)</f>
    </oc>
    <nc r="G55">
      <f>IFERROR(E55/C55*100,0)</f>
    </nc>
  </rcc>
  <rcc rId="11280" sId="20" numFmtId="34">
    <oc r="T55">
      <f>7657676.34/1000</f>
    </oc>
    <nc r="T55">
      <v>7657.67634</v>
    </nc>
  </rcc>
  <rcc rId="11281" sId="20" numFmtId="4">
    <oc r="U55">
      <v>0</v>
    </oc>
    <nc r="U55">
      <v>7657.67634</v>
    </nc>
  </rcc>
  <rcc rId="11282" sId="20" odxf="1" s="1" dxf="1" numFmtId="4">
    <oc r="AB55">
      <f>72733623.66/1000</f>
    </oc>
    <nc r="AB55">
      <v>0</v>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readingOrder="0"/>
    </ndxf>
  </rcc>
  <rcc rId="11283" sId="20" numFmtId="4">
    <oc r="AD55">
      <v>0</v>
    </oc>
    <nc r="AD55">
      <v>72733.623659999997</v>
    </nc>
  </rcc>
  <rcc rId="11284" sId="20">
    <oc r="B56">
      <f>H56+J56+L56+N56+P56+R56+T56+V56+X56+Z56+AB56+AD56</f>
    </oc>
    <nc r="B56">
      <f>H56+J56+L56+N56+P56+R56+T56+V56+X56+Z56+AB56+AD56</f>
    </nc>
  </rcc>
  <rcc rId="11285" sId="20">
    <oc r="C56">
      <f>H56+J56</f>
    </oc>
    <nc r="C56">
      <f>H56+J56</f>
    </nc>
  </rcc>
  <rcc rId="11286" sId="20">
    <oc r="E56">
      <f>I56+K56+M56+O56+Q56+S56+U56+W56+Y56+AA56+AC56+AE56</f>
    </oc>
    <nc r="E56">
      <f>I56+K56+M56+O56+Q56+S56+U56+W56+Y56+AA56+AC56+AE56</f>
    </nc>
  </rcc>
  <rcc rId="11287" sId="20">
    <oc r="F56">
      <f>IFERROR(E56/B56*100,0)</f>
    </oc>
    <nc r="F56">
      <f>IFERROR(E56/B56*100,0)</f>
    </nc>
  </rcc>
  <rcc rId="11288" sId="20">
    <oc r="G56">
      <f>IFERROR(E56/C56*100,0)</f>
    </oc>
    <nc r="G56">
      <f>IFERROR(E56/C56*100,0)</f>
    </nc>
  </rcc>
  <rcc rId="11289" sId="20" numFmtId="34">
    <oc r="T56">
      <f>403035.6/1000</f>
    </oc>
    <nc r="T56">
      <v>403.03559999999999</v>
    </nc>
  </rcc>
  <rcc rId="11290" sId="20" numFmtId="4">
    <oc r="U56">
      <v>0</v>
    </oc>
    <nc r="U56">
      <v>403.03559999999999</v>
    </nc>
  </rcc>
  <rcc rId="11291" sId="20" odxf="1" s="1" dxf="1" numFmtId="4">
    <oc r="AB56">
      <f>3828064.4/1000</f>
    </oc>
    <nc r="AB56">
      <v>0</v>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readingOrder="0"/>
    </ndxf>
  </rcc>
  <rcc rId="11292" sId="20" numFmtId="34">
    <oc r="AD56">
      <f>100/1000</f>
    </oc>
    <nc r="AD56">
      <v>3828.1644000000001</v>
    </nc>
  </rcc>
  <rcc rId="11293" sId="20">
    <oc r="B57">
      <f>B56</f>
    </oc>
    <nc r="B57">
      <f>B56</f>
    </nc>
  </rcc>
  <rcc rId="11294" sId="20">
    <oc r="C57">
      <f>H57+J57</f>
    </oc>
    <nc r="C57">
      <f>H57+J57</f>
    </nc>
  </rcc>
  <rcc rId="11295" sId="20">
    <oc r="E57">
      <f>I57+K57+M57+O57+Q57+S57+U57+W57+Y57+AA57+AC57+AE57</f>
    </oc>
    <nc r="E57">
      <f>I57+K57+M57+O57+Q57+S57+U57+W57+Y57+AA57+AC57+AE57</f>
    </nc>
  </rcc>
  <rcc rId="11296" sId="20">
    <oc r="F57">
      <f>IFERROR(E57/B57*100,0)</f>
    </oc>
    <nc r="F57">
      <f>IFERROR(E57/B57*100,0)</f>
    </nc>
  </rcc>
  <rcc rId="11297" sId="20">
    <oc r="G57">
      <f>IFERROR(E57/C57*100,0)</f>
    </oc>
    <nc r="G57">
      <f>IFERROR(E57/C57*100,0)</f>
    </nc>
  </rcc>
  <rcc rId="11298" sId="20">
    <oc r="T57">
      <f>T56</f>
    </oc>
    <nc r="T57">
      <f>T56</f>
    </nc>
  </rcc>
  <rcc rId="11299" sId="20" odxf="1" s="1" dxf="1" numFmtId="4">
    <oc r="AB57">
      <f>AB56</f>
    </oc>
    <nc r="AB57">
      <v>0</v>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4" formatCode="#,##0.00"/>
      <alignment horizontal="center" readingOrder="0"/>
    </ndxf>
  </rcc>
  <rcc rId="11300" sId="20">
    <oc r="AD57">
      <f>AD56</f>
    </oc>
    <nc r="AD57">
      <f>AD56</f>
    </nc>
  </rcc>
  <rcc rId="11301" sId="20">
    <oc r="B59">
      <f>B60</f>
    </oc>
    <nc r="B59">
      <f>B60</f>
    </nc>
  </rcc>
  <rcc rId="11302" sId="20">
    <oc r="X59">
      <f>X62</f>
    </oc>
    <nc r="X59">
      <f>X62</f>
    </nc>
  </rcc>
  <rcc rId="11303" sId="20">
    <oc r="AF59" t="inlineStr">
      <is>
        <t>В соответствии с решением Думы города Когалыма от 19.06.2024 №410-ГД:
- выделены плановые ассигнования в размере 118,0 тыс. руб. на разработку топливно-энергетического баланса г.Когалыма за 2023 год и на период до 2030 года (письмо от 06.06.2024 №69-Исх-1798).</t>
      </is>
    </oc>
    <nc r="AF59" t="inlineStr">
      <is>
        <t>Муниципальный контракт № 49/2024 от 01.07.2024 на оказание услуг по разработке топливно-энергетического баланса города Когалыма за 2023 год и актуализация прогнозного баланса на период до 2030 года.
-срок выполнения работ 01.09.2024 г.;
-цена контракта 118,0  тыс.руб;
-ведется оказание услуг.</t>
      </is>
    </nc>
  </rcc>
  <rcc rId="11304" sId="20">
    <oc r="B60">
      <f>B61+B62+B64</f>
    </oc>
    <nc r="B60">
      <f>B61+B62+B64</f>
    </nc>
  </rcc>
  <rcc rId="11305" sId="20">
    <oc r="X60">
      <f>X61+X62+X64</f>
    </oc>
    <nc r="X60">
      <f>X61+X62+X64</f>
    </nc>
  </rcc>
  <rcc rId="11306" sId="20">
    <oc r="B62">
      <f>X62</f>
    </oc>
    <nc r="B62">
      <f>X62</f>
    </nc>
  </rcc>
  <rcc rId="11307" sId="20">
    <oc r="B66">
      <f>B67+B68+B70</f>
    </oc>
    <nc r="B66">
      <f>B67+B68+B70</f>
    </nc>
  </rcc>
  <rcc rId="11308" sId="20">
    <oc r="C66">
      <f>C67+C68+C70</f>
    </oc>
    <nc r="C66">
      <f>C67+C68+C70</f>
    </nc>
  </rcc>
  <rcc rId="11309" sId="20">
    <oc r="D66">
      <f>D67+D68+D70</f>
    </oc>
    <nc r="D66">
      <f>D67+D68+D70</f>
    </nc>
  </rcc>
  <rcc rId="11310" sId="20">
    <oc r="E66">
      <f>E67+E68+E70</f>
    </oc>
    <nc r="E66">
      <f>E67+E68+E70</f>
    </nc>
  </rcc>
  <rcc rId="11311" sId="20">
    <oc r="F66">
      <f>IFERROR(E66/B66*100,0)</f>
    </oc>
    <nc r="F66">
      <f>IFERROR(E66/B66*100,0)</f>
    </nc>
  </rcc>
  <rcc rId="11312" sId="20">
    <oc r="G66">
      <f>IFERROR(E66/C66*100,0)</f>
    </oc>
    <nc r="G66">
      <f>IFERROR(E66/C66*100,0)</f>
    </nc>
  </rcc>
  <rcc rId="11313" sId="20">
    <oc r="H66">
      <f>H67+H68+H70</f>
    </oc>
    <nc r="H66">
      <f>H67+H68+H70</f>
    </nc>
  </rcc>
  <rcc rId="11314" sId="20">
    <oc r="I66">
      <f>I67+I68+I70</f>
    </oc>
    <nc r="I66">
      <f>I67+I68+I70</f>
    </nc>
  </rcc>
  <rcc rId="11315" sId="20">
    <oc r="J66">
      <f>J67+J68+J70</f>
    </oc>
    <nc r="J66">
      <f>J67+J68+J70</f>
    </nc>
  </rcc>
  <rcc rId="11316" sId="20">
    <oc r="K66">
      <f>K67+K68+K70</f>
    </oc>
    <nc r="K66">
      <f>K67+K68+K70</f>
    </nc>
  </rcc>
  <rcc rId="11317" sId="20">
    <oc r="L66">
      <f>L67+L68+L70</f>
    </oc>
    <nc r="L66">
      <f>L67+L68+L70</f>
    </nc>
  </rcc>
  <rcc rId="11318" sId="20">
    <oc r="M66">
      <f>M67+M68+M70</f>
    </oc>
    <nc r="M66">
      <f>M67+M68+M70</f>
    </nc>
  </rcc>
  <rcc rId="11319" sId="20">
    <oc r="N66">
      <f>N67+N68+N70</f>
    </oc>
    <nc r="N66">
      <f>N67+N68+N70</f>
    </nc>
  </rcc>
  <rcc rId="11320" sId="20">
    <oc r="O66">
      <f>O67+O68+O70</f>
    </oc>
    <nc r="O66">
      <f>O67+O68+O70</f>
    </nc>
  </rcc>
  <rcc rId="11321" sId="20">
    <oc r="P66">
      <f>P67+P68+P70</f>
    </oc>
    <nc r="P66">
      <f>P67+P68+P70</f>
    </nc>
  </rcc>
  <rcc rId="11322" sId="20">
    <oc r="Q66">
      <f>Q67+Q68+Q70</f>
    </oc>
    <nc r="Q66">
      <f>Q67+Q68+Q70</f>
    </nc>
  </rcc>
  <rcc rId="11323" sId="20">
    <oc r="R66">
      <f>R67+R68+R70</f>
    </oc>
    <nc r="R66">
      <f>R67+R68+R70</f>
    </nc>
  </rcc>
  <rcc rId="11324" sId="20">
    <oc r="S66">
      <f>S67+S68+S70</f>
    </oc>
    <nc r="S66">
      <f>S67+S68+S70</f>
    </nc>
  </rcc>
  <rcc rId="11325" sId="20">
    <oc r="T66">
      <f>T67+T68+T70</f>
    </oc>
    <nc r="T66">
      <f>T67+T68+T70</f>
    </nc>
  </rcc>
  <rcc rId="11326" sId="20">
    <oc r="U66">
      <f>U67+U68+U70</f>
    </oc>
    <nc r="U66">
      <f>U67+U68+U70</f>
    </nc>
  </rcc>
  <rcc rId="11327" sId="20">
    <oc r="V66">
      <f>V67+V68+V70</f>
    </oc>
    <nc r="V66">
      <f>V67+V68+V70</f>
    </nc>
  </rcc>
  <rcc rId="11328" sId="20">
    <oc r="W66">
      <f>W67+W68+W70</f>
    </oc>
    <nc r="W66">
      <f>W67+W68+W70</f>
    </nc>
  </rcc>
  <rcc rId="11329" sId="20">
    <oc r="X66">
      <f>X67+X68+X70</f>
    </oc>
    <nc r="X66">
      <f>X67+X68+X70</f>
    </nc>
  </rcc>
  <rcc rId="11330" sId="20">
    <oc r="Y66">
      <f>Y67+Y68+Y70</f>
    </oc>
    <nc r="Y66">
      <f>Y67+Y68+Y70</f>
    </nc>
  </rcc>
  <rcc rId="11331" sId="20">
    <oc r="Z66">
      <f>Z67+Z68+Z70</f>
    </oc>
    <nc r="Z66">
      <f>Z67+Z68+Z70</f>
    </nc>
  </rcc>
  <rcc rId="11332" sId="20">
    <oc r="AA66">
      <f>AA67+AA68+AA70</f>
    </oc>
    <nc r="AA66">
      <f>AA67+AA68+AA70</f>
    </nc>
  </rcc>
  <rcc rId="11333" sId="20">
    <oc r="AB66">
      <f>AB67+AB68+AB70</f>
    </oc>
    <nc r="AB66">
      <f>AB67+AB68+AB70</f>
    </nc>
  </rcc>
  <rcc rId="11334" sId="20">
    <oc r="AC66">
      <f>AC67+AC68+AC70</f>
    </oc>
    <nc r="AC66">
      <f>AC67+AC68+AC70</f>
    </nc>
  </rcc>
  <rcc rId="11335" sId="20">
    <oc r="AD66">
      <f>AD67+AD68+AD70</f>
    </oc>
    <nc r="AD66">
      <f>AD67+AD68+AD70</f>
    </nc>
  </rcc>
  <rcc rId="11336" sId="20">
    <oc r="AE66">
      <f>AE67+AE68+AE70</f>
    </oc>
    <nc r="AE66">
      <f>AE67+AE68+AE70</f>
    </nc>
  </rcc>
  <rcc rId="11337" sId="20">
    <oc r="B67">
      <f>B43</f>
    </oc>
    <nc r="B67">
      <f>B43</f>
    </nc>
  </rcc>
  <rcc rId="11338" sId="20">
    <oc r="C67">
      <f>C43+C55</f>
    </oc>
    <nc r="C67">
      <f>C43+C55</f>
    </nc>
  </rcc>
  <rcc rId="11339" sId="20">
    <oc r="D67">
      <f>D43+D55</f>
    </oc>
    <nc r="D67">
      <f>D43+D55</f>
    </nc>
  </rcc>
  <rcc rId="11340" sId="20">
    <oc r="E67">
      <f>E43+E55</f>
    </oc>
    <nc r="E67">
      <f>E43</f>
    </nc>
  </rcc>
  <rcc rId="11341" sId="20">
    <oc r="F67">
      <f>F43+F55</f>
    </oc>
    <nc r="F67">
      <f>F43+F55</f>
    </nc>
  </rcc>
  <rcc rId="11342" sId="20">
    <oc r="G67">
      <f>G43+G55</f>
    </oc>
    <nc r="G67">
      <f>G43+G55</f>
    </nc>
  </rcc>
  <rcc rId="11343" sId="20">
    <oc r="H67">
      <f>H43+H55</f>
    </oc>
    <nc r="H67">
      <f>H43+H55</f>
    </nc>
  </rcc>
  <rcc rId="11344" sId="20">
    <oc r="I67">
      <f>I43+I55</f>
    </oc>
    <nc r="I67">
      <f>I43+I55</f>
    </nc>
  </rcc>
  <rcc rId="11345" sId="20">
    <oc r="J67">
      <f>J43+J55</f>
    </oc>
    <nc r="J67">
      <f>J43+J55</f>
    </nc>
  </rcc>
  <rcc rId="11346" sId="20">
    <oc r="K67">
      <f>K43+K55</f>
    </oc>
    <nc r="K67">
      <f>K43+K55</f>
    </nc>
  </rcc>
  <rcc rId="11347" sId="20">
    <oc r="L67">
      <f>L43+L55</f>
    </oc>
    <nc r="L67">
      <f>L43+L55</f>
    </nc>
  </rcc>
  <rcc rId="11348" sId="20">
    <oc r="M67">
      <f>M43+M55</f>
    </oc>
    <nc r="M67">
      <f>M43+M55</f>
    </nc>
  </rcc>
  <rcc rId="11349" sId="20">
    <oc r="N67">
      <f>N43+N55</f>
    </oc>
    <nc r="N67">
      <f>N43+N55</f>
    </nc>
  </rcc>
  <rcc rId="11350" sId="20">
    <oc r="O67">
      <f>O43+O55</f>
    </oc>
    <nc r="O67">
      <f>O43+O55</f>
    </nc>
  </rcc>
  <rcc rId="11351" sId="20">
    <oc r="P67">
      <f>P43+P55</f>
    </oc>
    <nc r="P67">
      <f>P43+P55</f>
    </nc>
  </rcc>
  <rcc rId="11352" sId="20">
    <oc r="Q67">
      <f>Q43+Q55</f>
    </oc>
    <nc r="Q67">
      <f>Q43+Q55</f>
    </nc>
  </rcc>
  <rcc rId="11353" sId="20">
    <oc r="R67">
      <f>R43+R55</f>
    </oc>
    <nc r="R67">
      <f>R43+R55</f>
    </nc>
  </rcc>
  <rcc rId="11354" sId="20">
    <oc r="S67">
      <f>S43+S55</f>
    </oc>
    <nc r="S67">
      <f>S43+S55</f>
    </nc>
  </rcc>
  <rcc rId="11355" sId="20">
    <oc r="T67">
      <f>T43</f>
    </oc>
    <nc r="T67">
      <f>T43</f>
    </nc>
  </rcc>
  <rcc rId="11356" sId="20">
    <oc r="U67">
      <f>U43+U55</f>
    </oc>
    <nc r="U67">
      <f>T43</f>
    </nc>
  </rcc>
  <rcc rId="11357" sId="20">
    <oc r="V67">
      <f>V43+V55</f>
    </oc>
    <nc r="V67">
      <f>V43+V55</f>
    </nc>
  </rcc>
  <rcc rId="11358" sId="20">
    <oc r="W67">
      <f>W43+W55</f>
    </oc>
    <nc r="W67">
      <f>W43+W55</f>
    </nc>
  </rcc>
  <rcc rId="11359" sId="20">
    <oc r="X67">
      <f>X43+X55</f>
    </oc>
    <nc r="X67">
      <f>X43+X55</f>
    </nc>
  </rcc>
  <rcc rId="11360" sId="20">
    <oc r="Y67">
      <f>Y43+Y55</f>
    </oc>
    <nc r="Y67">
      <f>Y43+Y55</f>
    </nc>
  </rcc>
  <rcc rId="11361" sId="20">
    <oc r="Z67">
      <f>Z43+Z55</f>
    </oc>
    <nc r="Z67">
      <f>Z43+Z55</f>
    </nc>
  </rcc>
  <rcc rId="11362" sId="20">
    <oc r="AA67">
      <f>AA43+AA55</f>
    </oc>
    <nc r="AA67">
      <f>AA43+AA55</f>
    </nc>
  </rcc>
  <rcc rId="11363" sId="20">
    <oc r="AB67">
      <f>AB43</f>
    </oc>
    <nc r="AB67">
      <f>AB43</f>
    </nc>
  </rcc>
  <rcc rId="11364" sId="20">
    <oc r="AC67">
      <f>AC43+AC55</f>
    </oc>
    <nc r="AC67">
      <f>AC43+AC55</f>
    </nc>
  </rcc>
  <rcc rId="11365" sId="20">
    <oc r="AD67">
      <f>AD43+AD55</f>
    </oc>
    <nc r="AD67">
      <f>AD43</f>
    </nc>
  </rcc>
  <rcc rId="11366" sId="20">
    <oc r="AE67">
      <f>AE43</f>
    </oc>
    <nc r="AE67">
      <f>AE43</f>
    </nc>
  </rcc>
  <rcc rId="11367" sId="20">
    <oc r="B68">
      <f>B44</f>
    </oc>
    <nc r="B68">
      <f>B44</f>
    </nc>
  </rcc>
  <rcc rId="11368" sId="20">
    <oc r="C68">
      <f>C44+C56</f>
    </oc>
    <nc r="C68">
      <f>C44+C56</f>
    </nc>
  </rcc>
  <rcc rId="11369" sId="20">
    <oc r="D68">
      <f>D44+D56</f>
    </oc>
    <nc r="D68">
      <f>D44+D56</f>
    </nc>
  </rcc>
  <rcc rId="11370" sId="20">
    <oc r="E68">
      <f>E44+E56</f>
    </oc>
    <nc r="E68">
      <f>E44</f>
    </nc>
  </rcc>
  <rcc rId="11371" sId="20">
    <oc r="F68">
      <f>F44+F56</f>
    </oc>
    <nc r="F68">
      <f>F44+F56</f>
    </nc>
  </rcc>
  <rcc rId="11372" sId="20">
    <oc r="G68">
      <f>G44+G56</f>
    </oc>
    <nc r="G68">
      <f>G44+G56</f>
    </nc>
  </rcc>
  <rcc rId="11373" sId="20">
    <oc r="H68">
      <f>H44+H56</f>
    </oc>
    <nc r="H68">
      <f>H44+H56</f>
    </nc>
  </rcc>
  <rcc rId="11374" sId="20">
    <oc r="I68">
      <f>I44+I56</f>
    </oc>
    <nc r="I68">
      <f>I44+I56</f>
    </nc>
  </rcc>
  <rcc rId="11375" sId="20">
    <oc r="J68">
      <f>J44+J56</f>
    </oc>
    <nc r="J68">
      <f>J44+J56</f>
    </nc>
  </rcc>
  <rcc rId="11376" sId="20">
    <oc r="K68">
      <f>K44+K56</f>
    </oc>
    <nc r="K68">
      <f>K44+K56</f>
    </nc>
  </rcc>
  <rcc rId="11377" sId="20">
    <oc r="L68">
      <f>L44+L56</f>
    </oc>
    <nc r="L68">
      <f>L44+L56</f>
    </nc>
  </rcc>
  <rcc rId="11378" sId="20">
    <oc r="M68">
      <f>M44+M56</f>
    </oc>
    <nc r="M68">
      <f>M44+M56</f>
    </nc>
  </rcc>
  <rcc rId="11379" sId="20">
    <oc r="N68">
      <f>N44+N56</f>
    </oc>
    <nc r="N68">
      <f>N44+N56</f>
    </nc>
  </rcc>
  <rcc rId="11380" sId="20">
    <oc r="O68">
      <f>O44+O56</f>
    </oc>
    <nc r="O68">
      <f>O44+O56</f>
    </nc>
  </rcc>
  <rcc rId="11381" sId="20">
    <oc r="P68">
      <f>P44+P56</f>
    </oc>
    <nc r="P68">
      <f>P44+P56</f>
    </nc>
  </rcc>
  <rcc rId="11382" sId="20">
    <oc r="Q68">
      <f>Q44+Q56</f>
    </oc>
    <nc r="Q68">
      <f>Q44+Q56</f>
    </nc>
  </rcc>
  <rcc rId="11383" sId="20">
    <oc r="R68">
      <f>R44+R56</f>
    </oc>
    <nc r="R68">
      <f>R44+R56</f>
    </nc>
  </rcc>
  <rcc rId="11384" sId="20">
    <oc r="S68">
      <f>S44+S56</f>
    </oc>
    <nc r="S68">
      <f>S44+S56</f>
    </nc>
  </rcc>
  <rcc rId="11385" sId="20">
    <oc r="T68">
      <f>T44</f>
    </oc>
    <nc r="T68">
      <f>T44</f>
    </nc>
  </rcc>
  <rcc rId="11386" sId="20">
    <oc r="U68">
      <f>U44+U56</f>
    </oc>
    <nc r="U68">
      <f>U44</f>
    </nc>
  </rcc>
  <rcc rId="11387" sId="20">
    <oc r="V68">
      <f>V44+V56</f>
    </oc>
    <nc r="V68">
      <f>V44+V56</f>
    </nc>
  </rcc>
  <rcc rId="11388" sId="20">
    <oc r="W68">
      <f>W44+W56</f>
    </oc>
    <nc r="W68">
      <f>W44+W56</f>
    </nc>
  </rcc>
  <rcc rId="11389" sId="20">
    <oc r="X68">
      <f>X44+X56</f>
    </oc>
    <nc r="X68">
      <f>X44+X56</f>
    </nc>
  </rcc>
  <rcc rId="11390" sId="20">
    <oc r="Y68">
      <f>Y44+Y56</f>
    </oc>
    <nc r="Y68">
      <f>Y44+Y56</f>
    </nc>
  </rcc>
  <rcc rId="11391" sId="20">
    <oc r="Z68">
      <f>Z44+Z56</f>
    </oc>
    <nc r="Z68">
      <f>Z44+Z56</f>
    </nc>
  </rcc>
  <rcc rId="11392" sId="20">
    <oc r="AA68">
      <f>AA44+AA56</f>
    </oc>
    <nc r="AA68">
      <f>AA44+AA56</f>
    </nc>
  </rcc>
  <rcc rId="11393" sId="20">
    <oc r="AB68">
      <f>AB44</f>
    </oc>
    <nc r="AB68">
      <f>AB44</f>
    </nc>
  </rcc>
  <rcc rId="11394" sId="20">
    <oc r="AC68">
      <f>AC44+AC56</f>
    </oc>
    <nc r="AC68">
      <f>AC44+AC56</f>
    </nc>
  </rcc>
  <rcc rId="11395" sId="20">
    <oc r="AD68">
      <f>AD44</f>
    </oc>
    <nc r="AD68">
      <f>AD44</f>
    </nc>
  </rcc>
  <rcc rId="11396" sId="20">
    <oc r="AE68">
      <f>AE44</f>
    </oc>
    <nc r="AE68">
      <f>AE44</f>
    </nc>
  </rcc>
  <rcc rId="11397" sId="20">
    <oc r="B69">
      <f>B45</f>
    </oc>
    <nc r="B69">
      <f>B45</f>
    </nc>
  </rcc>
  <rcc rId="11398" sId="20">
    <oc r="C69">
      <f>C45+C57</f>
    </oc>
    <nc r="C69">
      <f>C45+C57</f>
    </nc>
  </rcc>
  <rcc rId="11399" sId="20">
    <oc r="D69">
      <f>D45+D57</f>
    </oc>
    <nc r="D69">
      <f>D45+D57</f>
    </nc>
  </rcc>
  <rcc rId="11400" sId="20">
    <oc r="E69">
      <f>E45+E57</f>
    </oc>
    <nc r="E69">
      <f>E45+E57</f>
    </nc>
  </rcc>
  <rcc rId="11401" sId="20">
    <oc r="F69">
      <f>F45+F57</f>
    </oc>
    <nc r="F69">
      <f>F45+F57</f>
    </nc>
  </rcc>
  <rcc rId="11402" sId="20">
    <oc r="G69">
      <f>G45+G57</f>
    </oc>
    <nc r="G69">
      <f>G45+G57</f>
    </nc>
  </rcc>
  <rcc rId="11403" sId="20">
    <oc r="H69">
      <f>H45+H57</f>
    </oc>
    <nc r="H69">
      <f>H45+H57</f>
    </nc>
  </rcc>
  <rcc rId="11404" sId="20">
    <oc r="I69">
      <f>I45+I57</f>
    </oc>
    <nc r="I69">
      <f>I45+I57</f>
    </nc>
  </rcc>
  <rcc rId="11405" sId="20">
    <oc r="J69">
      <f>J45+J57</f>
    </oc>
    <nc r="J69">
      <f>J45+J57</f>
    </nc>
  </rcc>
  <rcc rId="11406" sId="20">
    <oc r="K69">
      <f>K45+K57</f>
    </oc>
    <nc r="K69">
      <f>K45+K57</f>
    </nc>
  </rcc>
  <rcc rId="11407" sId="20">
    <oc r="L69">
      <f>L45+L57</f>
    </oc>
    <nc r="L69">
      <f>L45+L57</f>
    </nc>
  </rcc>
  <rcc rId="11408" sId="20">
    <oc r="M69">
      <f>M45+M57</f>
    </oc>
    <nc r="M69">
      <f>M45+M57</f>
    </nc>
  </rcc>
  <rcc rId="11409" sId="20">
    <oc r="N69">
      <f>N45+N57</f>
    </oc>
    <nc r="N69">
      <f>N45+N57</f>
    </nc>
  </rcc>
  <rcc rId="11410" sId="20">
    <oc r="O69">
      <f>O45+O57</f>
    </oc>
    <nc r="O69">
      <f>O45+O57</f>
    </nc>
  </rcc>
  <rcc rId="11411" sId="20">
    <oc r="P69">
      <f>P45+P57</f>
    </oc>
    <nc r="P69">
      <f>P45+P57</f>
    </nc>
  </rcc>
  <rcc rId="11412" sId="20">
    <oc r="Q69">
      <f>Q45+Q57</f>
    </oc>
    <nc r="Q69">
      <f>Q45+Q57</f>
    </nc>
  </rcc>
  <rcc rId="11413" sId="20">
    <oc r="R69">
      <f>R45+R57</f>
    </oc>
    <nc r="R69">
      <f>R45+R57</f>
    </nc>
  </rcc>
  <rcc rId="11414" sId="20">
    <oc r="S69">
      <f>S45+S57</f>
    </oc>
    <nc r="S69">
      <f>S45+S57</f>
    </nc>
  </rcc>
  <rcc rId="11415" sId="20">
    <oc r="T69">
      <f>T45+T57</f>
    </oc>
    <nc r="T69">
      <f>T45+T57</f>
    </nc>
  </rcc>
  <rcc rId="11416" sId="20">
    <oc r="U69">
      <f>U45+U57</f>
    </oc>
    <nc r="U69">
      <f>U45+U57</f>
    </nc>
  </rcc>
  <rcc rId="11417" sId="20">
    <oc r="V69">
      <f>V45+V57</f>
    </oc>
    <nc r="V69">
      <f>V45+V57</f>
    </nc>
  </rcc>
  <rcc rId="11418" sId="20">
    <oc r="W69">
      <f>W45+W57</f>
    </oc>
    <nc r="W69">
      <f>W45+W57</f>
    </nc>
  </rcc>
  <rcc rId="11419" sId="20">
    <oc r="X69">
      <f>X45+X57</f>
    </oc>
    <nc r="X69">
      <f>X45+X57</f>
    </nc>
  </rcc>
  <rcc rId="11420" sId="20">
    <oc r="Y69">
      <f>Y45+Y57</f>
    </oc>
    <nc r="Y69">
      <f>Y45+Y57</f>
    </nc>
  </rcc>
  <rcc rId="11421" sId="20">
    <oc r="Z69">
      <f>Z45+Z57</f>
    </oc>
    <nc r="Z69">
      <f>Z45+Z57</f>
    </nc>
  </rcc>
  <rcc rId="11422" sId="20">
    <oc r="AA69">
      <f>AA45+AA57</f>
    </oc>
    <nc r="AA69">
      <f>AA45+AA57</f>
    </nc>
  </rcc>
  <rcc rId="11423" sId="20">
    <oc r="AB69">
      <f>AB45+AB57</f>
    </oc>
    <nc r="AB69">
      <f>AB45+AB57</f>
    </nc>
  </rcc>
  <rcc rId="11424" sId="20">
    <oc r="AC69">
      <f>AC45+AC57</f>
    </oc>
    <nc r="AC69">
      <f>AC45+AC57</f>
    </nc>
  </rcc>
  <rcc rId="11425" sId="20">
    <oc r="AD69">
      <f>AD45+AD57</f>
    </oc>
    <nc r="AD69">
      <f>AD45+AD57</f>
    </nc>
  </rcc>
  <rcc rId="11426" sId="20">
    <oc r="AE69">
      <f>AE45</f>
    </oc>
    <nc r="AE69">
      <f>AE45</f>
    </nc>
  </rcc>
  <rcc rId="11427" sId="20">
    <oc r="B70">
      <f>B46</f>
    </oc>
    <nc r="B70">
      <f>B46</f>
    </nc>
  </rcc>
  <rcc rId="11428" sId="20">
    <oc r="C70">
      <f>C46+C58</f>
    </oc>
    <nc r="C70">
      <f>C46+C58</f>
    </nc>
  </rcc>
  <rcc rId="11429" sId="20">
    <oc r="D70">
      <f>D46+D58</f>
    </oc>
    <nc r="D70">
      <f>D46+D58</f>
    </nc>
  </rcc>
  <rcc rId="11430" sId="20">
    <oc r="E70">
      <f>E46+E58</f>
    </oc>
    <nc r="E70">
      <f>E46+E58</f>
    </nc>
  </rcc>
  <rcc rId="11431" sId="20">
    <oc r="F70">
      <f>F46+F58</f>
    </oc>
    <nc r="F70">
      <f>F46+F58</f>
    </nc>
  </rcc>
  <rcc rId="11432" sId="20">
    <oc r="G70">
      <f>G46+G58</f>
    </oc>
    <nc r="G70">
      <f>G46+G58</f>
    </nc>
  </rcc>
  <rcc rId="11433" sId="20">
    <oc r="H70">
      <f>H46+H58</f>
    </oc>
    <nc r="H70">
      <f>H46+H58</f>
    </nc>
  </rcc>
  <rcc rId="11434" sId="20">
    <oc r="I70">
      <f>I46+I58</f>
    </oc>
    <nc r="I70">
      <f>I46+I58</f>
    </nc>
  </rcc>
  <rcc rId="11435" sId="20">
    <oc r="J70">
      <f>J46+J58</f>
    </oc>
    <nc r="J70">
      <f>J46+J58</f>
    </nc>
  </rcc>
  <rcc rId="11436" sId="20">
    <oc r="K70">
      <f>K46+K58</f>
    </oc>
    <nc r="K70">
      <f>K46+K58</f>
    </nc>
  </rcc>
  <rcc rId="11437" sId="20">
    <oc r="L70">
      <f>L46+L58</f>
    </oc>
    <nc r="L70">
      <f>L46+L58</f>
    </nc>
  </rcc>
  <rcc rId="11438" sId="20">
    <oc r="M70">
      <f>M46+M58</f>
    </oc>
    <nc r="M70">
      <f>M46+M58</f>
    </nc>
  </rcc>
  <rcc rId="11439" sId="20">
    <oc r="N70">
      <f>N46+N58</f>
    </oc>
    <nc r="N70">
      <f>N46+N58</f>
    </nc>
  </rcc>
  <rcc rId="11440" sId="20">
    <oc r="O70">
      <f>O46+O58</f>
    </oc>
    <nc r="O70">
      <f>O46+O58</f>
    </nc>
  </rcc>
  <rcc rId="11441" sId="20">
    <oc r="P70">
      <f>P46+P58</f>
    </oc>
    <nc r="P70">
      <f>P46+P58</f>
    </nc>
  </rcc>
  <rcc rId="11442" sId="20">
    <oc r="Q70">
      <f>Q46+Q58</f>
    </oc>
    <nc r="Q70">
      <f>Q46+Q58</f>
    </nc>
  </rcc>
  <rcc rId="11443" sId="20">
    <oc r="R70">
      <f>R46+R58</f>
    </oc>
    <nc r="R70">
      <f>R46+R58</f>
    </nc>
  </rcc>
  <rcc rId="11444" sId="20">
    <oc r="S70">
      <f>S46+S58</f>
    </oc>
    <nc r="S70">
      <f>S46+S58</f>
    </nc>
  </rcc>
  <rcc rId="11445" sId="20">
    <oc r="T70">
      <f>T46+T58</f>
    </oc>
    <nc r="T70">
      <f>T46+T58</f>
    </nc>
  </rcc>
  <rcc rId="11446" sId="20">
    <oc r="U70">
      <f>U46+U58</f>
    </oc>
    <nc r="U70">
      <f>U46+U58</f>
    </nc>
  </rcc>
  <rcc rId="11447" sId="20">
    <oc r="V70">
      <f>V46+V58</f>
    </oc>
    <nc r="V70">
      <f>V46+V58</f>
    </nc>
  </rcc>
  <rcc rId="11448" sId="20">
    <oc r="W70">
      <f>W46+W58</f>
    </oc>
    <nc r="W70">
      <f>W46+W58</f>
    </nc>
  </rcc>
  <rcc rId="11449" sId="20">
    <oc r="X70">
      <f>X46+X58</f>
    </oc>
    <nc r="X70">
      <f>X46+X58</f>
    </nc>
  </rcc>
  <rcc rId="11450" sId="20">
    <oc r="Y70">
      <f>Y46+Y58</f>
    </oc>
    <nc r="Y70">
      <f>Y46+Y58</f>
    </nc>
  </rcc>
  <rcc rId="11451" sId="20">
    <oc r="Z70">
      <f>Z46+Z58</f>
    </oc>
    <nc r="Z70">
      <f>Z46+Z58</f>
    </nc>
  </rcc>
  <rcc rId="11452" sId="20">
    <oc r="AA70">
      <f>AA46+AA58</f>
    </oc>
    <nc r="AA70">
      <f>AA46+AA58</f>
    </nc>
  </rcc>
  <rcc rId="11453" sId="20">
    <oc r="AB70">
      <f>AB46+AB58</f>
    </oc>
    <nc r="AB70">
      <f>AB46+AB58</f>
    </nc>
  </rcc>
  <rcc rId="11454" sId="20">
    <oc r="AC70">
      <f>AC46+AC58</f>
    </oc>
    <nc r="AC70">
      <f>AC46+AC58</f>
    </nc>
  </rcc>
  <rcc rId="11455" sId="20">
    <oc r="AD70">
      <f>AD46+AD58</f>
    </oc>
    <nc r="AD70">
      <f>AD46+AD58</f>
    </nc>
  </rcc>
  <rcc rId="11456" sId="20">
    <oc r="AE70">
      <f>AE46</f>
    </oc>
    <nc r="AE70">
      <f>AE46</f>
    </nc>
  </rcc>
  <rcc rId="11457" sId="20">
    <oc r="B71">
      <f>B72+B73+B75</f>
    </oc>
    <nc r="B71">
      <f>B72+B73+B75</f>
    </nc>
  </rcc>
  <rcc rId="11458" sId="20">
    <oc r="C71">
      <f>C72+C73+C75</f>
    </oc>
    <nc r="C71">
      <f>C72+C73+C75</f>
    </nc>
  </rcc>
  <rcc rId="11459" sId="20">
    <oc r="D71">
      <f>D72+D73+D75</f>
    </oc>
    <nc r="D71">
      <f>D72+D73+D75</f>
    </nc>
  </rcc>
  <rcc rId="11460" sId="20">
    <oc r="E71">
      <f>E72+E73+E75</f>
    </oc>
    <nc r="E71">
      <f>E72+E73+E75</f>
    </nc>
  </rcc>
  <rcc rId="11461" sId="20">
    <oc r="F71">
      <f>IFERROR(E71/B71*100,0)</f>
    </oc>
    <nc r="F71">
      <f>IFERROR(E71/B71*100,0)</f>
    </nc>
  </rcc>
  <rcc rId="11462" sId="20">
    <oc r="G71">
      <f>IFERROR(E71/C71*100,0)</f>
    </oc>
    <nc r="G71">
      <f>IFERROR(E71/C71*100,0)</f>
    </nc>
  </rcc>
  <rcc rId="11463" sId="20">
    <oc r="H71">
      <f>H72+H73+H75</f>
    </oc>
    <nc r="H71">
      <f>H72+H73+H75</f>
    </nc>
  </rcc>
  <rcc rId="11464" sId="20">
    <oc r="I71">
      <f>I72+I73+I75</f>
    </oc>
    <nc r="I71">
      <f>I72+I73+I75</f>
    </nc>
  </rcc>
  <rcc rId="11465" sId="20">
    <oc r="J71">
      <f>J72+J73+J75</f>
    </oc>
    <nc r="J71">
      <f>J72+J73+J75</f>
    </nc>
  </rcc>
  <rcc rId="11466" sId="20">
    <oc r="K71">
      <f>K72+K73+K75</f>
    </oc>
    <nc r="K71">
      <f>K72+K73+K75</f>
    </nc>
  </rcc>
  <rcc rId="11467" sId="20">
    <oc r="L71">
      <f>L72+L73+L75</f>
    </oc>
    <nc r="L71">
      <f>L72+L73+L75</f>
    </nc>
  </rcc>
  <rcc rId="11468" sId="20">
    <oc r="M71">
      <f>M72+M73+M75</f>
    </oc>
    <nc r="M71">
      <f>M72+M73+M75</f>
    </nc>
  </rcc>
  <rcc rId="11469" sId="20">
    <oc r="N71">
      <f>N72+N73+N75</f>
    </oc>
    <nc r="N71">
      <f>N72+N73+N75</f>
    </nc>
  </rcc>
  <rcc rId="11470" sId="20">
    <oc r="O71">
      <f>O72+O73+O75</f>
    </oc>
    <nc r="O71">
      <f>O72+O73+O75</f>
    </nc>
  </rcc>
  <rcc rId="11471" sId="20">
    <oc r="P71">
      <f>P72+P73+P75</f>
    </oc>
    <nc r="P71">
      <f>P72+P73+P75</f>
    </nc>
  </rcc>
  <rcc rId="11472" sId="20">
    <oc r="Q71">
      <f>Q72+Q73+Q75</f>
    </oc>
    <nc r="Q71">
      <f>Q72+Q73+Q75</f>
    </nc>
  </rcc>
  <rcc rId="11473" sId="20">
    <oc r="R71">
      <f>R72+R73+R75</f>
    </oc>
    <nc r="R71">
      <f>R72+R73+R75</f>
    </nc>
  </rcc>
  <rcc rId="11474" sId="20">
    <oc r="S71">
      <f>S72+S73+S75</f>
    </oc>
    <nc r="S71">
      <f>S72+S73+S75</f>
    </nc>
  </rcc>
  <rcc rId="11475" sId="20">
    <oc r="T71">
      <f>T72+T73+T75</f>
    </oc>
    <nc r="T71">
      <f>T72+T73+T75</f>
    </nc>
  </rcc>
  <rcc rId="11476" sId="20">
    <oc r="U71">
      <f>U72+U73+U75</f>
    </oc>
    <nc r="U71">
      <f>U72+U73+U75</f>
    </nc>
  </rcc>
  <rcc rId="11477" sId="20">
    <oc r="V71">
      <f>V72+V73+V75</f>
    </oc>
    <nc r="V71">
      <f>V72+V73+V75</f>
    </nc>
  </rcc>
  <rcc rId="11478" sId="20">
    <oc r="W71">
      <f>W72+W73+W75</f>
    </oc>
    <nc r="W71">
      <f>W72+W73+W75</f>
    </nc>
  </rcc>
  <rcc rId="11479" sId="20">
    <oc r="X71">
      <f>X72+X73+X75</f>
    </oc>
    <nc r="X71">
      <f>X72+X73+X75</f>
    </nc>
  </rcc>
  <rcc rId="11480" sId="20">
    <oc r="Y71">
      <f>Y72+Y73+Y75</f>
    </oc>
    <nc r="Y71">
      <f>Y72+Y73+Y75</f>
    </nc>
  </rcc>
  <rcc rId="11481" sId="20">
    <oc r="Z71">
      <f>Z72+Z73+Z75</f>
    </oc>
    <nc r="Z71">
      <f>Z72+Z73+Z75</f>
    </nc>
  </rcc>
  <rcc rId="11482" sId="20">
    <oc r="AA71">
      <f>AA72+AA73+AA75</f>
    </oc>
    <nc r="AA71">
      <f>AA72+AA73+AA75</f>
    </nc>
  </rcc>
  <rcc rId="11483" sId="20">
    <oc r="AB71">
      <f>AB72+AB73+AB75</f>
    </oc>
    <nc r="AB71">
      <f>AB72+AB73+AB75</f>
    </nc>
  </rcc>
  <rcc rId="11484" sId="20">
    <oc r="AC71">
      <f>AC72+AC73+AC75</f>
    </oc>
    <nc r="AC71">
      <f>AC72+AC73+AC75</f>
    </nc>
  </rcc>
  <rcc rId="11485" sId="20">
    <oc r="AD71">
      <f>AD72+AD73+AD75</f>
    </oc>
    <nc r="AD71">
      <f>AD72+AD73+AD75</f>
    </nc>
  </rcc>
  <rcc rId="11486" sId="20">
    <oc r="AE71">
      <f>AE72+AE73+AE75</f>
    </oc>
    <nc r="AE71">
      <f>AE72+AE73+AE75</f>
    </nc>
  </rcc>
  <rcc rId="11487" sId="20">
    <oc r="B72">
      <f>B67+B35</f>
    </oc>
    <nc r="B72">
      <f>B67+B35</f>
    </nc>
  </rcc>
  <rcc rId="11488" sId="20">
    <oc r="C72">
      <f>C67+C35</f>
    </oc>
    <nc r="C72">
      <f>C67+C35</f>
    </nc>
  </rcc>
  <rcc rId="11489" sId="20">
    <oc r="D72">
      <f>D67+D35</f>
    </oc>
    <nc r="D72">
      <f>D67+D35</f>
    </nc>
  </rcc>
  <rcc rId="11490" sId="20">
    <oc r="E72">
      <f>E67+E35</f>
    </oc>
    <nc r="E72">
      <f>E67+E35</f>
    </nc>
  </rcc>
  <rcc rId="11491" sId="20">
    <oc r="F72">
      <f>IFERROR(E72/B72*100,0)</f>
    </oc>
    <nc r="F72">
      <f>IFERROR(E72/B72*100,0)</f>
    </nc>
  </rcc>
  <rcc rId="11492" sId="20">
    <oc r="G72">
      <f>IFERROR(E72/C72*100,0)</f>
    </oc>
    <nc r="G72">
      <f>IFERROR(E72/C72*100,0)</f>
    </nc>
  </rcc>
  <rcc rId="11493" sId="20">
    <oc r="H72">
      <f>H67+H35</f>
    </oc>
    <nc r="H72">
      <f>H67+H35</f>
    </nc>
  </rcc>
  <rcc rId="11494" sId="20">
    <oc r="I72">
      <f>I67+I35</f>
    </oc>
    <nc r="I72">
      <f>I67+I35</f>
    </nc>
  </rcc>
  <rcc rId="11495" sId="20">
    <oc r="J72">
      <f>J67+J35</f>
    </oc>
    <nc r="J72">
      <f>J67+J35</f>
    </nc>
  </rcc>
  <rcc rId="11496" sId="20">
    <oc r="K72">
      <f>K67+K35</f>
    </oc>
    <nc r="K72">
      <f>K67+K35</f>
    </nc>
  </rcc>
  <rcc rId="11497" sId="20">
    <oc r="L72">
      <f>L67+L35</f>
    </oc>
    <nc r="L72">
      <f>L67+L35</f>
    </nc>
  </rcc>
  <rcc rId="11498" sId="20">
    <oc r="M72">
      <f>M67+M35</f>
    </oc>
    <nc r="M72">
      <f>M67+M35</f>
    </nc>
  </rcc>
  <rcc rId="11499" sId="20">
    <oc r="N72">
      <f>N67+N35</f>
    </oc>
    <nc r="N72">
      <f>N67+N35</f>
    </nc>
  </rcc>
  <rcc rId="11500" sId="20">
    <oc r="O72">
      <f>O67+O35</f>
    </oc>
    <nc r="O72">
      <f>O67+O35</f>
    </nc>
  </rcc>
  <rcc rId="11501" sId="20">
    <oc r="P72">
      <f>P67+P35</f>
    </oc>
    <nc r="P72">
      <f>P67+P35</f>
    </nc>
  </rcc>
  <rcc rId="11502" sId="20">
    <oc r="Q72">
      <f>Q67+Q35</f>
    </oc>
    <nc r="Q72">
      <f>Q67+Q35</f>
    </nc>
  </rcc>
  <rcc rId="11503" sId="20">
    <oc r="R72">
      <f>R67+R35</f>
    </oc>
    <nc r="R72">
      <f>R67+R35</f>
    </nc>
  </rcc>
  <rcc rId="11504" sId="20">
    <oc r="S72">
      <f>S67+S35</f>
    </oc>
    <nc r="S72">
      <f>S67+S35</f>
    </nc>
  </rcc>
  <rcc rId="11505" sId="20">
    <oc r="T72">
      <f>T67+T35</f>
    </oc>
    <nc r="T72">
      <f>T67+T35</f>
    </nc>
  </rcc>
  <rcc rId="11506" sId="20">
    <oc r="U72">
      <f>U67+U35</f>
    </oc>
    <nc r="U72">
      <f>U67+U35</f>
    </nc>
  </rcc>
  <rcc rId="11507" sId="20">
    <oc r="V72">
      <f>V67+V35</f>
    </oc>
    <nc r="V72">
      <f>V67+V35</f>
    </nc>
  </rcc>
  <rcc rId="11508" sId="20">
    <oc r="W72">
      <f>W67+W35</f>
    </oc>
    <nc r="W72">
      <f>W67+W35</f>
    </nc>
  </rcc>
  <rcc rId="11509" sId="20">
    <oc r="X72">
      <f>X67+X35</f>
    </oc>
    <nc r="X72">
      <f>X67+X35</f>
    </nc>
  </rcc>
  <rcc rId="11510" sId="20">
    <oc r="Y72">
      <f>Y67+Y35</f>
    </oc>
    <nc r="Y72">
      <f>Y67+Y35</f>
    </nc>
  </rcc>
  <rcc rId="11511" sId="20">
    <oc r="Z72">
      <f>Z67+Z35</f>
    </oc>
    <nc r="Z72">
      <f>Z67+Z35</f>
    </nc>
  </rcc>
  <rcc rId="11512" sId="20">
    <oc r="AA72">
      <f>AA67+AA35</f>
    </oc>
    <nc r="AA72">
      <f>AA67+AA35</f>
    </nc>
  </rcc>
  <rcc rId="11513" sId="20">
    <oc r="AB72">
      <f>AB67+AB35</f>
    </oc>
    <nc r="AB72">
      <f>AB67+AB35</f>
    </nc>
  </rcc>
  <rcc rId="11514" sId="20">
    <oc r="AC72">
      <f>AC67+AC35</f>
    </oc>
    <nc r="AC72">
      <f>AC67+AC35</f>
    </nc>
  </rcc>
  <rcc rId="11515" sId="20">
    <oc r="AD72">
      <f>AD67+AD35</f>
    </oc>
    <nc r="AD72">
      <f>AD67+AD35</f>
    </nc>
  </rcc>
  <rcc rId="11516" sId="20">
    <oc r="AE72">
      <f>AE67+AE35</f>
    </oc>
    <nc r="AE72">
      <f>AE67+AE35</f>
    </nc>
  </rcc>
  <rcc rId="11517" sId="20">
    <oc r="B73">
      <f>B68+B36+B18</f>
    </oc>
    <nc r="B73">
      <f>B68+B36+B18</f>
    </nc>
  </rcc>
  <rcc rId="11518" sId="20">
    <oc r="C73">
      <f>C68+C36+C18</f>
    </oc>
    <nc r="C73">
      <f>C68+C36+C18</f>
    </nc>
  </rcc>
  <rcc rId="11519" sId="20">
    <oc r="D73">
      <f>D68+D36+D18</f>
    </oc>
    <nc r="D73">
      <f>D68+D36+D18</f>
    </nc>
  </rcc>
  <rcc rId="11520" sId="20">
    <oc r="E73">
      <f>E68+E36+E18</f>
    </oc>
    <nc r="E73">
      <f>E68+E36+E18</f>
    </nc>
  </rcc>
  <rcc rId="11521" sId="20">
    <oc r="F73">
      <f>F68+F36+F18</f>
    </oc>
    <nc r="F73">
      <f>F68+F36+F18</f>
    </nc>
  </rcc>
  <rcc rId="11522" sId="20">
    <oc r="G73">
      <f>G68+G36+G18</f>
    </oc>
    <nc r="G73">
      <f>G68+G36+G18</f>
    </nc>
  </rcc>
  <rcc rId="11523" sId="20">
    <oc r="H73">
      <f>H68+H36+H18</f>
    </oc>
    <nc r="H73">
      <f>H68+H36+H18</f>
    </nc>
  </rcc>
  <rcc rId="11524" sId="20">
    <oc r="I73">
      <f>I68+I36+I18</f>
    </oc>
    <nc r="I73">
      <f>I68+I36+I18</f>
    </nc>
  </rcc>
  <rcc rId="11525" sId="20">
    <oc r="J73">
      <f>J68+J36+J18</f>
    </oc>
    <nc r="J73">
      <f>J68+J36+J18</f>
    </nc>
  </rcc>
  <rcc rId="11526" sId="20">
    <oc r="K73">
      <f>K68+K36+K18</f>
    </oc>
    <nc r="K73">
      <f>K68+K36+K18</f>
    </nc>
  </rcc>
  <rcc rId="11527" sId="20">
    <oc r="L73">
      <f>L68+L36+L18</f>
    </oc>
    <nc r="L73">
      <f>L68+L36+L18</f>
    </nc>
  </rcc>
  <rcc rId="11528" sId="20">
    <oc r="M73">
      <f>M68+M36+M18</f>
    </oc>
    <nc r="M73">
      <f>M68+M36+M18</f>
    </nc>
  </rcc>
  <rcc rId="11529" sId="20">
    <oc r="N73">
      <f>N68+N36+N18</f>
    </oc>
    <nc r="N73">
      <f>N68+N36+N18</f>
    </nc>
  </rcc>
  <rcc rId="11530" sId="20">
    <oc r="O73">
      <f>O68+O36+O18</f>
    </oc>
    <nc r="O73">
      <f>O68+O36+O18</f>
    </nc>
  </rcc>
  <rcc rId="11531" sId="20">
    <oc r="P73">
      <f>P68+P36+P18</f>
    </oc>
    <nc r="P73">
      <f>P68+P36+P18</f>
    </nc>
  </rcc>
  <rcc rId="11532" sId="20">
    <oc r="Q73">
      <f>Q68+Q36+Q18</f>
    </oc>
    <nc r="Q73">
      <f>Q68+Q36+Q18</f>
    </nc>
  </rcc>
  <rcc rId="11533" sId="20">
    <oc r="R73">
      <f>R68+R36+R18</f>
    </oc>
    <nc r="R73">
      <f>R68+R36+R18</f>
    </nc>
  </rcc>
  <rcc rId="11534" sId="20">
    <oc r="S73">
      <f>S68+S36+S18</f>
    </oc>
    <nc r="S73">
      <f>S68+S36+S18</f>
    </nc>
  </rcc>
  <rcc rId="11535" sId="20">
    <oc r="T73">
      <f>T68+T36+T18</f>
    </oc>
    <nc r="T73">
      <f>T68+T36+T18</f>
    </nc>
  </rcc>
  <rcc rId="11536" sId="20">
    <oc r="U73">
      <f>U68+U36+U18</f>
    </oc>
    <nc r="U73">
      <f>U68+U36+U18</f>
    </nc>
  </rcc>
  <rcc rId="11537" sId="20">
    <oc r="V73">
      <f>V68+V36+V18</f>
    </oc>
    <nc r="V73">
      <f>V68+V36+V18</f>
    </nc>
  </rcc>
  <rcc rId="11538" sId="20">
    <oc r="W73">
      <f>W68+W36+W18</f>
    </oc>
    <nc r="W73">
      <f>W68+W36+W18</f>
    </nc>
  </rcc>
  <rcc rId="11539" sId="20">
    <oc r="X73">
      <f>X68+X36+X18</f>
    </oc>
    <nc r="X73">
      <f>X68+X36+X18</f>
    </nc>
  </rcc>
  <rcc rId="11540" sId="20">
    <oc r="Y73">
      <f>Y68+Y36+Y18</f>
    </oc>
    <nc r="Y73">
      <f>Y68+Y36+Y18</f>
    </nc>
  </rcc>
  <rcc rId="11541" sId="20">
    <oc r="Z73">
      <f>Z68+Z36+Z18</f>
    </oc>
    <nc r="Z73">
      <f>Z68+Z36+Z18</f>
    </nc>
  </rcc>
  <rcc rId="11542" sId="20">
    <oc r="AA73">
      <f>AA68+AA36+AA18</f>
    </oc>
    <nc r="AA73">
      <f>AA68+AA36+AA18</f>
    </nc>
  </rcc>
  <rcc rId="11543" sId="20">
    <oc r="AB73">
      <f>AB68+AB36+AB18</f>
    </oc>
    <nc r="AB73">
      <f>AB68+AB36+AB18</f>
    </nc>
  </rcc>
  <rcc rId="11544" sId="20">
    <oc r="AC73">
      <f>AC68+AC36+AC18</f>
    </oc>
    <nc r="AC73">
      <f>AC68+AC36+AC18</f>
    </nc>
  </rcc>
  <rcc rId="11545" sId="20">
    <oc r="AD73">
      <f>AD68+AD36+AD18</f>
    </oc>
    <nc r="AD73">
      <f>AD68+AD36+AD18</f>
    </nc>
  </rcc>
  <rcc rId="11546" sId="20">
    <oc r="AE73">
      <f>AE68+AE36+AE18</f>
    </oc>
    <nc r="AE73">
      <f>AE68+AE36+AE18</f>
    </nc>
  </rcc>
  <rcc rId="11547" sId="20">
    <oc r="B74">
      <f>B69+B37+B18</f>
    </oc>
    <nc r="B74">
      <f>B69+B37+B18</f>
    </nc>
  </rcc>
  <rcc rId="11548" sId="20">
    <oc r="C74">
      <f>C69+C37+C18</f>
    </oc>
    <nc r="C74">
      <f>C69+C37+C18</f>
    </nc>
  </rcc>
  <rcc rId="11549" sId="20">
    <oc r="D74">
      <f>D69+D37+D18</f>
    </oc>
    <nc r="D74">
      <f>D69+D37+D18</f>
    </nc>
  </rcc>
  <rcc rId="11550" sId="20">
    <oc r="E74">
      <f>E69+E37+E18</f>
    </oc>
    <nc r="E74">
      <f>E69+E37+E18</f>
    </nc>
  </rcc>
  <rcc rId="11551" sId="20">
    <oc r="F74">
      <f>F69+F37+F18</f>
    </oc>
    <nc r="F74">
      <f>F69+F37+F18</f>
    </nc>
  </rcc>
  <rcc rId="11552" sId="20">
    <oc r="G74">
      <f>G69+G37+G18</f>
    </oc>
    <nc r="G74">
      <f>G69+G37+G18</f>
    </nc>
  </rcc>
  <rcc rId="11553" sId="20">
    <oc r="H74">
      <f>H69+H37+H18</f>
    </oc>
    <nc r="H74">
      <f>H69+H37+H18</f>
    </nc>
  </rcc>
  <rcc rId="11554" sId="20">
    <oc r="I74">
      <f>I69+I37+I18</f>
    </oc>
    <nc r="I74">
      <f>I69+I37+I18</f>
    </nc>
  </rcc>
  <rcc rId="11555" sId="20">
    <oc r="J74">
      <f>J69+J37+J18</f>
    </oc>
    <nc r="J74">
      <f>J69+J37+J18</f>
    </nc>
  </rcc>
  <rcc rId="11556" sId="20">
    <oc r="K74">
      <f>K69+K37+K18</f>
    </oc>
    <nc r="K74">
      <f>K69+K37+K18</f>
    </nc>
  </rcc>
  <rcc rId="11557" sId="20">
    <oc r="L74">
      <f>L69+L37+L18</f>
    </oc>
    <nc r="L74">
      <f>L69+L37+L18</f>
    </nc>
  </rcc>
  <rcc rId="11558" sId="20">
    <oc r="M74">
      <f>M69+M37+M18</f>
    </oc>
    <nc r="M74">
      <f>M69+M37+M18</f>
    </nc>
  </rcc>
  <rcc rId="11559" sId="20">
    <oc r="N74">
      <f>N69+N37+N18</f>
    </oc>
    <nc r="N74">
      <f>N69+N37+N18</f>
    </nc>
  </rcc>
  <rcc rId="11560" sId="20">
    <oc r="O74">
      <f>O69+O37+O18</f>
    </oc>
    <nc r="O74">
      <f>O69+O37+O18</f>
    </nc>
  </rcc>
  <rcc rId="11561" sId="20">
    <oc r="P74">
      <f>P69+P37+P18</f>
    </oc>
    <nc r="P74">
      <f>P69+P37+P18</f>
    </nc>
  </rcc>
  <rcc rId="11562" sId="20">
    <oc r="Q74">
      <f>Q69+Q37+Q18</f>
    </oc>
    <nc r="Q74">
      <f>Q69+Q37+Q18</f>
    </nc>
  </rcc>
  <rcc rId="11563" sId="20">
    <oc r="R74">
      <f>R69+R37+R18</f>
    </oc>
    <nc r="R74">
      <f>R69+R37+R18</f>
    </nc>
  </rcc>
  <rcc rId="11564" sId="20">
    <oc r="S74">
      <f>S69+S37+S18</f>
    </oc>
    <nc r="S74">
      <f>S69+S37+S18</f>
    </nc>
  </rcc>
  <rcc rId="11565" sId="20">
    <oc r="T74">
      <f>T69+T37+T18</f>
    </oc>
    <nc r="T74">
      <f>T69+T37+T18</f>
    </nc>
  </rcc>
  <rcc rId="11566" sId="20">
    <oc r="U74">
      <f>U69+U37+U18</f>
    </oc>
    <nc r="U74">
      <f>U69+U37+U18</f>
    </nc>
  </rcc>
  <rcc rId="11567" sId="20">
    <oc r="V74">
      <f>V69+V37+V18</f>
    </oc>
    <nc r="V74">
      <f>V69+V37+V18</f>
    </nc>
  </rcc>
  <rcc rId="11568" sId="20">
    <oc r="W74">
      <f>W69+W37+W18</f>
    </oc>
    <nc r="W74">
      <f>W69+W37+W18</f>
    </nc>
  </rcc>
  <rcc rId="11569" sId="20">
    <oc r="X74">
      <f>X69+X37+X18</f>
    </oc>
    <nc r="X74">
      <f>X69+X37+X18</f>
    </nc>
  </rcc>
  <rcc rId="11570" sId="20">
    <oc r="Y74">
      <f>Y69+Y37+Y18</f>
    </oc>
    <nc r="Y74">
      <f>Y69+Y37+Y18</f>
    </nc>
  </rcc>
  <rcc rId="11571" sId="20">
    <oc r="Z74">
      <f>Z69+Z37+Z18</f>
    </oc>
    <nc r="Z74">
      <f>Z69+Z37+Z18</f>
    </nc>
  </rcc>
  <rcc rId="11572" sId="20">
    <oc r="AA74">
      <f>AA69+AA37+AA18</f>
    </oc>
    <nc r="AA74">
      <f>AA69+AA37+AA18</f>
    </nc>
  </rcc>
  <rcc rId="11573" sId="20">
    <oc r="AB74">
      <f>AB69+AB37+AB18</f>
    </oc>
    <nc r="AB74">
      <f>AB69+AB37+AB18</f>
    </nc>
  </rcc>
  <rcc rId="11574" sId="20">
    <oc r="AC74">
      <f>AC69+AC37+AC18</f>
    </oc>
    <nc r="AC74">
      <f>AC69+AC37+AC18</f>
    </nc>
  </rcc>
  <rcc rId="11575" sId="20">
    <oc r="AD74">
      <f>AD69+AD37+AD18</f>
    </oc>
    <nc r="AD74">
      <f>AD69+AD37+AD18</f>
    </nc>
  </rcc>
  <rcc rId="11576" sId="20">
    <oc r="AE74">
      <f>AE69+AE37</f>
    </oc>
    <nc r="AE74">
      <f>AE69+AE37</f>
    </nc>
  </rcc>
  <rcc rId="11577" sId="20">
    <oc r="B75">
      <f>B70+B38</f>
    </oc>
    <nc r="B75">
      <f>B70+B38</f>
    </nc>
  </rcc>
  <rcc rId="11578" sId="20">
    <oc r="C75">
      <f>C70+C38</f>
    </oc>
    <nc r="C75">
      <f>C70+C38</f>
    </nc>
  </rcc>
  <rcc rId="11579" sId="20">
    <oc r="D75">
      <f>D70+D38</f>
    </oc>
    <nc r="D75">
      <f>D70+D38</f>
    </nc>
  </rcc>
  <rcc rId="11580" sId="20">
    <oc r="E75">
      <f>E70+E38</f>
    </oc>
    <nc r="E75">
      <f>E70+E38</f>
    </nc>
  </rcc>
  <rcc rId="11581" sId="20">
    <oc r="F75">
      <f>IFERROR(E75/B75*100,0)</f>
    </oc>
    <nc r="F75">
      <f>IFERROR(E75/B75*100,0)</f>
    </nc>
  </rcc>
  <rcc rId="11582" sId="20">
    <oc r="G75">
      <f>IFERROR(E75/C75*100,0)</f>
    </oc>
    <nc r="G75">
      <f>IFERROR(E75/C75*100,0)</f>
    </nc>
  </rcc>
  <rcc rId="11583" sId="20">
    <oc r="H75">
      <f>H70+H38</f>
    </oc>
    <nc r="H75">
      <f>H70+H38</f>
    </nc>
  </rcc>
  <rcc rId="11584" sId="20">
    <oc r="I75">
      <f>I70+I38</f>
    </oc>
    <nc r="I75">
      <f>I70+I38</f>
    </nc>
  </rcc>
  <rcc rId="11585" sId="20">
    <oc r="J75">
      <f>J70+J38</f>
    </oc>
    <nc r="J75">
      <f>J70+J38</f>
    </nc>
  </rcc>
  <rcc rId="11586" sId="20">
    <oc r="K75">
      <f>K70+K38</f>
    </oc>
    <nc r="K75">
      <f>K70+K38</f>
    </nc>
  </rcc>
  <rcc rId="11587" sId="20">
    <oc r="L75">
      <f>L70+L38</f>
    </oc>
    <nc r="L75">
      <f>L70+L38</f>
    </nc>
  </rcc>
  <rcc rId="11588" sId="20">
    <oc r="M75">
      <f>M70+M38</f>
    </oc>
    <nc r="M75">
      <f>M70+M38</f>
    </nc>
  </rcc>
  <rcc rId="11589" sId="20">
    <oc r="N75">
      <f>N70+N38</f>
    </oc>
    <nc r="N75">
      <f>N70+N38</f>
    </nc>
  </rcc>
  <rcc rId="11590" sId="20">
    <oc r="O75">
      <f>O70+O38</f>
    </oc>
    <nc r="O75">
      <f>O70+O38</f>
    </nc>
  </rcc>
  <rcc rId="11591" sId="20">
    <oc r="P75">
      <f>P70+P38</f>
    </oc>
    <nc r="P75">
      <f>P70+P38</f>
    </nc>
  </rcc>
  <rcc rId="11592" sId="20">
    <oc r="Q75">
      <f>Q70+Q38</f>
    </oc>
    <nc r="Q75">
      <f>Q70+Q38</f>
    </nc>
  </rcc>
  <rcc rId="11593" sId="20">
    <oc r="R75">
      <f>R70+R38</f>
    </oc>
    <nc r="R75">
      <f>R70+R38</f>
    </nc>
  </rcc>
  <rcc rId="11594" sId="20">
    <oc r="S75">
      <f>S70+S38</f>
    </oc>
    <nc r="S75">
      <f>S70+S38</f>
    </nc>
  </rcc>
  <rcc rId="11595" sId="20">
    <oc r="T75">
      <f>T70+T38</f>
    </oc>
    <nc r="T75">
      <f>T70+T38</f>
    </nc>
  </rcc>
  <rcc rId="11596" sId="20">
    <oc r="U75">
      <f>U70+U38</f>
    </oc>
    <nc r="U75">
      <f>U70+U38</f>
    </nc>
  </rcc>
  <rcc rId="11597" sId="20">
    <oc r="V75">
      <f>V70+V38</f>
    </oc>
    <nc r="V75">
      <f>V70+V38</f>
    </nc>
  </rcc>
  <rcc rId="11598" sId="20">
    <oc r="W75">
      <f>W70+W38</f>
    </oc>
    <nc r="W75">
      <f>W70+W38</f>
    </nc>
  </rcc>
  <rcc rId="11599" sId="20">
    <oc r="X75">
      <f>X70+X38</f>
    </oc>
    <nc r="X75">
      <f>X70+X38</f>
    </nc>
  </rcc>
  <rcc rId="11600" sId="20">
    <oc r="Y75">
      <f>Y70+Y38</f>
    </oc>
    <nc r="Y75">
      <f>Y70+Y38</f>
    </nc>
  </rcc>
  <rcc rId="11601" sId="20">
    <oc r="Z75">
      <f>Z70+Z38</f>
    </oc>
    <nc r="Z75">
      <f>Z70+Z38</f>
    </nc>
  </rcc>
  <rcc rId="11602" sId="20">
    <oc r="AA75">
      <f>AA70+AA38</f>
    </oc>
    <nc r="AA75">
      <f>AA70+AA38</f>
    </nc>
  </rcc>
  <rcc rId="11603" sId="20">
    <oc r="AB75">
      <f>AB70+AB38</f>
    </oc>
    <nc r="AB75">
      <f>AB70+AB38</f>
    </nc>
  </rcc>
  <rcc rId="11604" sId="20">
    <oc r="AC75">
      <f>AC70+AC38</f>
    </oc>
    <nc r="AC75">
      <f>AC70+AC38</f>
    </nc>
  </rcc>
  <rcc rId="11605" sId="20">
    <oc r="AD75">
      <f>AD70+AD38</f>
    </oc>
    <nc r="AD75">
      <f>AD70+AD38</f>
    </nc>
  </rcc>
  <rcc rId="11606" sId="20">
    <oc r="AE75">
      <f>AE70+AE38</f>
    </oc>
    <nc r="AE75">
      <f>AE70+AE38</f>
    </nc>
  </rcc>
  <rcc rId="11607" sId="20">
    <oc r="B77">
      <f>B78+B79+B81</f>
    </oc>
    <nc r="B77">
      <f>B78+B79+B81</f>
    </nc>
  </rcc>
  <rcc rId="11608" sId="20">
    <oc r="C77">
      <f>C78+C79+C81</f>
    </oc>
    <nc r="C77">
      <f>C78+C79+C81</f>
    </nc>
  </rcc>
  <rcc rId="11609" sId="20">
    <oc r="D77">
      <f>D78+D79+D81</f>
    </oc>
    <nc r="D77">
      <f>D78+D79+D81</f>
    </nc>
  </rcc>
  <rcc rId="11610" sId="20">
    <oc r="E77">
      <f>E78+E79+E81</f>
    </oc>
    <nc r="E77">
      <f>E78+E79+E81</f>
    </nc>
  </rcc>
  <rcc rId="11611" sId="20">
    <oc r="F77">
      <f>IFERROR(E77/B77*100,0)</f>
    </oc>
    <nc r="F77">
      <f>IFERROR(E77/B77*100,0)</f>
    </nc>
  </rcc>
  <rcc rId="11612" sId="20">
    <oc r="G77">
      <f>IFERROR(F77/C77*100,0)</f>
    </oc>
    <nc r="G77">
      <f>IFERROR(F77/C77*100,0)</f>
    </nc>
  </rcc>
  <rcc rId="11613" sId="20">
    <oc r="H77">
      <f>H78+H79+H81</f>
    </oc>
    <nc r="H77">
      <f>H78+H79+H81</f>
    </nc>
  </rcc>
  <rcc rId="11614" sId="20">
    <oc r="I77">
      <f>I78+I79+I81</f>
    </oc>
    <nc r="I77">
      <f>I78+I79+I81</f>
    </nc>
  </rcc>
  <rcc rId="11615" sId="20">
    <oc r="J77">
      <f>J78+J79+J81</f>
    </oc>
    <nc r="J77">
      <f>J78+J79+J81</f>
    </nc>
  </rcc>
  <rcc rId="11616" sId="20">
    <oc r="K77">
      <f>K78+K79+K81</f>
    </oc>
    <nc r="K77">
      <f>K78+K79+K81</f>
    </nc>
  </rcc>
  <rcc rId="11617" sId="20">
    <oc r="L77">
      <f>L78+L79+L81</f>
    </oc>
    <nc r="L77">
      <f>L78+L79+L81</f>
    </nc>
  </rcc>
  <rcc rId="11618" sId="20">
    <oc r="M77">
      <f>M78+M79+M81</f>
    </oc>
    <nc r="M77">
      <f>M78+M79+M81</f>
    </nc>
  </rcc>
  <rcc rId="11619" sId="20">
    <oc r="N77">
      <f>N78+N79+N81</f>
    </oc>
    <nc r="N77">
      <f>N78+N79+N81</f>
    </nc>
  </rcc>
  <rcc rId="11620" sId="20">
    <oc r="O77">
      <f>O78+O79+O81</f>
    </oc>
    <nc r="O77">
      <f>O78+O79+O81</f>
    </nc>
  </rcc>
  <rcc rId="11621" sId="20">
    <oc r="P77">
      <f>P78+P79+P81</f>
    </oc>
    <nc r="P77">
      <f>P78+P79+P81</f>
    </nc>
  </rcc>
  <rcc rId="11622" sId="20">
    <oc r="Q77">
      <f>Q78+Q79+Q81</f>
    </oc>
    <nc r="Q77">
      <f>Q78+Q79+Q81</f>
    </nc>
  </rcc>
  <rcc rId="11623" sId="20">
    <oc r="R77">
      <f>R78+R79+R81</f>
    </oc>
    <nc r="R77">
      <f>R78+R79+R81</f>
    </nc>
  </rcc>
  <rcc rId="11624" sId="20">
    <oc r="S77">
      <f>S78+S79+S81</f>
    </oc>
    <nc r="S77">
      <f>S78+S79+S81</f>
    </nc>
  </rcc>
  <rcc rId="11625" sId="20">
    <oc r="T77">
      <f>T78+T79+T81</f>
    </oc>
    <nc r="T77">
      <f>T78+T79+T81</f>
    </nc>
  </rcc>
  <rcc rId="11626" sId="20">
    <oc r="U77">
      <f>U78+U79+U81</f>
    </oc>
    <nc r="U77">
      <f>U78+U79+U81</f>
    </nc>
  </rcc>
  <rcc rId="11627" sId="20">
    <oc r="V77">
      <f>V78+V79+V81</f>
    </oc>
    <nc r="V77">
      <f>V78+V79+V81</f>
    </nc>
  </rcc>
  <rcc rId="11628" sId="20">
    <oc r="W77">
      <f>W78+W79+W81</f>
    </oc>
    <nc r="W77">
      <f>W78+W79+W81</f>
    </nc>
  </rcc>
  <rcc rId="11629" sId="20">
    <oc r="X77">
      <f>X78+X79+X81</f>
    </oc>
    <nc r="X77">
      <f>X78+X79+X81</f>
    </nc>
  </rcc>
  <rcc rId="11630" sId="20">
    <oc r="Y77">
      <f>Y78+Y79+Y81</f>
    </oc>
    <nc r="Y77">
      <f>Y78+Y79+Y81</f>
    </nc>
  </rcc>
  <rcc rId="11631" sId="20">
    <oc r="Z77">
      <f>Z78+Z79+Z81</f>
    </oc>
    <nc r="Z77">
      <f>Z78+Z79+Z81</f>
    </nc>
  </rcc>
  <rcc rId="11632" sId="20">
    <oc r="AA77">
      <f>AA78+AA79+AA81</f>
    </oc>
    <nc r="AA77">
      <f>AA78+AA79+AA81</f>
    </nc>
  </rcc>
  <rcc rId="11633" sId="20">
    <oc r="AB77">
      <f>AB78+AB79+AB81</f>
    </oc>
    <nc r="AB77">
      <f>AB78+AB79+AB81</f>
    </nc>
  </rcc>
  <rcc rId="11634" sId="20">
    <oc r="AC77">
      <f>AC78+AC79+AC81</f>
    </oc>
    <nc r="AC77">
      <f>AC78+AC79+AC81</f>
    </nc>
  </rcc>
  <rcc rId="11635" sId="20">
    <oc r="AD77">
      <f>AD78+AD79+AD81</f>
    </oc>
    <nc r="AD77">
      <f>AD78+AD79+AD81</f>
    </nc>
  </rcc>
  <rcc rId="11636" sId="20">
    <oc r="AE77">
      <f>AE78+AE79+AE81</f>
    </oc>
    <nc r="AE77">
      <f>AE78+AE79+AE81</f>
    </nc>
  </rcc>
  <rcc rId="11637" sId="20">
    <oc r="B78">
      <f>H78+J78+L78+N78+P78+R78+T78+V78+X78+Z78+AB78+AD78</f>
    </oc>
    <nc r="B78">
      <f>H78+J78+L78+N78+P78+R78+T78+V78+X78+Z78+AB78+AD78</f>
    </nc>
  </rcc>
  <rcc rId="11638" sId="20">
    <oc r="C78">
      <f>H78+J78+L78+N78+P78</f>
    </oc>
    <nc r="C78">
      <f>H78+J78+L78+N78+P78</f>
    </nc>
  </rcc>
  <rcc rId="11639" sId="20">
    <oc r="D78">
      <f>E78</f>
    </oc>
    <nc r="D78">
      <f>E78</f>
    </nc>
  </rcc>
  <rcc rId="11640" sId="20">
    <oc r="E78">
      <f>I78+K78+M78+O78+Q78+S78+U78+W78+Y78+AA78+AC78+AE78</f>
    </oc>
    <nc r="E78">
      <f>I78+K78+M78+O78+Q78+S78+U78+W78+Y78+AA78+AC78+AE78</f>
    </nc>
  </rcc>
  <rcc rId="11641" sId="20">
    <oc r="F78">
      <f>IFERROR(E78/B78*100,0)</f>
    </oc>
    <nc r="F78">
      <f>IFERROR(E78/B78*100,0)</f>
    </nc>
  </rcc>
  <rcc rId="11642" sId="20">
    <oc r="G78">
      <f>IFERROR(F78/C78*100,0)</f>
    </oc>
    <nc r="G78">
      <f>IFERROR(F78/C78*100,0)</f>
    </nc>
  </rcc>
  <rcc rId="11643" sId="20">
    <oc r="H78">
      <f>H72</f>
    </oc>
    <nc r="H78">
      <f>H72</f>
    </nc>
  </rcc>
  <rcc rId="11644" sId="20">
    <oc r="I78">
      <f>I72</f>
    </oc>
    <nc r="I78">
      <f>I72</f>
    </nc>
  </rcc>
  <rcc rId="11645" sId="20">
    <oc r="J78">
      <f>J72</f>
    </oc>
    <nc r="J78">
      <f>J72</f>
    </nc>
  </rcc>
  <rcc rId="11646" sId="20">
    <oc r="K78">
      <f>K72</f>
    </oc>
    <nc r="K78">
      <f>K72</f>
    </nc>
  </rcc>
  <rcc rId="11647" sId="20">
    <oc r="L78">
      <f>L72</f>
    </oc>
    <nc r="L78">
      <f>L72</f>
    </nc>
  </rcc>
  <rcc rId="11648" sId="20">
    <oc r="M78">
      <f>M72</f>
    </oc>
    <nc r="M78">
      <f>M72</f>
    </nc>
  </rcc>
  <rcc rId="11649" sId="20">
    <oc r="N78">
      <f>N72</f>
    </oc>
    <nc r="N78">
      <f>N72</f>
    </nc>
  </rcc>
  <rcc rId="11650" sId="20">
    <oc r="O78">
      <f>O72</f>
    </oc>
    <nc r="O78">
      <f>O72</f>
    </nc>
  </rcc>
  <rcc rId="11651" sId="20">
    <oc r="P78">
      <f>P72</f>
    </oc>
    <nc r="P78">
      <f>P72</f>
    </nc>
  </rcc>
  <rcc rId="11652" sId="20">
    <oc r="Q78">
      <f>Q72</f>
    </oc>
    <nc r="Q78">
      <f>Q72</f>
    </nc>
  </rcc>
  <rcc rId="11653" sId="20">
    <oc r="R78">
      <f>R72</f>
    </oc>
    <nc r="R78">
      <f>R72</f>
    </nc>
  </rcc>
  <rcc rId="11654" sId="20">
    <oc r="S78">
      <f>S72</f>
    </oc>
    <nc r="S78">
      <f>S72</f>
    </nc>
  </rcc>
  <rcc rId="11655" sId="20">
    <oc r="T78">
      <f>T72</f>
    </oc>
    <nc r="T78">
      <f>T72</f>
    </nc>
  </rcc>
  <rcc rId="11656" sId="20">
    <oc r="U78">
      <f>U72</f>
    </oc>
    <nc r="U78">
      <f>U72</f>
    </nc>
  </rcc>
  <rcc rId="11657" sId="20">
    <oc r="V78">
      <f>V72</f>
    </oc>
    <nc r="V78">
      <f>V72</f>
    </nc>
  </rcc>
  <rcc rId="11658" sId="20">
    <oc r="W78">
      <f>W72</f>
    </oc>
    <nc r="W78">
      <f>W72</f>
    </nc>
  </rcc>
  <rcc rId="11659" sId="20">
    <oc r="X78">
      <f>X72</f>
    </oc>
    <nc r="X78">
      <f>X72</f>
    </nc>
  </rcc>
  <rcc rId="11660" sId="20">
    <oc r="Y78">
      <f>Y72</f>
    </oc>
    <nc r="Y78">
      <f>Y72</f>
    </nc>
  </rcc>
  <rcc rId="11661" sId="20">
    <oc r="Z78">
      <f>Z72</f>
    </oc>
    <nc r="Z78">
      <f>Z72</f>
    </nc>
  </rcc>
  <rcc rId="11662" sId="20">
    <oc r="AA78">
      <f>AA72</f>
    </oc>
    <nc r="AA78">
      <f>AA72</f>
    </nc>
  </rcc>
  <rcc rId="11663" sId="20">
    <oc r="AB78">
      <f>AB72</f>
    </oc>
    <nc r="AB78">
      <f>AB72</f>
    </nc>
  </rcc>
  <rcc rId="11664" sId="20">
    <oc r="AC78">
      <f>AC72</f>
    </oc>
    <nc r="AC78">
      <f>AC72</f>
    </nc>
  </rcc>
  <rcc rId="11665" sId="20">
    <oc r="AD78">
      <f>AD72</f>
    </oc>
    <nc r="AD78">
      <f>AD72</f>
    </nc>
  </rcc>
  <rcc rId="11666" sId="20">
    <oc r="AE78">
      <f>AE72</f>
    </oc>
    <nc r="AE78">
      <f>AE72</f>
    </nc>
  </rcc>
  <rcc rId="11667" sId="20">
    <oc r="B79">
      <f>H79+J79+L79+N79+P79+R79+T79+V79+X79+Z79+AB79+AD79</f>
    </oc>
    <nc r="B79">
      <f>H79+J79+L79+N79+P79+R79+T79+V79+X79+Z79+AB79+AD79</f>
    </nc>
  </rcc>
  <rcc rId="11668" sId="20">
    <oc r="C79">
      <f>H79+J79+L79+N79+P79</f>
    </oc>
    <nc r="C79">
      <f>H79+J79+L79+N79+P79</f>
    </nc>
  </rcc>
  <rcc rId="11669" sId="20">
    <oc r="D79">
      <f>E79</f>
    </oc>
    <nc r="D79">
      <f>E79</f>
    </nc>
  </rcc>
  <rcc rId="11670" sId="20">
    <oc r="E79">
      <f>I79+K79+M79+O79+Q79+S79+U79+W79+Y79+AA79+AC79+AE79</f>
    </oc>
    <nc r="E79">
      <f>I79+K79+M79+O79+Q79+S79+U79+W79+Y79+AA79+AC79+AE79</f>
    </nc>
  </rcc>
  <rcc rId="11671" sId="20">
    <oc r="F79">
      <f>IFERROR(E79/B79*100,0)</f>
    </oc>
    <nc r="F79">
      <f>IFERROR(E79/B79*100,0)</f>
    </nc>
  </rcc>
  <rcc rId="11672" sId="20">
    <oc r="G79">
      <f>IFERROR(F79/C79*100,0)</f>
    </oc>
    <nc r="G79">
      <f>IFERROR(F79/C79*100,0)</f>
    </nc>
  </rcc>
  <rcc rId="11673" sId="20">
    <oc r="H79">
      <f>H73</f>
    </oc>
    <nc r="H79">
      <f>H73</f>
    </nc>
  </rcc>
  <rcc rId="11674" sId="20">
    <oc r="I79">
      <f>I73</f>
    </oc>
    <nc r="I79">
      <f>I73</f>
    </nc>
  </rcc>
  <rcc rId="11675" sId="20">
    <oc r="J79">
      <f>J73</f>
    </oc>
    <nc r="J79">
      <f>J73</f>
    </nc>
  </rcc>
  <rcc rId="11676" sId="20">
    <oc r="K79">
      <f>K73</f>
    </oc>
    <nc r="K79">
      <f>K73</f>
    </nc>
  </rcc>
  <rcc rId="11677" sId="20">
    <oc r="L79">
      <f>L73</f>
    </oc>
    <nc r="L79">
      <f>L73</f>
    </nc>
  </rcc>
  <rcc rId="11678" sId="20">
    <oc r="M79">
      <f>M73</f>
    </oc>
    <nc r="M79">
      <f>M73</f>
    </nc>
  </rcc>
  <rcc rId="11679" sId="20">
    <oc r="N79">
      <f>N73</f>
    </oc>
    <nc r="N79">
      <f>N73</f>
    </nc>
  </rcc>
  <rcc rId="11680" sId="20">
    <oc r="O79">
      <f>O73</f>
    </oc>
    <nc r="O79">
      <f>O73</f>
    </nc>
  </rcc>
  <rcc rId="11681" sId="20">
    <oc r="P79">
      <f>P73</f>
    </oc>
    <nc r="P79">
      <f>P73</f>
    </nc>
  </rcc>
  <rcc rId="11682" sId="20">
    <oc r="Q79">
      <f>Q73</f>
    </oc>
    <nc r="Q79">
      <f>Q73</f>
    </nc>
  </rcc>
  <rcc rId="11683" sId="20">
    <oc r="R79">
      <f>R73</f>
    </oc>
    <nc r="R79">
      <f>R73</f>
    </nc>
  </rcc>
  <rcc rId="11684" sId="20">
    <oc r="S79">
      <f>S73</f>
    </oc>
    <nc r="S79">
      <f>S73</f>
    </nc>
  </rcc>
  <rcc rId="11685" sId="20">
    <oc r="T79">
      <f>T73</f>
    </oc>
    <nc r="T79">
      <f>T73</f>
    </nc>
  </rcc>
  <rcc rId="11686" sId="20">
    <oc r="U79">
      <f>U73</f>
    </oc>
    <nc r="U79">
      <f>U73</f>
    </nc>
  </rcc>
  <rcc rId="11687" sId="20">
    <oc r="V79">
      <f>V73</f>
    </oc>
    <nc r="V79">
      <f>V73</f>
    </nc>
  </rcc>
  <rcc rId="11688" sId="20">
    <oc r="W79">
      <f>W73</f>
    </oc>
    <nc r="W79">
      <f>W73</f>
    </nc>
  </rcc>
  <rcc rId="11689" sId="20">
    <oc r="X79">
      <f>X73</f>
    </oc>
    <nc r="X79">
      <f>X73</f>
    </nc>
  </rcc>
  <rcc rId="11690" sId="20">
    <oc r="Y79">
      <f>Y73</f>
    </oc>
    <nc r="Y79">
      <f>Y73</f>
    </nc>
  </rcc>
  <rcc rId="11691" sId="20">
    <oc r="Z79">
      <f>Z73</f>
    </oc>
    <nc r="Z79">
      <f>Z73</f>
    </nc>
  </rcc>
  <rcc rId="11692" sId="20">
    <oc r="AA79">
      <f>AA73</f>
    </oc>
    <nc r="AA79">
      <f>AA73</f>
    </nc>
  </rcc>
  <rcc rId="11693" sId="20">
    <oc r="AB79">
      <f>AB73</f>
    </oc>
    <nc r="AB79">
      <f>AB73</f>
    </nc>
  </rcc>
  <rcc rId="11694" sId="20">
    <oc r="AC79">
      <f>AC73</f>
    </oc>
    <nc r="AC79">
      <f>AC73</f>
    </nc>
  </rcc>
  <rcc rId="11695" sId="20">
    <oc r="AD79">
      <f>AD73</f>
    </oc>
    <nc r="AD79">
      <f>AD73</f>
    </nc>
  </rcc>
  <rcc rId="11696" sId="20">
    <oc r="AE79">
      <f>AE73</f>
    </oc>
    <nc r="AE79">
      <f>AE73</f>
    </nc>
  </rcc>
  <rcc rId="11697" sId="20">
    <oc r="B80">
      <f>H80+J80+L80+N80+P80+R80+T80+V80+X80+Z80+AB80+AD80</f>
    </oc>
    <nc r="B80">
      <f>H80+J80+L80+N80+P80+R80+T80+V80+X80+Z80+AB80+AD80</f>
    </nc>
  </rcc>
  <rcc rId="11698" sId="20">
    <oc r="C80">
      <f>H80+J80+L80+N80+P80</f>
    </oc>
    <nc r="C80">
      <f>H80+J80+L80+N80+P80</f>
    </nc>
  </rcc>
  <rcc rId="11699" sId="20">
    <oc r="D80">
      <f>E80</f>
    </oc>
    <nc r="D80">
      <f>E80</f>
    </nc>
  </rcc>
  <rcc rId="11700" sId="20">
    <oc r="E80">
      <f>I80+K80+M80+O80+Q80+S80+U80+W80+Y80+AA80+AC80+AE80</f>
    </oc>
    <nc r="E80">
      <f>I80+K80+M80+O80+Q80+S80+U80+W80+Y80+AA80+AC80+AE80</f>
    </nc>
  </rcc>
  <rcc rId="11701" sId="20">
    <oc r="F80">
      <f>IFERROR(E80/B80*100,0)</f>
    </oc>
    <nc r="F80">
      <f>IFERROR(E80/B80*100,0)</f>
    </nc>
  </rcc>
  <rcc rId="11702" sId="20">
    <oc r="G80">
      <f>IFERROR(F80/C80*100,0)</f>
    </oc>
    <nc r="G80">
      <f>IFERROR(F80/C80*100,0)</f>
    </nc>
  </rcc>
  <rcc rId="11703" sId="20">
    <oc r="H80">
      <f>H74</f>
    </oc>
    <nc r="H80">
      <f>H74</f>
    </nc>
  </rcc>
  <rcc rId="11704" sId="20">
    <oc r="I80">
      <f>I74</f>
    </oc>
    <nc r="I80">
      <f>I74</f>
    </nc>
  </rcc>
  <rcc rId="11705" sId="20">
    <oc r="J80">
      <f>J74</f>
    </oc>
    <nc r="J80">
      <f>J74</f>
    </nc>
  </rcc>
  <rcc rId="11706" sId="20">
    <oc r="K80">
      <f>K74</f>
    </oc>
    <nc r="K80">
      <f>K74</f>
    </nc>
  </rcc>
  <rcc rId="11707" sId="20">
    <oc r="L80">
      <f>L74</f>
    </oc>
    <nc r="L80">
      <f>L74</f>
    </nc>
  </rcc>
  <rcc rId="11708" sId="20">
    <oc r="M80">
      <f>M74</f>
    </oc>
    <nc r="M80">
      <f>M74</f>
    </nc>
  </rcc>
  <rcc rId="11709" sId="20">
    <oc r="N80">
      <f>N74</f>
    </oc>
    <nc r="N80">
      <f>N74</f>
    </nc>
  </rcc>
  <rcc rId="11710" sId="20">
    <oc r="O80">
      <f>O74</f>
    </oc>
    <nc r="O80">
      <f>O74</f>
    </nc>
  </rcc>
  <rcc rId="11711" sId="20">
    <oc r="P80">
      <f>P74</f>
    </oc>
    <nc r="P80">
      <f>P74</f>
    </nc>
  </rcc>
  <rcc rId="11712" sId="20">
    <oc r="Q80">
      <f>Q74</f>
    </oc>
    <nc r="Q80">
      <f>Q74</f>
    </nc>
  </rcc>
  <rcc rId="11713" sId="20">
    <oc r="R80">
      <f>R74</f>
    </oc>
    <nc r="R80">
      <f>R74</f>
    </nc>
  </rcc>
  <rcc rId="11714" sId="20">
    <oc r="S80">
      <f>S74</f>
    </oc>
    <nc r="S80">
      <f>S74</f>
    </nc>
  </rcc>
  <rcc rId="11715" sId="20">
    <oc r="T80">
      <f>T74</f>
    </oc>
    <nc r="T80">
      <f>T74</f>
    </nc>
  </rcc>
  <rcc rId="11716" sId="20">
    <oc r="U80">
      <f>U74</f>
    </oc>
    <nc r="U80">
      <f>U74</f>
    </nc>
  </rcc>
  <rcc rId="11717" sId="20">
    <oc r="V80">
      <f>V74</f>
    </oc>
    <nc r="V80">
      <f>V74</f>
    </nc>
  </rcc>
  <rcc rId="11718" sId="20">
    <oc r="W80">
      <f>W74</f>
    </oc>
    <nc r="W80">
      <f>W74</f>
    </nc>
  </rcc>
  <rcc rId="11719" sId="20">
    <oc r="X80">
      <f>X74</f>
    </oc>
    <nc r="X80">
      <f>X74</f>
    </nc>
  </rcc>
  <rcc rId="11720" sId="20">
    <oc r="Y80">
      <f>Y74</f>
    </oc>
    <nc r="Y80">
      <f>Y74</f>
    </nc>
  </rcc>
  <rcc rId="11721" sId="20">
    <oc r="Z80">
      <f>Z74</f>
    </oc>
    <nc r="Z80">
      <f>Z74</f>
    </nc>
  </rcc>
  <rcc rId="11722" sId="20">
    <oc r="AA80">
      <f>AA74</f>
    </oc>
    <nc r="AA80">
      <f>AA74</f>
    </nc>
  </rcc>
  <rcc rId="11723" sId="20">
    <oc r="AB80">
      <f>AB74</f>
    </oc>
    <nc r="AB80">
      <f>AB74</f>
    </nc>
  </rcc>
  <rcc rId="11724" sId="20">
    <oc r="AC80">
      <f>AC74</f>
    </oc>
    <nc r="AC80">
      <f>AC74</f>
    </nc>
  </rcc>
  <rcc rId="11725" sId="20">
    <oc r="AD80">
      <f>AD74</f>
    </oc>
    <nc r="AD80">
      <f>AD74</f>
    </nc>
  </rcc>
  <rcc rId="11726" sId="20">
    <oc r="AE80">
      <f>AE74</f>
    </oc>
    <nc r="AE80">
      <f>AE74</f>
    </nc>
  </rcc>
  <rcc rId="11727" sId="20">
    <oc r="B81">
      <f>H81+J81+L81+N81+P81+R81+T81+V81+X81+Z81+AB81+AD81</f>
    </oc>
    <nc r="B81">
      <f>H81+J81+L81+N81+P81+R81+T81+V81+X81+Z81+AB81+AD81</f>
    </nc>
  </rcc>
  <rcc rId="11728" sId="20">
    <oc r="C81">
      <f>H81+J81+L81+N81+P81</f>
    </oc>
    <nc r="C81">
      <f>H81+J81+L81+N81+P81</f>
    </nc>
  </rcc>
  <rcc rId="11729" sId="20">
    <oc r="D81">
      <f>E81</f>
    </oc>
    <nc r="D81">
      <f>E81</f>
    </nc>
  </rcc>
  <rcc rId="11730" sId="20">
    <oc r="E81">
      <f>I81+K81+M81+O81+Q81+S81+U81+W81+Y81+AA81+AC81+AE81</f>
    </oc>
    <nc r="E81">
      <f>I81+K81+M81+O81+Q81+S81+U81+W81+Y81+AA81+AC81+AE81</f>
    </nc>
  </rcc>
  <rcc rId="11731" sId="20">
    <oc r="F81">
      <f>IFERROR(E81/B81*100,0)</f>
    </oc>
    <nc r="F81">
      <f>IFERROR(E81/B81*100,0)</f>
    </nc>
  </rcc>
  <rcc rId="11732" sId="20">
    <oc r="G81">
      <f>IFERROR(F81/C81*100,0)</f>
    </oc>
    <nc r="G81">
      <f>IFERROR(F81/C81*100,0)</f>
    </nc>
  </rcc>
  <rcc rId="11733" sId="20">
    <oc r="H81">
      <f>H75</f>
    </oc>
    <nc r="H81">
      <f>H75</f>
    </nc>
  </rcc>
  <rcc rId="11734" sId="20">
    <oc r="I81">
      <f>I75</f>
    </oc>
    <nc r="I81">
      <f>I75</f>
    </nc>
  </rcc>
  <rcc rId="11735" sId="20">
    <oc r="J81">
      <f>J75</f>
    </oc>
    <nc r="J81">
      <f>J75</f>
    </nc>
  </rcc>
  <rcc rId="11736" sId="20">
    <oc r="K81">
      <f>K75</f>
    </oc>
    <nc r="K81">
      <f>K75</f>
    </nc>
  </rcc>
  <rcc rId="11737" sId="20">
    <oc r="L81">
      <f>L75</f>
    </oc>
    <nc r="L81">
      <f>L75</f>
    </nc>
  </rcc>
  <rcc rId="11738" sId="20">
    <oc r="M81">
      <f>M75</f>
    </oc>
    <nc r="M81">
      <f>M75</f>
    </nc>
  </rcc>
  <rcc rId="11739" sId="20">
    <oc r="N81">
      <f>N75</f>
    </oc>
    <nc r="N81">
      <f>N75</f>
    </nc>
  </rcc>
  <rcc rId="11740" sId="20">
    <oc r="O81">
      <f>O75</f>
    </oc>
    <nc r="O81">
      <f>O75</f>
    </nc>
  </rcc>
  <rcc rId="11741" sId="20">
    <oc r="P81">
      <f>P75</f>
    </oc>
    <nc r="P81">
      <f>P75</f>
    </nc>
  </rcc>
  <rcc rId="11742" sId="20">
    <oc r="Q81">
      <f>Q75</f>
    </oc>
    <nc r="Q81">
      <f>Q75</f>
    </nc>
  </rcc>
  <rcc rId="11743" sId="20">
    <oc r="R81">
      <f>R75</f>
    </oc>
    <nc r="R81">
      <f>R75</f>
    </nc>
  </rcc>
  <rcc rId="11744" sId="20">
    <oc r="S81">
      <f>S75</f>
    </oc>
    <nc r="S81">
      <f>S75</f>
    </nc>
  </rcc>
  <rcc rId="11745" sId="20">
    <oc r="T81">
      <f>T75</f>
    </oc>
    <nc r="T81">
      <f>T75</f>
    </nc>
  </rcc>
  <rcc rId="11746" sId="20">
    <oc r="U81">
      <f>U75</f>
    </oc>
    <nc r="U81">
      <f>U75</f>
    </nc>
  </rcc>
  <rcc rId="11747" sId="20">
    <oc r="V81">
      <f>V75</f>
    </oc>
    <nc r="V81">
      <f>V75</f>
    </nc>
  </rcc>
  <rcc rId="11748" sId="20">
    <oc r="W81">
      <f>W75</f>
    </oc>
    <nc r="W81">
      <f>W75</f>
    </nc>
  </rcc>
  <rcc rId="11749" sId="20">
    <oc r="X81">
      <f>X75</f>
    </oc>
    <nc r="X81">
      <f>X75</f>
    </nc>
  </rcc>
  <rcc rId="11750" sId="20">
    <oc r="Y81">
      <f>Y75</f>
    </oc>
    <nc r="Y81">
      <f>Y75</f>
    </nc>
  </rcc>
  <rcc rId="11751" sId="20">
    <oc r="Z81">
      <f>Z75</f>
    </oc>
    <nc r="Z81">
      <f>Z75</f>
    </nc>
  </rcc>
  <rcc rId="11752" sId="20">
    <oc r="AA81">
      <f>AA75</f>
    </oc>
    <nc r="AA81">
      <f>AA75</f>
    </nc>
  </rcc>
  <rcc rId="11753" sId="20">
    <oc r="AB81">
      <f>AB75</f>
    </oc>
    <nc r="AB81">
      <f>AB75</f>
    </nc>
  </rcc>
  <rcc rId="11754" sId="20">
    <oc r="AC81">
      <f>AC75</f>
    </oc>
    <nc r="AC81">
      <f>AC75</f>
    </nc>
  </rcc>
  <rcc rId="11755" sId="20">
    <oc r="AD81">
      <f>AD75</f>
    </oc>
    <nc r="AD81">
      <f>AD75</f>
    </nc>
  </rcc>
  <rcc rId="11756" sId="20">
    <oc r="AE81">
      <f>AE75</f>
    </oc>
    <nc r="AE81">
      <f>AE75</f>
    </nc>
  </rcc>
  <rdn rId="0" localSheetId="2" customView="1" name="Z_CB4792DB_A624_4844_AEB6_A6ADA80946BB_.wvu.Rows" hidden="1" oldHidden="1">
    <formula>'1.СЗН'!$69:$73</formula>
  </rdn>
  <rdn rId="0" localSheetId="2" customView="1" name="Z_CB4792DB_A624_4844_AEB6_A6ADA80946BB_.wvu.FilterData" hidden="1" oldHidden="1">
    <formula>'1.СЗН'!$A$1:$AF$63</formula>
  </rdn>
  <rdn rId="0" localSheetId="3" customView="1" name="Z_CB4792DB_A624_4844_AEB6_A6ADA80946BB_.wvu.FilterData" hidden="1" oldHidden="1">
    <formula>'2.АПК'!$A$1:$AF$36</formula>
  </rdn>
  <rdn rId="0" localSheetId="4" customView="1" name="Z_CB4792DB_A624_4844_AEB6_A6ADA80946BB_.wvu.FilterData" hidden="1" oldHidden="1">
    <formula>'3.БЖД'!$A$1:$AF$17</formula>
  </rdn>
  <rdn rId="0" localSheetId="5" customView="1" name="Z_CB4792DB_A624_4844_AEB6_A6ADA80946BB_.wvu.FilterData" hidden="1" oldHidden="1">
    <formula>'4.УМИ'!$A$1:$AF$11</formula>
  </rdn>
  <rdn rId="0" localSheetId="6" customView="1" name="Z_CB4792DB_A624_4844_AEB6_A6ADA80946BB_.wvu.FilterData" hidden="1" oldHidden="1">
    <formula>'5.Проф. прав.'!$A$1:$AF$12</formula>
  </rdn>
  <rdn rId="0" localSheetId="7" customView="1" name="Z_CB4792DB_A624_4844_AEB6_A6ADA80946BB_.wvu.Rows" hidden="1" oldHidden="1">
    <formula>'6.Экстримизм'!$9:$23,'6.Экстримизм'!$30:$38,'6.Экстримизм'!$44:$49,'6.Экстримизм'!$65:$67,'6.Экстримизм'!$71:$76,'6.Экстримизм'!$86:$88,'6.Экстримизм'!$95:$97</formula>
  </rdn>
  <rdn rId="0" localSheetId="7" customView="1" name="Z_CB4792DB_A624_4844_AEB6_A6ADA80946BB_.wvu.FilterData" hidden="1" oldHidden="1">
    <formula>'6.Экстримизм'!$A$1:$AF$11</formula>
  </rdn>
  <rdn rId="0" localSheetId="14" customView="1" name="Z_CB4792DB_A624_4844_AEB6_A6ADA80946BB_.wvu.FilterData" hidden="1" oldHidden="1">
    <formula>'11.МП РО'!$A$4:$A$380</formula>
  </rdn>
  <rdn rId="0" localSheetId="17" customView="1" name="Z_CB4792DB_A624_4844_AEB6_A6ADA80946BB_.wvu.Rows" hidden="1" oldHidden="1">
    <formula>'13.МП РЖС'!$122:$127</formula>
  </rdn>
  <rdn rId="0" localSheetId="17" customView="1" name="Z_CB4792DB_A624_4844_AEB6_A6ADA80946BB_.wvu.Cols" hidden="1" oldHidden="1">
    <formula>'13.МП РЖС'!$AG:$AG</formula>
  </rdn>
  <rcv guid="{CB4792DB-A624-4844-AEB6-A6ADA80946BB}"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768" sId="23" odxf="1" dxf="1">
    <oc r="A7" t="inlineStr">
      <is>
        <t>1.1.   Содержание объектов благоустройства территории города Когалыма, включая озеленение территории и содержание малых архитектурных форм (I)</t>
      </is>
    </oc>
    <nc r="A7" t="inlineStr">
      <is>
        <t>1.1.   Создание, содержание, ремонт, в том числе капитальный объектов городского хозяйства города Когалыма» (I,4,6,8,12)</t>
      </is>
    </nc>
    <odxf>
      <alignment wrapText="0" readingOrder="0"/>
    </odxf>
    <ndxf>
      <alignment wrapText="1" readingOrder="0"/>
    </ndxf>
  </rcc>
  <rcc rId="11769" sId="23" numFmtId="4">
    <oc r="B8">
      <v>146001.70000000001</v>
    </oc>
    <nc r="B8">
      <f>B10+B11+B9+B13</f>
    </nc>
  </rcc>
  <rcc rId="11770" sId="23" numFmtId="4">
    <oc r="C8">
      <v>75268.26999999999</v>
    </oc>
    <nc r="C8">
      <f>C10+C11+C9+C13</f>
    </nc>
  </rcc>
  <rcc rId="11771" sId="23" numFmtId="4">
    <oc r="D8">
      <v>60128.949000000008</v>
    </oc>
    <nc r="D8">
      <f>D10+D11+D9+D13</f>
    </nc>
  </rcc>
  <rcc rId="11772" sId="23" numFmtId="4">
    <oc r="E8">
      <v>60128.949000000008</v>
    </oc>
    <nc r="E8">
      <f>E10+E11+E9+E13</f>
    </nc>
  </rcc>
  <rcc rId="11773" sId="23" numFmtId="4">
    <oc r="F8">
      <v>41.183732107228892</v>
    </oc>
    <nc r="F8">
      <f>E8/B8*100</f>
    </nc>
  </rcc>
  <rcc rId="11774" sId="23" numFmtId="4">
    <oc r="G8">
      <v>79.886184443989507</v>
    </oc>
    <nc r="G8">
      <f>E8/C8*100</f>
    </nc>
  </rcc>
  <rcc rId="11775" sId="23" numFmtId="4">
    <oc r="H8">
      <v>5148.46</v>
    </oc>
    <nc r="H8">
      <f>H9+H10+H11+H12+H13</f>
    </nc>
  </rcc>
  <rcc rId="11776" sId="23" numFmtId="4">
    <oc r="I8">
      <v>2013.02</v>
    </oc>
    <nc r="I8">
      <f>I9+I10+I11+I12+I13</f>
    </nc>
  </rcc>
  <rcc rId="11777" sId="23" numFmtId="4">
    <oc r="J8">
      <v>17108.03</v>
    </oc>
    <nc r="J8">
      <f>J9+J10+J11+J12+J13</f>
    </nc>
  </rcc>
  <rcc rId="11778" sId="23" numFmtId="4">
    <oc r="K8">
      <v>13859.378999999999</v>
    </oc>
    <nc r="K8">
      <f>K9+K10+K11+K12+K13</f>
    </nc>
  </rcc>
  <rcc rId="11779" sId="23" numFmtId="4">
    <oc r="L8">
      <v>20917.510000000002</v>
    </oc>
    <nc r="L8">
      <f>L9+L10+L11+L12+L13</f>
    </nc>
  </rcc>
  <rcc rId="11780" sId="23" numFmtId="4">
    <oc r="M8">
      <v>17857.240000000002</v>
    </oc>
    <nc r="M8">
      <f>M9+M10+M11+M12+M13</f>
    </nc>
  </rcc>
  <rcc rId="11781" sId="23" numFmtId="4">
    <oc r="N8">
      <v>20254.32</v>
    </oc>
    <nc r="N8">
      <f>N9+N10+N11+N12+N13</f>
    </nc>
  </rcc>
  <rcc rId="11782" sId="23" numFmtId="4">
    <oc r="O8">
      <v>16651.55</v>
    </oc>
    <nc r="O8">
      <f>O9+O10+O11+O12+O13</f>
    </nc>
  </rcc>
  <rcc rId="11783" sId="23" numFmtId="4">
    <oc r="P8">
      <v>11839.949999999999</v>
    </oc>
    <nc r="P8">
      <f>P9+P10+P11+P12+P13</f>
    </nc>
  </rcc>
  <rcc rId="11784" sId="23" numFmtId="4">
    <oc r="Q8">
      <v>9747.76</v>
    </oc>
    <nc r="Q8">
      <f>Q9+Q10+Q11+Q12+Q13</f>
    </nc>
  </rcc>
  <rcc rId="11785" sId="23" numFmtId="4">
    <oc r="R8">
      <v>11895.88</v>
    </oc>
    <nc r="R8">
      <f>R9+R10+R11+R12+R13</f>
    </nc>
  </rcc>
  <rcc rId="11786" sId="23" numFmtId="4">
    <oc r="S8">
      <v>0</v>
    </oc>
    <nc r="S8">
      <f>S9+S10+S11+S12+S13</f>
    </nc>
  </rcc>
  <rcc rId="11787" sId="23" numFmtId="4">
    <oc r="T8">
      <v>6750.4000000000005</v>
    </oc>
    <nc r="T8">
      <f>T9+T10+T11+T12+T13</f>
    </nc>
  </rcc>
  <rcc rId="11788" sId="23" numFmtId="4">
    <oc r="U8">
      <v>0</v>
    </oc>
    <nc r="U8">
      <f>U9+U10+U11+U12+U13</f>
    </nc>
  </rcc>
  <rcc rId="11789" sId="23" numFmtId="4">
    <oc r="V8">
      <v>6344.33</v>
    </oc>
    <nc r="V8">
      <f>V9+V10+V11+V12+V13</f>
    </nc>
  </rcc>
  <rcc rId="11790" sId="23" numFmtId="4">
    <oc r="W8">
      <v>0</v>
    </oc>
    <nc r="W8">
      <f>W9+W10+W11+W12+W13</f>
    </nc>
  </rcc>
  <rcc rId="11791" sId="23" numFmtId="4">
    <oc r="X8">
      <v>4525.09</v>
    </oc>
    <nc r="X8">
      <f>X9+X10+X11+X12+X13</f>
    </nc>
  </rcc>
  <rcc rId="11792" sId="23" numFmtId="4">
    <oc r="Y8">
      <v>0</v>
    </oc>
    <nc r="Y8">
      <f>Y9+Y10+Y11+Y12+Y13</f>
    </nc>
  </rcc>
  <rcc rId="11793" sId="23" numFmtId="4">
    <oc r="Z8">
      <v>19089.379999999997</v>
    </oc>
    <nc r="Z8">
      <f>Z9+Z10+Z11+Z12+Z13</f>
    </nc>
  </rcc>
  <rcc rId="11794" sId="23" numFmtId="4">
    <oc r="AA8">
      <v>0</v>
    </oc>
    <nc r="AA8">
      <f>AA9+AA10+AA11+AA12+AA13</f>
    </nc>
  </rcc>
  <rcc rId="11795" sId="23" numFmtId="4">
    <oc r="AB8">
      <v>14933.350000000002</v>
    </oc>
    <nc r="AB8">
      <f>AB9+AB10+AB11+AB12+AB13</f>
    </nc>
  </rcc>
  <rcc rId="11796" sId="23" numFmtId="4">
    <oc r="AC8">
      <v>0</v>
    </oc>
    <nc r="AC8">
      <f>AC9+AC10+AC11+AC12+AC13</f>
    </nc>
  </rcc>
  <rcc rId="11797" sId="23" numFmtId="4">
    <oc r="AD8">
      <v>7195</v>
    </oc>
    <nc r="AD8">
      <f>AD9+AD10+AD11+AD12+AD13</f>
    </nc>
  </rcc>
  <rcc rId="11798" sId="23" numFmtId="4">
    <oc r="AE8">
      <v>0</v>
    </oc>
    <nc r="AE8">
      <f>AE9+AE10+AE11+AE12+AE13</f>
    </nc>
  </rcc>
  <rcc rId="11799" sId="23" odxf="1" dxf="1">
    <oc r="AG8">
      <f>C8-E8</f>
    </oc>
    <nc r="AG8"/>
    <odxf>
      <numFmt numFmtId="4" formatCode="#,##0.00"/>
    </odxf>
    <ndxf>
      <numFmt numFmtId="0" formatCode="General"/>
    </ndxf>
  </rcc>
  <rcc rId="11800" sId="23" numFmtId="4">
    <oc r="B9">
      <v>0</v>
    </oc>
    <nc r="B9">
      <f>B16+B23+B30+B37</f>
    </nc>
  </rcc>
  <rcc rId="11801" sId="23" numFmtId="4">
    <oc r="C9">
      <v>0</v>
    </oc>
    <nc r="C9">
      <f>C16+C23+C30+C37</f>
    </nc>
  </rcc>
  <rcc rId="11802" sId="23" numFmtId="4">
    <oc r="D9">
      <v>0</v>
    </oc>
    <nc r="D9">
      <f>E9</f>
    </nc>
  </rcc>
  <rcc rId="11803" sId="23" numFmtId="4">
    <oc r="E9">
      <v>0</v>
    </oc>
    <nc r="E9">
      <f>E16+E23+E30+E37</f>
    </nc>
  </rcc>
  <rcc rId="11804" sId="23" numFmtId="4">
    <oc r="F9">
      <v>0</v>
    </oc>
    <nc r="F9">
      <f>IFERROR(E9/B9*100,0)</f>
    </nc>
  </rcc>
  <rcc rId="11805" sId="23" numFmtId="4">
    <oc r="G9">
      <v>0</v>
    </oc>
    <nc r="G9">
      <f>IFERROR(E9/C9*100,0)</f>
    </nc>
  </rcc>
  <rcc rId="11806" sId="23" numFmtId="4">
    <oc r="H9">
      <v>0</v>
    </oc>
    <nc r="H9">
      <f>H16+H23+H30+H37</f>
    </nc>
  </rcc>
  <rcc rId="11807" sId="23" numFmtId="4">
    <oc r="I9">
      <v>0</v>
    </oc>
    <nc r="I9">
      <f>I16+I23+I30+I37</f>
    </nc>
  </rcc>
  <rcc rId="11808" sId="23" numFmtId="4">
    <oc r="J9">
      <v>0</v>
    </oc>
    <nc r="J9">
      <f>J16+J23+J30+J37</f>
    </nc>
  </rcc>
  <rcc rId="11809" sId="23" numFmtId="4">
    <oc r="K9">
      <v>0</v>
    </oc>
    <nc r="K9">
      <f>K16+K23+K30+K37</f>
    </nc>
  </rcc>
  <rcc rId="11810" sId="23" numFmtId="4">
    <oc r="L9">
      <v>0</v>
    </oc>
    <nc r="L9">
      <f>L16+L23+L30+L37</f>
    </nc>
  </rcc>
  <rcc rId="11811" sId="23" numFmtId="4">
    <oc r="M9">
      <v>0</v>
    </oc>
    <nc r="M9">
      <f>M16+M23+M30+M37</f>
    </nc>
  </rcc>
  <rcc rId="11812" sId="23" numFmtId="4">
    <oc r="N9">
      <v>0</v>
    </oc>
    <nc r="N9">
      <f>N16+N23+N30+N37</f>
    </nc>
  </rcc>
  <rcc rId="11813" sId="23" numFmtId="4">
    <oc r="O9">
      <v>0</v>
    </oc>
    <nc r="O9">
      <f>O16+O23+O30+O37</f>
    </nc>
  </rcc>
  <rcc rId="11814" sId="23" numFmtId="4">
    <oc r="P9">
      <v>0</v>
    </oc>
    <nc r="P9">
      <f>P16+P23+P30+P37</f>
    </nc>
  </rcc>
  <rcc rId="11815" sId="23" numFmtId="4">
    <oc r="Q9">
      <v>0</v>
    </oc>
    <nc r="Q9">
      <f>Q16+Q23+Q30+Q37</f>
    </nc>
  </rcc>
  <rcc rId="11816" sId="23" numFmtId="4">
    <oc r="R9">
      <v>0</v>
    </oc>
    <nc r="R9">
      <f>R16+R23+R30+R37</f>
    </nc>
  </rcc>
  <rcc rId="11817" sId="23" numFmtId="4">
    <oc r="S9">
      <v>0</v>
    </oc>
    <nc r="S9">
      <f>S16+S23+S30+S37</f>
    </nc>
  </rcc>
  <rcc rId="11818" sId="23" numFmtId="4">
    <oc r="T9">
      <v>0</v>
    </oc>
    <nc r="T9">
      <f>T16+T23+T30+T37</f>
    </nc>
  </rcc>
  <rcc rId="11819" sId="23" numFmtId="4">
    <oc r="U9">
      <v>0</v>
    </oc>
    <nc r="U9">
      <f>U16+U23+U30+U37</f>
    </nc>
  </rcc>
  <rcc rId="11820" sId="23" numFmtId="4">
    <oc r="V9">
      <v>0</v>
    </oc>
    <nc r="V9">
      <f>V16+V23+V30+V37</f>
    </nc>
  </rcc>
  <rcc rId="11821" sId="23" numFmtId="4">
    <oc r="W9">
      <v>0</v>
    </oc>
    <nc r="W9">
      <f>W16+W23+W30+W37</f>
    </nc>
  </rcc>
  <rcc rId="11822" sId="23" numFmtId="4">
    <oc r="X9">
      <v>0</v>
    </oc>
    <nc r="X9">
      <f>X16+X23+X30+X37</f>
    </nc>
  </rcc>
  <rcc rId="11823" sId="23" numFmtId="4">
    <oc r="Y9">
      <v>0</v>
    </oc>
    <nc r="Y9">
      <f>Y16+Y23+Y30+Y37</f>
    </nc>
  </rcc>
  <rcc rId="11824" sId="23" numFmtId="4">
    <oc r="Z9">
      <v>0</v>
    </oc>
    <nc r="Z9">
      <f>Z16+Z23+Z30+Z37</f>
    </nc>
  </rcc>
  <rcc rId="11825" sId="23" numFmtId="4">
    <oc r="AA9">
      <v>0</v>
    </oc>
    <nc r="AA9">
      <f>AA16+AA23+AA30+AA37</f>
    </nc>
  </rcc>
  <rcc rId="11826" sId="23" numFmtId="4">
    <oc r="AB9">
      <v>0</v>
    </oc>
    <nc r="AB9">
      <f>AB16+AB23+AB30+AB37</f>
    </nc>
  </rcc>
  <rcc rId="11827" sId="23" numFmtId="4">
    <oc r="AC9">
      <v>0</v>
    </oc>
    <nc r="AC9">
      <f>AC16+AC23+AC30+AC37</f>
    </nc>
  </rcc>
  <rcc rId="11828" sId="23" numFmtId="4">
    <oc r="AD9">
      <v>0</v>
    </oc>
    <nc r="AD9">
      <f>AD16+AD23+AD30+AD37</f>
    </nc>
  </rcc>
  <rcc rId="11829" sId="23" numFmtId="4">
    <oc r="AE9">
      <v>0</v>
    </oc>
    <nc r="AE9">
      <f>AE16+AE23+AE30+AE37</f>
    </nc>
  </rcc>
  <rcc rId="11830" sId="23" odxf="1" dxf="1">
    <oc r="AG9">
      <f>C9-E9</f>
    </oc>
    <nc r="AG9"/>
    <odxf>
      <numFmt numFmtId="4" formatCode="#,##0.00"/>
    </odxf>
    <ndxf>
      <numFmt numFmtId="0" formatCode="General"/>
    </ndxf>
  </rcc>
  <rcc rId="11831" sId="23" numFmtId="4">
    <oc r="B10">
      <v>0</v>
    </oc>
    <nc r="B10">
      <f>B17+B24+B31+B38</f>
    </nc>
  </rcc>
  <rcc rId="11832" sId="23" numFmtId="4">
    <oc r="C10">
      <v>0</v>
    </oc>
    <nc r="C10">
      <f>C17+C24+C31+C38</f>
    </nc>
  </rcc>
  <rcc rId="11833" sId="23" numFmtId="4">
    <oc r="D10">
      <v>0</v>
    </oc>
    <nc r="D10">
      <f>E10</f>
    </nc>
  </rcc>
  <rcc rId="11834" sId="23" numFmtId="4">
    <oc r="E10">
      <v>0</v>
    </oc>
    <nc r="E10">
      <f>E17+E24+E31+E38</f>
    </nc>
  </rcc>
  <rcc rId="11835" sId="23" numFmtId="4">
    <oc r="F10">
      <v>0</v>
    </oc>
    <nc r="F10">
      <f>IFERROR(E10/B10*100,0)</f>
    </nc>
  </rcc>
  <rcc rId="11836" sId="23" numFmtId="4">
    <oc r="G10">
      <v>0</v>
    </oc>
    <nc r="G10">
      <f>IFERROR(E10/C10*100,0)</f>
    </nc>
  </rcc>
  <rcc rId="11837" sId="23" numFmtId="4">
    <oc r="H10">
      <v>0</v>
    </oc>
    <nc r="H10">
      <f>H17+H24+H31+H38</f>
    </nc>
  </rcc>
  <rcc rId="11838" sId="23" numFmtId="4">
    <oc r="I10">
      <v>0</v>
    </oc>
    <nc r="I10">
      <f>I17+I24+I31+I38</f>
    </nc>
  </rcc>
  <rcc rId="11839" sId="23" numFmtId="4">
    <oc r="J10">
      <v>0</v>
    </oc>
    <nc r="J10">
      <f>J17+J24+J31+J38</f>
    </nc>
  </rcc>
  <rcc rId="11840" sId="23" numFmtId="4">
    <oc r="K10">
      <v>0</v>
    </oc>
    <nc r="K10">
      <f>K17+K24+K31+K38</f>
    </nc>
  </rcc>
  <rcc rId="11841" sId="23" numFmtId="4">
    <oc r="L10">
      <v>0</v>
    </oc>
    <nc r="L10">
      <f>L17+L24+L31+L38</f>
    </nc>
  </rcc>
  <rcc rId="11842" sId="23" numFmtId="4">
    <oc r="M10">
      <v>0</v>
    </oc>
    <nc r="M10">
      <f>M17+M24+M31+M38</f>
    </nc>
  </rcc>
  <rcc rId="11843" sId="23" numFmtId="4">
    <oc r="N10">
      <v>0</v>
    </oc>
    <nc r="N10">
      <f>N17+N24+N31+N38</f>
    </nc>
  </rcc>
  <rcc rId="11844" sId="23" numFmtId="4">
    <oc r="O10">
      <v>0</v>
    </oc>
    <nc r="O10">
      <f>O17+O24+O31+O38</f>
    </nc>
  </rcc>
  <rcc rId="11845" sId="23" numFmtId="4">
    <oc r="P10">
      <v>0</v>
    </oc>
    <nc r="P10">
      <f>P17+P24+P31+P38</f>
    </nc>
  </rcc>
  <rcc rId="11846" sId="23" numFmtId="4">
    <oc r="Q10">
      <v>0</v>
    </oc>
    <nc r="Q10">
      <f>Q17+Q24+Q31+Q38</f>
    </nc>
  </rcc>
  <rcc rId="11847" sId="23" numFmtId="4">
    <oc r="R10">
      <v>0</v>
    </oc>
    <nc r="R10">
      <f>R17+R24+R31+R38</f>
    </nc>
  </rcc>
  <rcc rId="11848" sId="23" numFmtId="4">
    <oc r="S10">
      <v>0</v>
    </oc>
    <nc r="S10">
      <f>S17+S24+S31+S38</f>
    </nc>
  </rcc>
  <rcc rId="11849" sId="23" numFmtId="4">
    <oc r="T10">
      <v>0</v>
    </oc>
    <nc r="T10">
      <f>T17+T24+T31+T38</f>
    </nc>
  </rcc>
  <rcc rId="11850" sId="23" numFmtId="4">
    <oc r="U10">
      <v>0</v>
    </oc>
    <nc r="U10">
      <f>U17+U24+U31+U38</f>
    </nc>
  </rcc>
  <rcc rId="11851" sId="23" numFmtId="4">
    <oc r="V10">
      <v>0</v>
    </oc>
    <nc r="V10">
      <f>V17+V24+V31+V38</f>
    </nc>
  </rcc>
  <rcc rId="11852" sId="23" numFmtId="4">
    <oc r="W10">
      <v>0</v>
    </oc>
    <nc r="W10">
      <f>W17+W24+W31+W38</f>
    </nc>
  </rcc>
  <rcc rId="11853" sId="23" numFmtId="4">
    <oc r="X10">
      <v>0</v>
    </oc>
    <nc r="X10">
      <f>X17+X24+X31+X38</f>
    </nc>
  </rcc>
  <rcc rId="11854" sId="23" numFmtId="4">
    <oc r="Y10">
      <v>0</v>
    </oc>
    <nc r="Y10">
      <f>Y17+Y24+Y31+Y38</f>
    </nc>
  </rcc>
  <rcc rId="11855" sId="23" numFmtId="4">
    <oc r="Z10">
      <v>0</v>
    </oc>
    <nc r="Z10">
      <f>Z17+Z24+Z31+Z38</f>
    </nc>
  </rcc>
  <rcc rId="11856" sId="23" numFmtId="4">
    <oc r="AA10">
      <v>0</v>
    </oc>
    <nc r="AA10">
      <f>AA17+AA24+AA31+AA38</f>
    </nc>
  </rcc>
  <rcc rId="11857" sId="23" numFmtId="4">
    <oc r="AB10">
      <v>0</v>
    </oc>
    <nc r="AB10">
      <f>AB17+AB24+AB31+AB38</f>
    </nc>
  </rcc>
  <rcc rId="11858" sId="23" numFmtId="4">
    <oc r="AC10">
      <v>0</v>
    </oc>
    <nc r="AC10">
      <f>AC17+AC24+AC31+AC38</f>
    </nc>
  </rcc>
  <rcc rId="11859" sId="23" numFmtId="4">
    <oc r="AD10">
      <v>0</v>
    </oc>
    <nc r="AD10">
      <f>AD17+AD24+AD31+AD38</f>
    </nc>
  </rcc>
  <rcc rId="11860" sId="23" numFmtId="4">
    <oc r="AE10">
      <v>0</v>
    </oc>
    <nc r="AE10">
      <f>AE17+AE24+AE31+AE38</f>
    </nc>
  </rcc>
  <rcc rId="11861" sId="23" odxf="1" dxf="1">
    <oc r="AG10">
      <f>C10-E10</f>
    </oc>
    <nc r="AG10"/>
    <odxf>
      <numFmt numFmtId="4" formatCode="#,##0.00"/>
    </odxf>
    <ndxf>
      <numFmt numFmtId="0" formatCode="General"/>
    </ndxf>
  </rcc>
  <rcc rId="11862" sId="23" numFmtId="4">
    <oc r="B11">
      <v>146001.70000000001</v>
    </oc>
    <nc r="B11">
      <f>B18+B25+B32+B39</f>
    </nc>
  </rcc>
  <rcc rId="11863" sId="23" numFmtId="4">
    <oc r="C11">
      <v>75268.26999999999</v>
    </oc>
    <nc r="C11">
      <f>C18+C25+C32+C39</f>
    </nc>
  </rcc>
  <rcc rId="11864" sId="23" numFmtId="4">
    <oc r="D11">
      <v>60128.949000000008</v>
    </oc>
    <nc r="D11">
      <f>E11</f>
    </nc>
  </rcc>
  <rcc rId="11865" sId="23" numFmtId="4">
    <oc r="E11">
      <v>60128.949000000008</v>
    </oc>
    <nc r="E11">
      <f>E18+E25+E32+E39</f>
    </nc>
  </rcc>
  <rcc rId="11866" sId="23" numFmtId="4">
    <oc r="F11">
      <v>41.183732107228892</v>
    </oc>
    <nc r="F11">
      <f>IFERROR(E11/B11*100,0)</f>
    </nc>
  </rcc>
  <rcc rId="11867" sId="23" numFmtId="4">
    <oc r="G11">
      <v>79.886184443989507</v>
    </oc>
    <nc r="G11">
      <f>IFERROR(E11/C11*100,0)</f>
    </nc>
  </rcc>
  <rcc rId="11868" sId="23" numFmtId="4">
    <oc r="H11">
      <v>5148.46</v>
    </oc>
    <nc r="H11">
      <f>H18+H25+H32+H39</f>
    </nc>
  </rcc>
  <rcc rId="11869" sId="23" numFmtId="4">
    <oc r="I11">
      <v>2013.02</v>
    </oc>
    <nc r="I11">
      <f>I18+I25+I32+I39</f>
    </nc>
  </rcc>
  <rcc rId="11870" sId="23" numFmtId="4">
    <oc r="J11">
      <v>17108.03</v>
    </oc>
    <nc r="J11">
      <f>J18+J25+J32+J39</f>
    </nc>
  </rcc>
  <rcc rId="11871" sId="23" numFmtId="4">
    <oc r="K11">
      <v>13859.378999999999</v>
    </oc>
    <nc r="K11">
      <f>K18+K25+K32+K39</f>
    </nc>
  </rcc>
  <rcc rId="11872" sId="23" numFmtId="4">
    <oc r="L11">
      <v>20917.510000000002</v>
    </oc>
    <nc r="L11">
      <f>L18+L25+L32+L39</f>
    </nc>
  </rcc>
  <rcc rId="11873" sId="23" numFmtId="4">
    <oc r="M11">
      <v>17857.240000000002</v>
    </oc>
    <nc r="M11">
      <f>M18+M25+M32+M39</f>
    </nc>
  </rcc>
  <rcc rId="11874" sId="23" numFmtId="4">
    <oc r="N11">
      <v>20254.32</v>
    </oc>
    <nc r="N11">
      <f>N18+N25+N32+N39</f>
    </nc>
  </rcc>
  <rcc rId="11875" sId="23" numFmtId="4">
    <oc r="O11">
      <v>16651.55</v>
    </oc>
    <nc r="O11">
      <f>O18+O25+O32+O39</f>
    </nc>
  </rcc>
  <rcc rId="11876" sId="23" numFmtId="4">
    <oc r="P11">
      <v>11839.949999999999</v>
    </oc>
    <nc r="P11">
      <f>P18+P25+P32+P39</f>
    </nc>
  </rcc>
  <rcc rId="11877" sId="23" numFmtId="4">
    <oc r="Q11">
      <v>9747.76</v>
    </oc>
    <nc r="Q11">
      <f>Q18+Q25+Q32+Q39</f>
    </nc>
  </rcc>
  <rcc rId="11878" sId="23" numFmtId="4">
    <oc r="R11">
      <v>11895.88</v>
    </oc>
    <nc r="R11">
      <f>R18+R25+R32+R39</f>
    </nc>
  </rcc>
  <rcc rId="11879" sId="23" numFmtId="4">
    <oc r="S11">
      <v>0</v>
    </oc>
    <nc r="S11">
      <f>S18+S25+S32+S39</f>
    </nc>
  </rcc>
  <rcc rId="11880" sId="23" numFmtId="4">
    <oc r="T11">
      <v>6750.4000000000005</v>
    </oc>
    <nc r="T11">
      <f>T18+T25+T32+T39</f>
    </nc>
  </rcc>
  <rcc rId="11881" sId="23" numFmtId="4">
    <oc r="U11">
      <v>0</v>
    </oc>
    <nc r="U11">
      <f>U18+U25+U32+U39</f>
    </nc>
  </rcc>
  <rcc rId="11882" sId="23" numFmtId="4">
    <oc r="V11">
      <v>6344.33</v>
    </oc>
    <nc r="V11">
      <f>V18+V25+V32+V39</f>
    </nc>
  </rcc>
  <rcc rId="11883" sId="23" numFmtId="4">
    <oc r="W11">
      <v>0</v>
    </oc>
    <nc r="W11">
      <f>W18+W25+W32+W39</f>
    </nc>
  </rcc>
  <rcc rId="11884" sId="23" numFmtId="4">
    <oc r="X11">
      <v>4525.09</v>
    </oc>
    <nc r="X11">
      <f>X18+X25+X32+X39</f>
    </nc>
  </rcc>
  <rcc rId="11885" sId="23" numFmtId="4">
    <oc r="Y11">
      <v>0</v>
    </oc>
    <nc r="Y11">
      <f>Y18+Y25+Y32+Y39</f>
    </nc>
  </rcc>
  <rcc rId="11886" sId="23" numFmtId="4">
    <oc r="Z11">
      <v>19089.379999999997</v>
    </oc>
    <nc r="Z11">
      <f>Z18+Z25+Z32+Z39</f>
    </nc>
  </rcc>
  <rcc rId="11887" sId="23" numFmtId="4">
    <oc r="AA11">
      <v>0</v>
    </oc>
    <nc r="AA11">
      <f>AA18+AA25+AA32+AA39</f>
    </nc>
  </rcc>
  <rcc rId="11888" sId="23" numFmtId="4">
    <oc r="AB11">
      <v>14933.350000000002</v>
    </oc>
    <nc r="AB11">
      <f>AB18+AB25+AB32+AB39</f>
    </nc>
  </rcc>
  <rcc rId="11889" sId="23" numFmtId="4">
    <oc r="AC11">
      <v>0</v>
    </oc>
    <nc r="AC11">
      <f>AC18+AC25+AC32+AC39</f>
    </nc>
  </rcc>
  <rcc rId="11890" sId="23" numFmtId="4">
    <oc r="AD11">
      <v>7195</v>
    </oc>
    <nc r="AD11">
      <f>AD18+AD25+AD32+AD39</f>
    </nc>
  </rcc>
  <rcc rId="11891" sId="23" numFmtId="4">
    <oc r="AE11">
      <v>0</v>
    </oc>
    <nc r="AE11">
      <f>AE18+AE25+AE32+AE39</f>
    </nc>
  </rcc>
  <rcc rId="11892" sId="23" odxf="1" dxf="1">
    <oc r="AG11">
      <f>C11-E11</f>
    </oc>
    <nc r="AG11"/>
    <odxf>
      <numFmt numFmtId="4" formatCode="#,##0.00"/>
    </odxf>
    <ndxf>
      <numFmt numFmtId="0" formatCode="General"/>
    </ndxf>
  </rcc>
  <rcc rId="11893" sId="23" numFmtId="4">
    <oc r="B12">
      <v>0</v>
    </oc>
    <nc r="B12">
      <f>B19+B26+B33+B40</f>
    </nc>
  </rcc>
  <rcc rId="11894" sId="23" numFmtId="4">
    <oc r="C12">
      <v>0</v>
    </oc>
    <nc r="C12">
      <f>C19+C26+C33+C40</f>
    </nc>
  </rcc>
  <rcc rId="11895" sId="23" numFmtId="4">
    <oc r="D12">
      <v>0</v>
    </oc>
    <nc r="D12">
      <f>E12</f>
    </nc>
  </rcc>
  <rcc rId="11896" sId="23" numFmtId="4">
    <oc r="E12">
      <v>0</v>
    </oc>
    <nc r="E12">
      <f>E19+E26+E33+E40</f>
    </nc>
  </rcc>
  <rcc rId="11897" sId="23" numFmtId="4">
    <oc r="F12">
      <v>0</v>
    </oc>
    <nc r="F12">
      <f>IFERROR(E12/B12*100,0)</f>
    </nc>
  </rcc>
  <rcc rId="11898" sId="23" numFmtId="4">
    <oc r="G12">
      <v>0</v>
    </oc>
    <nc r="G12">
      <f>IFERROR(E12/C12*100,0)</f>
    </nc>
  </rcc>
  <rcc rId="11899" sId="23" numFmtId="4">
    <oc r="H12">
      <v>0</v>
    </oc>
    <nc r="H12">
      <f>H19+H26+H33+H40</f>
    </nc>
  </rcc>
  <rcc rId="11900" sId="23" numFmtId="4">
    <oc r="I12">
      <v>0</v>
    </oc>
    <nc r="I12">
      <f>I19+I26+I33+I40</f>
    </nc>
  </rcc>
  <rcc rId="11901" sId="23" numFmtId="4">
    <oc r="J12">
      <v>0</v>
    </oc>
    <nc r="J12">
      <f>J19+J26+J33+J40</f>
    </nc>
  </rcc>
  <rcc rId="11902" sId="23" numFmtId="4">
    <oc r="K12">
      <v>0</v>
    </oc>
    <nc r="K12">
      <f>K19+K26+K33+K40</f>
    </nc>
  </rcc>
  <rcc rId="11903" sId="23" numFmtId="4">
    <oc r="L12">
      <v>0</v>
    </oc>
    <nc r="L12">
      <f>L19+L26+L33+L40</f>
    </nc>
  </rcc>
  <rcc rId="11904" sId="23" numFmtId="4">
    <oc r="M12">
      <v>0</v>
    </oc>
    <nc r="M12">
      <f>M19+M26+M33+M40</f>
    </nc>
  </rcc>
  <rcc rId="11905" sId="23" numFmtId="4">
    <oc r="N12">
      <v>0</v>
    </oc>
    <nc r="N12">
      <f>N19+N26+N33+N40</f>
    </nc>
  </rcc>
  <rcc rId="11906" sId="23" numFmtId="4">
    <oc r="O12">
      <v>0</v>
    </oc>
    <nc r="O12">
      <f>O19+O26+O33+O40</f>
    </nc>
  </rcc>
  <rcc rId="11907" sId="23" numFmtId="4">
    <oc r="P12">
      <v>0</v>
    </oc>
    <nc r="P12">
      <f>P19+P26+P33+P40</f>
    </nc>
  </rcc>
  <rcc rId="11908" sId="23" numFmtId="4">
    <oc r="Q12">
      <v>0</v>
    </oc>
    <nc r="Q12">
      <f>Q19+Q26+Q33+Q40</f>
    </nc>
  </rcc>
  <rcc rId="11909" sId="23" numFmtId="4">
    <oc r="R12">
      <v>0</v>
    </oc>
    <nc r="R12">
      <f>R19+R26+R33+R40</f>
    </nc>
  </rcc>
  <rcc rId="11910" sId="23" numFmtId="4">
    <oc r="S12">
      <v>0</v>
    </oc>
    <nc r="S12">
      <f>S19+S26+S33+S40</f>
    </nc>
  </rcc>
  <rcc rId="11911" sId="23" numFmtId="4">
    <oc r="T12">
      <v>0</v>
    </oc>
    <nc r="T12">
      <f>T19+T26+T33+T40</f>
    </nc>
  </rcc>
  <rcc rId="11912" sId="23" numFmtId="4">
    <oc r="U12">
      <v>0</v>
    </oc>
    <nc r="U12">
      <f>U19+U26+U33+U40</f>
    </nc>
  </rcc>
  <rcc rId="11913" sId="23" numFmtId="4">
    <oc r="V12">
      <v>0</v>
    </oc>
    <nc r="V12">
      <f>V19+V26+V33+V40</f>
    </nc>
  </rcc>
  <rcc rId="11914" sId="23" numFmtId="4">
    <oc r="W12">
      <v>0</v>
    </oc>
    <nc r="W12">
      <f>W19+W26+W33+W40</f>
    </nc>
  </rcc>
  <rcc rId="11915" sId="23" numFmtId="4">
    <oc r="X12">
      <v>0</v>
    </oc>
    <nc r="X12">
      <f>X19+X26+X33+X40</f>
    </nc>
  </rcc>
  <rcc rId="11916" sId="23" numFmtId="4">
    <oc r="Y12">
      <v>0</v>
    </oc>
    <nc r="Y12">
      <f>Y19+Y26+Y33+Y40</f>
    </nc>
  </rcc>
  <rcc rId="11917" sId="23" numFmtId="4">
    <oc r="Z12">
      <v>0</v>
    </oc>
    <nc r="Z12">
      <f>Z19+Z26+Z33+Z40</f>
    </nc>
  </rcc>
  <rcc rId="11918" sId="23" numFmtId="4">
    <oc r="AA12">
      <v>0</v>
    </oc>
    <nc r="AA12">
      <f>AA19+AA26+AA33+AA40</f>
    </nc>
  </rcc>
  <rcc rId="11919" sId="23" numFmtId="4">
    <oc r="AB12">
      <v>0</v>
    </oc>
    <nc r="AB12">
      <f>AB19+AB26+AB33+AB40</f>
    </nc>
  </rcc>
  <rcc rId="11920" sId="23" numFmtId="4">
    <oc r="AC12">
      <v>0</v>
    </oc>
    <nc r="AC12">
      <f>AC19+AC26+AC33+AC40</f>
    </nc>
  </rcc>
  <rcc rId="11921" sId="23" numFmtId="4">
    <oc r="AD12">
      <v>0</v>
    </oc>
    <nc r="AD12">
      <f>AD19+AD26+AD33+AD40</f>
    </nc>
  </rcc>
  <rcc rId="11922" sId="23" numFmtId="4">
    <oc r="AE12">
      <v>0</v>
    </oc>
    <nc r="AE12">
      <f>AE19+AE26+AE33+AE40</f>
    </nc>
  </rcc>
  <rcc rId="11923" sId="23" odxf="1" dxf="1">
    <oc r="AG12">
      <f>C12-E12</f>
    </oc>
    <nc r="AG12"/>
    <odxf>
      <numFmt numFmtId="4" formatCode="#,##0.00"/>
    </odxf>
    <ndxf>
      <numFmt numFmtId="0" formatCode="General"/>
    </ndxf>
  </rcc>
  <rcc rId="11924" sId="23" numFmtId="4">
    <oc r="B13">
      <v>0</v>
    </oc>
    <nc r="B13">
      <f>B20+B27+B34+B41</f>
    </nc>
  </rcc>
  <rcc rId="11925" sId="23" numFmtId="4">
    <oc r="C13">
      <v>0</v>
    </oc>
    <nc r="C13">
      <f>C20+C27+C34+C41</f>
    </nc>
  </rcc>
  <rcc rId="11926" sId="23" numFmtId="4">
    <oc r="D13">
      <v>0</v>
    </oc>
    <nc r="D13">
      <f>E13</f>
    </nc>
  </rcc>
  <rcc rId="11927" sId="23" numFmtId="4">
    <oc r="E13">
      <v>0</v>
    </oc>
    <nc r="E13">
      <f>E20+E27+E34+E41</f>
    </nc>
  </rcc>
  <rcc rId="11928" sId="23" numFmtId="4">
    <oc r="F13">
      <v>0</v>
    </oc>
    <nc r="F13">
      <f>IFERROR(E13/B13*100,0)</f>
    </nc>
  </rcc>
  <rcc rId="11929" sId="23" numFmtId="4">
    <oc r="G13">
      <v>0</v>
    </oc>
    <nc r="G13">
      <f>IFERROR(E13/C13*100,0)</f>
    </nc>
  </rcc>
  <rcc rId="11930" sId="23" numFmtId="4">
    <oc r="H13">
      <v>0</v>
    </oc>
    <nc r="H13">
      <f>H20+H27+H34+H41</f>
    </nc>
  </rcc>
  <rcc rId="11931" sId="23" numFmtId="4">
    <oc r="I13">
      <v>0</v>
    </oc>
    <nc r="I13">
      <f>I20+I27+I34+I41</f>
    </nc>
  </rcc>
  <rcc rId="11932" sId="23" numFmtId="4">
    <oc r="J13">
      <v>0</v>
    </oc>
    <nc r="J13">
      <f>J20+J27+J34+J41</f>
    </nc>
  </rcc>
  <rcc rId="11933" sId="23" numFmtId="4">
    <oc r="K13">
      <v>0</v>
    </oc>
    <nc r="K13">
      <f>K20+K27+K34+K41</f>
    </nc>
  </rcc>
  <rcc rId="11934" sId="23" numFmtId="4">
    <oc r="L13">
      <v>0</v>
    </oc>
    <nc r="L13">
      <f>L20+L27+L34+L41</f>
    </nc>
  </rcc>
  <rcc rId="11935" sId="23" numFmtId="4">
    <oc r="M13">
      <v>0</v>
    </oc>
    <nc r="M13">
      <f>M20+M27+M34+M41</f>
    </nc>
  </rcc>
  <rcc rId="11936" sId="23" numFmtId="4">
    <oc r="N13">
      <v>0</v>
    </oc>
    <nc r="N13">
      <f>N20+N27+N34+N41</f>
    </nc>
  </rcc>
  <rcc rId="11937" sId="23" numFmtId="4">
    <oc r="O13">
      <v>0</v>
    </oc>
    <nc r="O13">
      <f>O20+O27+O34+O41</f>
    </nc>
  </rcc>
  <rcc rId="11938" sId="23" numFmtId="4">
    <oc r="P13">
      <v>0</v>
    </oc>
    <nc r="P13">
      <f>P20+P27+P34+P41</f>
    </nc>
  </rcc>
  <rcc rId="11939" sId="23" numFmtId="4">
    <oc r="Q13">
      <v>0</v>
    </oc>
    <nc r="Q13">
      <f>Q20+Q27+Q34+Q41</f>
    </nc>
  </rcc>
  <rcc rId="11940" sId="23" numFmtId="4">
    <oc r="R13">
      <v>0</v>
    </oc>
    <nc r="R13">
      <f>R20+R27+R34+R41</f>
    </nc>
  </rcc>
  <rcc rId="11941" sId="23" numFmtId="4">
    <oc r="S13">
      <v>0</v>
    </oc>
    <nc r="S13">
      <f>S20+S27+S34+S41</f>
    </nc>
  </rcc>
  <rcc rId="11942" sId="23" numFmtId="4">
    <oc r="T13">
      <v>0</v>
    </oc>
    <nc r="T13">
      <f>T20+T27+T34+T41</f>
    </nc>
  </rcc>
  <rcc rId="11943" sId="23" numFmtId="4">
    <oc r="U13">
      <v>0</v>
    </oc>
    <nc r="U13">
      <f>U20+U27+U34+U41</f>
    </nc>
  </rcc>
  <rcc rId="11944" sId="23" numFmtId="4">
    <oc r="V13">
      <v>0</v>
    </oc>
    <nc r="V13">
      <f>V20+V27+V34+V41</f>
    </nc>
  </rcc>
  <rcc rId="11945" sId="23" numFmtId="4">
    <oc r="W13">
      <v>0</v>
    </oc>
    <nc r="W13">
      <f>W20+W27+W34+W41</f>
    </nc>
  </rcc>
  <rcc rId="11946" sId="23" numFmtId="4">
    <oc r="X13">
      <v>0</v>
    </oc>
    <nc r="X13">
      <f>X20+X27+X34+X41</f>
    </nc>
  </rcc>
  <rcc rId="11947" sId="23" numFmtId="4">
    <oc r="Y13">
      <v>0</v>
    </oc>
    <nc r="Y13">
      <f>Y20+Y27+Y34+Y41</f>
    </nc>
  </rcc>
  <rcc rId="11948" sId="23" numFmtId="4">
    <oc r="Z13">
      <v>0</v>
    </oc>
    <nc r="Z13">
      <f>Z20+Z27+Z34+Z41</f>
    </nc>
  </rcc>
  <rcc rId="11949" sId="23" numFmtId="4">
    <oc r="AA13">
      <v>0</v>
    </oc>
    <nc r="AA13">
      <f>AA20+AA27+AA34+AA41</f>
    </nc>
  </rcc>
  <rcc rId="11950" sId="23" numFmtId="4">
    <oc r="AB13">
      <v>0</v>
    </oc>
    <nc r="AB13">
      <f>AB20+AB27+AB34+AB41</f>
    </nc>
  </rcc>
  <rcc rId="11951" sId="23" numFmtId="4">
    <oc r="AC13">
      <v>0</v>
    </oc>
    <nc r="AC13">
      <f>AC20+AC27+AC34+AC41</f>
    </nc>
  </rcc>
  <rcc rId="11952" sId="23" numFmtId="4">
    <oc r="AD13">
      <v>0</v>
    </oc>
    <nc r="AD13">
      <f>AD20+AD27+AD34+AD41</f>
    </nc>
  </rcc>
  <rcc rId="11953" sId="23" numFmtId="4">
    <oc r="AE13">
      <v>0</v>
    </oc>
    <nc r="AE13">
      <f>AE20+AE27+AE34+AE41</f>
    </nc>
  </rcc>
  <rcc rId="11954" sId="23" odxf="1" dxf="1">
    <oc r="AG13">
      <f>C13-E13</f>
    </oc>
    <nc r="AG13"/>
    <odxf>
      <numFmt numFmtId="4" formatCode="#,##0.00"/>
    </odxf>
    <ndxf>
      <numFmt numFmtId="0" formatCode="General"/>
    </ndxf>
  </rcc>
  <rfmt sheetId="23" sqref="A14" start="0" length="0">
    <dxf>
      <alignment wrapText="1" readingOrder="0"/>
    </dxf>
  </rfmt>
  <rcc rId="11955" sId="23" odxf="1" dxf="1">
    <oc r="AG14">
      <f>C14-E14</f>
    </oc>
    <nc r="AG14"/>
    <odxf>
      <font>
        <color auto="1"/>
      </font>
      <numFmt numFmtId="4" formatCode="#,##0.00"/>
    </odxf>
    <ndxf>
      <font>
        <sz val="12"/>
        <color auto="1"/>
        <name val="Times New Roman"/>
        <scheme val="none"/>
      </font>
      <numFmt numFmtId="0" formatCode="General"/>
    </ndxf>
  </rcc>
  <rcc rId="11956" sId="23" numFmtId="4">
    <oc r="B15">
      <v>70294.86</v>
    </oc>
    <nc r="B15">
      <f>B16+B17+B18+B20</f>
    </nc>
  </rcc>
  <rcc rId="11957" sId="23" numFmtId="4">
    <oc r="C15">
      <v>31059.48</v>
    </oc>
    <nc r="C15">
      <f>C16+C17+C18+C20</f>
    </nc>
  </rcc>
  <rcc rId="11958" sId="23" numFmtId="4">
    <oc r="D15">
      <v>18218.82</v>
    </oc>
    <nc r="D15">
      <f>D16+D17+D18+D20</f>
    </nc>
  </rcc>
  <rcc rId="11959" sId="23" numFmtId="4">
    <oc r="E15">
      <v>18218.82</v>
    </oc>
    <nc r="E15">
      <f>E16+E17+E18+E20</f>
    </nc>
  </rcc>
  <rcc rId="11960" sId="23" numFmtId="4">
    <oc r="F15">
      <v>25.917712902479639</v>
    </oc>
    <nc r="F15">
      <f>IFERROR(E15/B15*100,0)</f>
    </nc>
  </rcc>
  <rcc rId="11961" sId="23" numFmtId="4">
    <oc r="G15">
      <v>58.657839732023845</v>
    </oc>
    <nc r="G15">
      <f>IFERROR(E15/C15*100,0)</f>
    </nc>
  </rcc>
  <rcc rId="11962" sId="23" numFmtId="4">
    <oc r="H15">
      <v>5009.18</v>
    </oc>
    <nc r="H15">
      <f>H16+H17+H18+H20</f>
    </nc>
  </rcc>
  <rcc rId="11963" sId="23" numFmtId="4">
    <oc r="I15">
      <v>1954.18</v>
    </oc>
    <nc r="I15">
      <f>I16+I17+I18+I20</f>
    </nc>
  </rcc>
  <rcc rId="11964" sId="23" numFmtId="4">
    <oc r="J15">
      <v>7290.25</v>
    </oc>
    <nc r="J15">
      <f>J16+J17+J18+J20</f>
    </nc>
  </rcc>
  <rcc rId="11965" sId="23" numFmtId="4">
    <oc r="K15">
      <v>4076.99</v>
    </oc>
    <nc r="K15">
      <f>K16+K17+K18+K20</f>
    </nc>
  </rcc>
  <rcc rId="11966" sId="23" numFmtId="4">
    <oc r="L15">
      <v>6738.31</v>
    </oc>
    <nc r="L15">
      <f>L16+L17+L18+L20</f>
    </nc>
  </rcc>
  <rcc rId="11967" sId="23" numFmtId="4">
    <oc r="M15">
      <v>3595.14</v>
    </oc>
    <nc r="M15">
      <f>M16+M17+M18+M20</f>
    </nc>
  </rcc>
  <rcc rId="11968" sId="23" numFmtId="4">
    <oc r="N15">
      <v>5721.53</v>
    </oc>
    <nc r="N15">
      <f>N16+N17+N18+N20</f>
    </nc>
  </rcc>
  <rcc rId="11969" sId="23" numFmtId="4">
    <oc r="O15">
      <v>4581.09</v>
    </oc>
    <nc r="O15">
      <f>O16+O17+O18+O20</f>
    </nc>
  </rcc>
  <rcc rId="11970" sId="23" numFmtId="4">
    <oc r="P15">
      <v>6300.2099999999991</v>
    </oc>
    <nc r="P15">
      <f>P16+P17+P18+P20</f>
    </nc>
  </rcc>
  <rcc rId="11971" sId="23" numFmtId="4">
    <oc r="Q15">
      <v>4011.42</v>
    </oc>
    <nc r="Q15">
      <f>Q16+Q17+Q18+Q20</f>
    </nc>
  </rcc>
  <rcc rId="11972" sId="23" numFmtId="4">
    <oc r="R15">
      <v>11553.08</v>
    </oc>
    <nc r="R15">
      <f>R16+R17+R18+R20</f>
    </nc>
  </rcc>
  <rcc rId="11973" sId="23" numFmtId="4">
    <oc r="S15">
      <v>0</v>
    </oc>
    <nc r="S15">
      <f>S16+S17+S18+S20</f>
    </nc>
  </rcc>
  <rcc rId="11974" sId="23" numFmtId="4">
    <oc r="T15">
      <v>5809.39</v>
    </oc>
    <nc r="T15">
      <f>T16+T17+T18+T20</f>
    </nc>
  </rcc>
  <rcc rId="11975" sId="23" numFmtId="4">
    <oc r="U15">
      <v>0</v>
    </oc>
    <nc r="U15">
      <f>U16+U17+U18+U20</f>
    </nc>
  </rcc>
  <rcc rId="11976" sId="23" numFmtId="4">
    <oc r="V15">
      <v>5779.61</v>
    </oc>
    <nc r="V15">
      <f>V16+V17+V18+V20</f>
    </nc>
  </rcc>
  <rcc rId="11977" sId="23" numFmtId="4">
    <oc r="W15">
      <v>0</v>
    </oc>
    <nc r="W15">
      <f>W16+W17+W18+W20</f>
    </nc>
  </rcc>
  <rcc rId="11978" sId="23" numFmtId="4">
    <oc r="X15">
      <v>3520.33</v>
    </oc>
    <nc r="X15">
      <f>X16+X17+X18+X20</f>
    </nc>
  </rcc>
  <rcc rId="11979" sId="23" numFmtId="4">
    <oc r="Y15">
      <v>0</v>
    </oc>
    <nc r="Y15">
      <f>Y16+Y17+Y18+Y20</f>
    </nc>
  </rcc>
  <rcc rId="11980" sId="23" numFmtId="4">
    <oc r="Z15">
      <v>4565.5</v>
    </oc>
    <nc r="Z15">
      <f>Z16+Z17+Z18+Z20</f>
    </nc>
  </rcc>
  <rcc rId="11981" sId="23" numFmtId="4">
    <oc r="AA15">
      <v>0</v>
    </oc>
    <nc r="AA15">
      <f>AA16+AA17+AA18+AA20</f>
    </nc>
  </rcc>
  <rcc rId="11982" sId="23" numFmtId="4">
    <oc r="AB15">
      <v>4081.58</v>
    </oc>
    <nc r="AB15">
      <f>AB16+AB17+AB18+AB20</f>
    </nc>
  </rcc>
  <rcc rId="11983" sId="23" numFmtId="4">
    <oc r="AC15">
      <v>0</v>
    </oc>
    <nc r="AC15">
      <f>AC16+AC17+AC18+AC20</f>
    </nc>
  </rcc>
  <rcc rId="11984" sId="23" numFmtId="4">
    <oc r="AD15">
      <v>3925.89</v>
    </oc>
    <nc r="AD15">
      <f>AD16+AD17+AD18+AD20</f>
    </nc>
  </rcc>
  <rcc rId="11985" sId="23" numFmtId="4">
    <oc r="AE15">
      <v>0</v>
    </oc>
    <nc r="AE15">
      <f>AE16+AE17+AE18+AE20</f>
    </nc>
  </rcc>
  <rcc rId="11986" sId="23" odxf="1" dxf="1">
    <oc r="AG15">
      <f>C15-E15</f>
    </oc>
    <nc r="AG15"/>
    <odxf>
      <font>
        <color auto="1"/>
      </font>
      <numFmt numFmtId="4" formatCode="#,##0.00"/>
    </odxf>
    <ndxf>
      <font>
        <sz val="12"/>
        <color auto="1"/>
        <name val="Times New Roman"/>
        <scheme val="none"/>
      </font>
      <numFmt numFmtId="0" formatCode="General"/>
    </ndxf>
  </rcc>
  <rcc rId="11987" sId="23" numFmtId="4">
    <oc r="B16">
      <v>0</v>
    </oc>
    <nc r="B16">
      <f>H16+J16+L16+N16+P16+R16+T16+V16+X16+Z16+AB16+AD16</f>
    </nc>
  </rcc>
  <rcc rId="11988" sId="23" numFmtId="4">
    <oc r="C16">
      <v>0</v>
    </oc>
    <nc r="C16">
      <f>T16+R16+H16+J16+L16+N16+P16</f>
    </nc>
  </rcc>
  <rcc rId="11989" sId="23" numFmtId="4">
    <oc r="D16">
      <v>0</v>
    </oc>
    <nc r="D16">
      <f>E16</f>
    </nc>
  </rcc>
  <rcc rId="11990" sId="23" numFmtId="4">
    <oc r="E16">
      <v>0</v>
    </oc>
    <nc r="E16">
      <f>I16+K16+M16+O16+Q16+S16+U16+W16+Y16+AA16+AC16+AE16</f>
    </nc>
  </rcc>
  <rcc rId="11991" sId="23" numFmtId="4">
    <oc r="F16">
      <v>0</v>
    </oc>
    <nc r="F16">
      <f>IFERROR(E16/B16*100,0)</f>
    </nc>
  </rcc>
  <rcc rId="11992" sId="23" numFmtId="4">
    <oc r="G16">
      <v>0</v>
    </oc>
    <nc r="G16">
      <f>IFERROR(E16/C16*100,0)</f>
    </nc>
  </rcc>
  <rcc rId="11993" sId="23" odxf="1" dxf="1">
    <oc r="AG16">
      <f>C16-E16</f>
    </oc>
    <nc r="AG16"/>
    <odxf>
      <font>
        <color auto="1"/>
      </font>
      <numFmt numFmtId="4" formatCode="#,##0.00"/>
    </odxf>
    <ndxf>
      <font>
        <sz val="12"/>
        <color auto="1"/>
        <name val="Times New Roman"/>
        <scheme val="none"/>
      </font>
      <numFmt numFmtId="0" formatCode="General"/>
    </ndxf>
  </rcc>
  <rcc rId="11994" sId="23" numFmtId="4">
    <oc r="B17">
      <v>0</v>
    </oc>
    <nc r="B17">
      <f>H17+J17+L17+N17+P17+R17+T17+V17+X17+Z17+AB17+AD17</f>
    </nc>
  </rcc>
  <rcc rId="11995" sId="23" numFmtId="4">
    <oc r="C17">
      <v>0</v>
    </oc>
    <nc r="C17">
      <f>T17+R17+H17+J17+L17+N17+P17</f>
    </nc>
  </rcc>
  <rcc rId="11996" sId="23" numFmtId="4">
    <oc r="D17">
      <v>0</v>
    </oc>
    <nc r="D17">
      <f>E17</f>
    </nc>
  </rcc>
  <rcc rId="11997" sId="23" numFmtId="4">
    <oc r="E17">
      <v>0</v>
    </oc>
    <nc r="E17">
      <f>I17+K17+M17+O17+Q17+S17+U17+W17+Y17+AA17+AC17+AE17</f>
    </nc>
  </rcc>
  <rcc rId="11998" sId="23" numFmtId="4">
    <oc r="F17">
      <v>0</v>
    </oc>
    <nc r="F17">
      <f>IFERROR(E17/B17*100,0)</f>
    </nc>
  </rcc>
  <rcc rId="11999" sId="23" numFmtId="4">
    <oc r="G17">
      <v>0</v>
    </oc>
    <nc r="G17">
      <f>IFERROR(E17/C17*100,0)</f>
    </nc>
  </rcc>
  <rcc rId="12000" sId="23" odxf="1" dxf="1">
    <oc r="AG17">
      <f>C17-E17</f>
    </oc>
    <nc r="AG17"/>
    <odxf>
      <font>
        <color auto="1"/>
      </font>
      <numFmt numFmtId="4" formatCode="#,##0.00"/>
    </odxf>
    <ndxf>
      <font>
        <sz val="12"/>
        <color auto="1"/>
        <name val="Times New Roman"/>
        <scheme val="none"/>
      </font>
      <numFmt numFmtId="0" formatCode="General"/>
    </ndxf>
  </rcc>
  <rcc rId="12001" sId="23" numFmtId="4">
    <oc r="B18">
      <v>70294.86</v>
    </oc>
    <nc r="B18">
      <f>H18+J18+L18+N18+P18+R18+T18+V18+X18+Z18+AB18+AD18</f>
    </nc>
  </rcc>
  <rcc rId="12002" sId="23" numFmtId="4">
    <oc r="C18">
      <v>31059.48</v>
    </oc>
    <nc r="C18">
      <f>T18+R18+H18+J18+L18+N18+P18</f>
    </nc>
  </rcc>
  <rcc rId="12003" sId="23" numFmtId="4">
    <oc r="D18">
      <v>18218.82</v>
    </oc>
    <nc r="D18">
      <f>E18</f>
    </nc>
  </rcc>
  <rcc rId="12004" sId="23" numFmtId="4">
    <oc r="E18">
      <v>18218.82</v>
    </oc>
    <nc r="E18">
      <f>I18+K18+M18+O18+Q18+S18+U18+W18+Y18+AA18+AC18+AE18</f>
    </nc>
  </rcc>
  <rcc rId="12005" sId="23" numFmtId="4">
    <oc r="F18">
      <v>25.917712902479639</v>
    </oc>
    <nc r="F18">
      <f>IFERROR(E18/B18*100,0)</f>
    </nc>
  </rcc>
  <rcc rId="12006" sId="23" numFmtId="4">
    <oc r="G18">
      <v>58.657839732023845</v>
    </oc>
    <nc r="G18">
      <f>IFERROR(E18/C18*100,0)</f>
    </nc>
  </rcc>
  <rcc rId="12007" sId="23" numFmtId="4">
    <oc r="H18">
      <v>5009.18</v>
    </oc>
    <nc r="H18">
      <f>'D:\user\Documents\Программы\Сетевые графики\Отчет на 01.08.2024\[Сетевой график за июль.xlsx]КСАТ'!H19</f>
    </nc>
  </rcc>
  <rcc rId="12008" sId="23" numFmtId="4">
    <oc r="I18">
      <v>1954.18</v>
    </oc>
    <nc r="I18">
      <f>'D:\user\Documents\Программы\Сетевые графики\Отчет на 01.08.2024\[Сетевой график за июль.xlsx]КСАТ'!I19</f>
    </nc>
  </rcc>
  <rcc rId="12009" sId="23" numFmtId="4">
    <oc r="J18">
      <v>7290.25</v>
    </oc>
    <nc r="J18">
      <f>'D:\user\Documents\Программы\Сетевые графики\Отчет на 01.08.2024\[Сетевой график за июль.xlsx]КСАТ'!J19</f>
    </nc>
  </rcc>
  <rcc rId="12010" sId="23" numFmtId="4">
    <oc r="K18">
      <v>4076.99</v>
    </oc>
    <nc r="K18">
      <f>'D:\user\Documents\Программы\Сетевые графики\Отчет на 01.08.2024\[Сетевой график за июль.xlsx]КСАТ'!K19</f>
    </nc>
  </rcc>
  <rcc rId="12011" sId="23" numFmtId="4">
    <oc r="L18">
      <v>6738.31</v>
    </oc>
    <nc r="L18">
      <f>'D:\user\Documents\Программы\Сетевые графики\Отчет на 01.08.2024\[Сетевой график за июль.xlsx]КСАТ'!L19</f>
    </nc>
  </rcc>
  <rcc rId="12012" sId="23" numFmtId="4">
    <oc r="M18">
      <v>3595.14</v>
    </oc>
    <nc r="M18">
      <f>'D:\user\Documents\Программы\Сетевые графики\Отчет на 01.08.2024\[Сетевой график за июль.xlsx]КСАТ'!M19</f>
    </nc>
  </rcc>
  <rcc rId="12013" sId="23" numFmtId="4">
    <oc r="N18">
      <v>5721.53</v>
    </oc>
    <nc r="N18">
      <f>'D:\user\Documents\Программы\Сетевые графики\Отчет на 01.08.2024\[Сетевой график за июль.xlsx]КСАТ'!N19</f>
    </nc>
  </rcc>
  <rcc rId="12014" sId="23" numFmtId="4">
    <oc r="O18">
      <v>4581.09</v>
    </oc>
    <nc r="O18">
      <f>'D:\user\Documents\Программы\Сетевые графики\Отчет на 01.08.2024\[Сетевой график за июль.xlsx]КСАТ'!O19</f>
    </nc>
  </rcc>
  <rcc rId="12015" sId="23" numFmtId="4">
    <oc r="P18">
      <v>6300.2099999999991</v>
    </oc>
    <nc r="P18">
      <f>'D:\user\Documents\Программы\Сетевые графики\Отчет на 01.08.2024\[Сетевой график за июль.xlsx]КСАТ'!P19</f>
    </nc>
  </rcc>
  <rcc rId="12016" sId="23" numFmtId="4">
    <oc r="Q18">
      <v>4011.42</v>
    </oc>
    <nc r="Q18">
      <f>'D:\user\Documents\Программы\Сетевые графики\Отчет на 01.08.2024\[Сетевой график за июль.xlsx]КСАТ'!Q19</f>
    </nc>
  </rcc>
  <rcc rId="12017" sId="23" numFmtId="4">
    <oc r="R18">
      <v>11553.08</v>
    </oc>
    <nc r="R18">
      <f>'D:\user\Documents\Программы\Сетевые графики\Отчет на 01.08.2024\[Сетевой график за июль.xlsx]КСАТ'!R19</f>
    </nc>
  </rcc>
  <rcc rId="12018" sId="23" numFmtId="4">
    <oc r="S18">
      <v>0</v>
    </oc>
    <nc r="S18">
      <f>'D:\user\Documents\Программы\Сетевые графики\Отчет на 01.08.2024\[Сетевой график за июль.xlsx]КСАТ'!S19</f>
    </nc>
  </rcc>
  <rcc rId="12019" sId="23" numFmtId="4">
    <oc r="T18">
      <v>5809.39</v>
    </oc>
    <nc r="T18">
      <f>'D:\user\Documents\Программы\Сетевые графики\Отчет на 01.08.2024\[Сетевой график за июль.xlsx]КСАТ'!T19</f>
    </nc>
  </rcc>
  <rcc rId="12020" sId="23" numFmtId="4">
    <oc r="U18">
      <v>0</v>
    </oc>
    <nc r="U18">
      <f>'D:\user\Documents\Программы\Сетевые графики\Отчет на 01.08.2024\[Сетевой график за июль.xlsx]КСАТ'!U19</f>
    </nc>
  </rcc>
  <rcc rId="12021" sId="23" numFmtId="4">
    <oc r="V18">
      <v>5779.61</v>
    </oc>
    <nc r="V18">
      <f>'D:\user\Documents\Программы\Сетевые графики\Отчет на 01.08.2024\[Сетевой график за июль.xlsx]КСАТ'!V19</f>
    </nc>
  </rcc>
  <rcc rId="12022" sId="23" numFmtId="4">
    <oc r="W18">
      <v>0</v>
    </oc>
    <nc r="W18">
      <f>'D:\user\Documents\Программы\Сетевые графики\Отчет на 01.08.2024\[Сетевой график за июль.xlsx]КСАТ'!W19</f>
    </nc>
  </rcc>
  <rcc rId="12023" sId="23" numFmtId="4">
    <oc r="X18">
      <v>3520.33</v>
    </oc>
    <nc r="X18">
      <f>'D:\user\Documents\Программы\Сетевые графики\Отчет на 01.08.2024\[Сетевой график за июль.xlsx]КСАТ'!X19</f>
    </nc>
  </rcc>
  <rcc rId="12024" sId="23" numFmtId="4">
    <oc r="Y18">
      <v>0</v>
    </oc>
    <nc r="Y18">
      <f>'D:\user\Documents\Программы\Сетевые графики\Отчет на 01.08.2024\[Сетевой график за июль.xlsx]КСАТ'!Y19</f>
    </nc>
  </rcc>
  <rcc rId="12025" sId="23" numFmtId="4">
    <oc r="Z18">
      <v>4565.5</v>
    </oc>
    <nc r="Z18">
      <f>'D:\user\Documents\Программы\Сетевые графики\Отчет на 01.08.2024\[Сетевой график за июль.xlsx]КСАТ'!Z19</f>
    </nc>
  </rcc>
  <rcc rId="12026" sId="23" numFmtId="4">
    <oc r="AA18">
      <v>0</v>
    </oc>
    <nc r="AA18">
      <f>'D:\user\Documents\Программы\Сетевые графики\Отчет на 01.08.2024\[Сетевой график за июль.xlsx]КСАТ'!AA19</f>
    </nc>
  </rcc>
  <rcc rId="12027" sId="23" numFmtId="4">
    <oc r="AB18">
      <v>4081.58</v>
    </oc>
    <nc r="AB18">
      <f>'D:\user\Documents\Программы\Сетевые графики\Отчет на 01.08.2024\[Сетевой график за июль.xlsx]КСАТ'!AB19</f>
    </nc>
  </rcc>
  <rcc rId="12028" sId="23" numFmtId="4">
    <oc r="AC18">
      <v>0</v>
    </oc>
    <nc r="AC18">
      <f>'D:\user\Documents\Программы\Сетевые графики\Отчет на 01.08.2024\[Сетевой график за июль.xlsx]КСАТ'!AC19</f>
    </nc>
  </rcc>
  <rcc rId="12029" sId="23" numFmtId="4">
    <oc r="AD18">
      <v>3925.89</v>
    </oc>
    <nc r="AD18">
      <f>'D:\user\Documents\Программы\Сетевые графики\Отчет на 01.08.2024\[Сетевой график за июль.xlsx]КСАТ'!AD19</f>
    </nc>
  </rcc>
  <rcc rId="12030" sId="23" numFmtId="4">
    <oc r="AE18">
      <v>0</v>
    </oc>
    <nc r="AE18">
      <f>'D:\user\Documents\Программы\Сетевые графики\Отчет на 01.08.2024\[Сетевой график за июль.xlsx]КСАТ'!AE19</f>
    </nc>
  </rcc>
  <rcc rId="12031" sId="23" odxf="1" s="1" dxf="1">
    <oc r="AG18">
      <f>C18-E18</f>
    </oc>
    <nc r="AG18"/>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166" formatCode="#,##0_ ;[Red]\-#,##0\ "/>
      <alignment vertical="center" wrapText="1" readingOrder="0"/>
    </ndxf>
  </rcc>
  <rcc rId="12032" sId="23" numFmtId="4">
    <oc r="B19">
      <v>0</v>
    </oc>
    <nc r="B19">
      <f>H19+J19+L19+N19+P19+R19+T19+V19+X19+Z19+AB19+AD19</f>
    </nc>
  </rcc>
  <rcc rId="12033" sId="23" numFmtId="4">
    <oc r="C19">
      <v>0</v>
    </oc>
    <nc r="C19">
      <f>T19+R19+H19+J19+L19+N19+P19</f>
    </nc>
  </rcc>
  <rcc rId="12034" sId="23" numFmtId="4">
    <oc r="D19">
      <v>0</v>
    </oc>
    <nc r="D19">
      <f>E19</f>
    </nc>
  </rcc>
  <rcc rId="12035" sId="23" numFmtId="4">
    <oc r="E19">
      <v>0</v>
    </oc>
    <nc r="E19">
      <f>I19+K19+M19+O19+Q19+S19+U19+W19+Y19+AA19+AC19+AE19</f>
    </nc>
  </rcc>
  <rcc rId="12036" sId="23" numFmtId="4">
    <oc r="F19">
      <v>0</v>
    </oc>
    <nc r="F19">
      <f>IFERROR(E19/B19*100,0)</f>
    </nc>
  </rcc>
  <rcc rId="12037" sId="23" numFmtId="4">
    <oc r="G19">
      <v>0</v>
    </oc>
    <nc r="G19">
      <f>IFERROR(E19/C19*100,0)</f>
    </nc>
  </rcc>
  <rcc rId="12038" sId="23" odxf="1" dxf="1">
    <oc r="AG19">
      <f>C19-E19</f>
    </oc>
    <nc r="AG19"/>
    <odxf>
      <font>
        <color auto="1"/>
      </font>
      <numFmt numFmtId="4" formatCode="#,##0.00"/>
    </odxf>
    <ndxf>
      <font>
        <sz val="12"/>
        <color auto="1"/>
        <name val="Times New Roman"/>
        <scheme val="none"/>
      </font>
      <numFmt numFmtId="0" formatCode="General"/>
    </ndxf>
  </rcc>
  <rcc rId="12039" sId="23" numFmtId="4">
    <oc r="B20">
      <v>0</v>
    </oc>
    <nc r="B20">
      <f>H20+J20+L20+N20+P20+R20+T20+V20+X20+Z20+AB20+AD20</f>
    </nc>
  </rcc>
  <rcc rId="12040" sId="23" numFmtId="4">
    <oc r="C20">
      <v>0</v>
    </oc>
    <nc r="C20">
      <f>T20+R20+H20+J20+L20+N20+P20</f>
    </nc>
  </rcc>
  <rcc rId="12041" sId="23" numFmtId="4">
    <oc r="D20">
      <v>0</v>
    </oc>
    <nc r="D20">
      <f>E20</f>
    </nc>
  </rcc>
  <rcc rId="12042" sId="23" numFmtId="4">
    <oc r="E20">
      <v>0</v>
    </oc>
    <nc r="E20">
      <f>I20+K20+M20+O20+Q20+S20+U20+W20+Y20+AA20+AC20+AE20</f>
    </nc>
  </rcc>
  <rcc rId="12043" sId="23" numFmtId="4">
    <oc r="F20">
      <v>0</v>
    </oc>
    <nc r="F20">
      <f>IFERROR(E20/B20*100,0)</f>
    </nc>
  </rcc>
  <rcc rId="12044" sId="23" numFmtId="4">
    <oc r="G20">
      <v>0</v>
    </oc>
    <nc r="G20">
      <f>IFERROR(E20/C20*100,0)</f>
    </nc>
  </rcc>
  <rcc rId="12045" sId="23" odxf="1" dxf="1">
    <oc r="AG20">
      <f>C20-E20</f>
    </oc>
    <nc r="AG20"/>
    <odxf>
      <font>
        <color auto="1"/>
      </font>
      <numFmt numFmtId="4" formatCode="#,##0.00"/>
    </odxf>
    <ndxf>
      <font>
        <sz val="12"/>
        <color auto="1"/>
        <name val="Times New Roman"/>
        <scheme val="none"/>
      </font>
      <numFmt numFmtId="0" formatCode="General"/>
    </ndxf>
  </rcc>
  <rfmt sheetId="23" sqref="A21" start="0" length="0">
    <dxf>
      <alignment wrapText="1" readingOrder="0"/>
    </dxf>
  </rfmt>
  <rcc rId="12046" sId="23" odxf="1" dxf="1">
    <oc r="AG21">
      <f>C21-E21</f>
    </oc>
    <nc r="AG21"/>
    <odxf>
      <font>
        <color auto="1"/>
      </font>
      <numFmt numFmtId="4" formatCode="#,##0.00"/>
    </odxf>
    <ndxf>
      <font>
        <sz val="12"/>
        <color auto="1"/>
        <name val="Times New Roman"/>
        <scheme val="none"/>
      </font>
      <numFmt numFmtId="0" formatCode="General"/>
    </ndxf>
  </rcc>
  <rcc rId="12047" sId="23" numFmtId="4">
    <oc r="B22">
      <v>40890.230000000003</v>
    </oc>
    <nc r="B22">
      <f>B25+B23+B24+B27</f>
    </nc>
  </rcc>
  <rcc rId="12048" sId="23" numFmtId="4">
    <oc r="C22">
      <v>40290.33</v>
    </oc>
    <nc r="C22">
      <f>C25+C23+C24+C27</f>
    </nc>
  </rcc>
  <rcc rId="12049" sId="23" numFmtId="4">
    <oc r="D22">
      <v>38639.329000000005</v>
    </oc>
    <nc r="D22">
      <f>D25+D23+D24+D27</f>
    </nc>
  </rcc>
  <rcc rId="12050" sId="23" numFmtId="4">
    <oc r="E22">
      <v>38639.329000000005</v>
    </oc>
    <nc r="E22">
      <f>E25+E23+E24+E27</f>
    </nc>
  </rcc>
  <rcc rId="12051" sId="23" numFmtId="4">
    <oc r="F22">
      <v>94.495259625587821</v>
    </oc>
    <nc r="F22">
      <f>IFERROR(E22/B22*100,0)</f>
    </nc>
  </rcc>
  <rcc rId="12052" sId="23" numFmtId="4">
    <oc r="G22">
      <v>95.902240066040662</v>
    </oc>
    <nc r="G22">
      <f>IFERROR(E22/C22*100,0)</f>
    </nc>
  </rcc>
  <rcc rId="12053" sId="23" numFmtId="4">
    <oc r="H22">
      <v>0</v>
    </oc>
    <nc r="H22">
      <f>H25+H23+H24+H27</f>
    </nc>
  </rcc>
  <rcc rId="12054" sId="23" numFmtId="4">
    <oc r="I22">
      <v>0</v>
    </oc>
    <nc r="I22">
      <f>I25+I23+I24+I27</f>
    </nc>
  </rcc>
  <rcc rId="12055" sId="23" numFmtId="4">
    <oc r="J22">
      <v>9686.92</v>
    </oc>
    <nc r="J22">
      <f>J25+J23+J24+J27</f>
    </nc>
  </rcc>
  <rcc rId="12056" sId="23" numFmtId="4">
    <oc r="K22">
      <v>9686.9189999999999</v>
    </oc>
    <nc r="K22">
      <f>K25+K23+K24+K27</f>
    </nc>
  </rcc>
  <rcc rId="12057" sId="23" numFmtId="4">
    <oc r="L22">
      <v>11495.67</v>
    </oc>
    <nc r="L22">
      <f>L25+L23+L24+L27</f>
    </nc>
  </rcc>
  <rcc rId="12058" sId="23" numFmtId="4">
    <oc r="M22">
      <v>12098.04</v>
    </oc>
    <nc r="M22">
      <f>M25+M23+M24+M27</f>
    </nc>
  </rcc>
  <rcc rId="12059" sId="23" numFmtId="4">
    <oc r="N22">
      <v>13902.47</v>
    </oc>
    <nc r="N22">
      <f>N25+N23+N24+N27</f>
    </nc>
  </rcc>
  <rcc rId="12060" sId="23" numFmtId="4">
    <oc r="O22">
      <v>11450</v>
    </oc>
    <nc r="O22">
      <f>O25+O23+O24+O27</f>
    </nc>
  </rcc>
  <rcc rId="12061" sId="23" numFmtId="4">
    <oc r="P22">
      <v>5205.2700000000004</v>
    </oc>
    <nc r="P22">
      <f>P25+P23+P24+P27</f>
    </nc>
  </rcc>
  <rcc rId="12062" sId="23" numFmtId="4">
    <oc r="Q22">
      <v>5404.37</v>
    </oc>
    <nc r="Q22">
      <f>Q25+Q23+Q24+Q27</f>
    </nc>
  </rcc>
  <rcc rId="12063" sId="23" numFmtId="4">
    <oc r="R22">
      <v>0</v>
    </oc>
    <nc r="R22">
      <f>R25+R23+R24+R27</f>
    </nc>
  </rcc>
  <rcc rId="12064" sId="23" numFmtId="4">
    <oc r="S22">
      <v>0</v>
    </oc>
    <nc r="S22">
      <f>S25+S23+S24+S27</f>
    </nc>
  </rcc>
  <rcc rId="12065" sId="23" numFmtId="4">
    <oc r="T22">
      <v>0</v>
    </oc>
    <nc r="T22">
      <f>T25+T23+T24+T27</f>
    </nc>
  </rcc>
  <rcc rId="12066" sId="23" numFmtId="4">
    <oc r="U22">
      <v>0</v>
    </oc>
    <nc r="U22">
      <f>U25+U23+U24+U27</f>
    </nc>
  </rcc>
  <rcc rId="12067" sId="23" numFmtId="4">
    <oc r="V22">
      <v>0</v>
    </oc>
    <nc r="V22">
      <f>V25+V23+V24+V27</f>
    </nc>
  </rcc>
  <rcc rId="12068" sId="23" numFmtId="4">
    <oc r="W22">
      <v>0</v>
    </oc>
    <nc r="W22">
      <f>W25+W23+W24+W27</f>
    </nc>
  </rcc>
  <rcc rId="12069" sId="23" numFmtId="4">
    <oc r="X22">
      <v>0</v>
    </oc>
    <nc r="X22">
      <f>X25+X23+X24+X27</f>
    </nc>
  </rcc>
  <rcc rId="12070" sId="23" numFmtId="4">
    <oc r="Y22">
      <v>0</v>
    </oc>
    <nc r="Y22">
      <f>Y25+Y23+Y24+Y27</f>
    </nc>
  </rcc>
  <rcc rId="12071" sId="23" numFmtId="4">
    <oc r="Z22">
      <v>0</v>
    </oc>
    <nc r="Z22">
      <f>Z25+Z23+Z24+Z27</f>
    </nc>
  </rcc>
  <rcc rId="12072" sId="23" numFmtId="4">
    <oc r="AA22">
      <v>0</v>
    </oc>
    <nc r="AA22">
      <f>AA25+AA23+AA24+AA27</f>
    </nc>
  </rcc>
  <rcc rId="12073" sId="23" numFmtId="4">
    <oc r="AB22">
      <v>0</v>
    </oc>
    <nc r="AB22">
      <f>AB25+AB23+AB24+AB27</f>
    </nc>
  </rcc>
  <rcc rId="12074" sId="23" numFmtId="4">
    <oc r="AC22">
      <v>0</v>
    </oc>
    <nc r="AC22">
      <f>AC25+AC23+AC24+AC27</f>
    </nc>
  </rcc>
  <rcc rId="12075" sId="23" numFmtId="4">
    <oc r="AD22">
      <v>599.9</v>
    </oc>
    <nc r="AD22">
      <f>AD25+AD23+AD24+AD27</f>
    </nc>
  </rcc>
  <rcc rId="12076" sId="23" numFmtId="4">
    <oc r="AE22">
      <v>0</v>
    </oc>
    <nc r="AE22">
      <f>AE25+AE23+AE24+AE27</f>
    </nc>
  </rcc>
  <rcc rId="12077" sId="23" odxf="1" dxf="1">
    <oc r="AG22">
      <f>C22-E22</f>
    </oc>
    <nc r="AG22"/>
    <odxf>
      <font>
        <color auto="1"/>
      </font>
      <numFmt numFmtId="4" formatCode="#,##0.00"/>
    </odxf>
    <ndxf>
      <font>
        <sz val="12"/>
        <color auto="1"/>
        <name val="Times New Roman"/>
        <scheme val="none"/>
      </font>
      <numFmt numFmtId="0" formatCode="General"/>
    </ndxf>
  </rcc>
  <rcc rId="12078" sId="23" numFmtId="4">
    <oc r="B23">
      <v>0</v>
    </oc>
    <nc r="B23">
      <f>H23+J23+L23+N23+P23+R23+T23+V23+X23+Z23+AB23+AD23</f>
    </nc>
  </rcc>
  <rcc rId="12079" sId="23" numFmtId="4">
    <oc r="C23">
      <v>0</v>
    </oc>
    <nc r="C23">
      <f>T23+R23+H23+J23+L23+N23+P23</f>
    </nc>
  </rcc>
  <rcc rId="12080" sId="23" numFmtId="4">
    <oc r="D23">
      <v>0</v>
    </oc>
    <nc r="D23">
      <f>E23</f>
    </nc>
  </rcc>
  <rcc rId="12081" sId="23" numFmtId="4">
    <oc r="E23">
      <v>0</v>
    </oc>
    <nc r="E23">
      <f>I23+K23+M23+O23+Q23+S23+U23+W23+Y23+AA23+AC23+AE23</f>
    </nc>
  </rcc>
  <rcc rId="12082" sId="23" numFmtId="4">
    <oc r="F23">
      <v>0</v>
    </oc>
    <nc r="F23">
      <f>IFERROR(E23/B23*100,0)</f>
    </nc>
  </rcc>
  <rcc rId="12083" sId="23" numFmtId="4">
    <oc r="G23">
      <v>0</v>
    </oc>
    <nc r="G23">
      <f>IFERROR(E23/C23*100,0)</f>
    </nc>
  </rcc>
  <rcc rId="12084" sId="23" odxf="1" dxf="1">
    <oc r="AG23">
      <f>C23-E23</f>
    </oc>
    <nc r="AG23"/>
    <odxf>
      <font>
        <color auto="1"/>
      </font>
      <numFmt numFmtId="4" formatCode="#,##0.00"/>
    </odxf>
    <ndxf>
      <font>
        <sz val="12"/>
        <color auto="1"/>
        <name val="Times New Roman"/>
        <scheme val="none"/>
      </font>
      <numFmt numFmtId="0" formatCode="General"/>
    </ndxf>
  </rcc>
  <rcc rId="12085" sId="23" numFmtId="4">
    <oc r="B24">
      <v>0</v>
    </oc>
    <nc r="B24">
      <f>H24+J24+L24+N24+P24+R24+T24+V24+X24+Z24+AB24+AD24</f>
    </nc>
  </rcc>
  <rcc rId="12086" sId="23" numFmtId="4">
    <oc r="C24">
      <v>0</v>
    </oc>
    <nc r="C24">
      <f>T24+R24+H24+J24+L24+N24+P24</f>
    </nc>
  </rcc>
  <rcc rId="12087" sId="23" numFmtId="4">
    <oc r="D24">
      <v>0</v>
    </oc>
    <nc r="D24">
      <f>E24</f>
    </nc>
  </rcc>
  <rcc rId="12088" sId="23" numFmtId="4">
    <oc r="E24">
      <v>0</v>
    </oc>
    <nc r="E24">
      <f>I24+K24+M24+O24+Q24+S24+U24+W24+Y24+AA24+AC24+AE24</f>
    </nc>
  </rcc>
  <rcc rId="12089" sId="23" numFmtId="4">
    <oc r="F24">
      <v>0</v>
    </oc>
    <nc r="F24">
      <f>IFERROR(E24/B24*100,0)</f>
    </nc>
  </rcc>
  <rcc rId="12090" sId="23" numFmtId="4">
    <oc r="G24">
      <v>0</v>
    </oc>
    <nc r="G24">
      <f>IFERROR(E24/C24*100,0)</f>
    </nc>
  </rcc>
  <rcc rId="12091" sId="23" odxf="1" dxf="1">
    <oc r="AG24">
      <f>C24-E24</f>
    </oc>
    <nc r="AG24"/>
    <odxf>
      <font>
        <color auto="1"/>
      </font>
      <numFmt numFmtId="4" formatCode="#,##0.00"/>
    </odxf>
    <ndxf>
      <font>
        <sz val="12"/>
        <color auto="1"/>
        <name val="Times New Roman"/>
        <scheme val="none"/>
      </font>
      <numFmt numFmtId="0" formatCode="General"/>
    </ndxf>
  </rcc>
  <rcc rId="12092" sId="23" numFmtId="34">
    <oc r="B25">
      <v>40890.230000000003</v>
    </oc>
    <nc r="B25">
      <v>47214.93</v>
    </nc>
  </rcc>
  <rcc rId="12093" sId="23" numFmtId="34">
    <oc r="D25">
      <v>38639.329000000005</v>
    </oc>
    <nc r="D25">
      <v>39975.57</v>
    </nc>
  </rcc>
  <rcc rId="12094" sId="23" numFmtId="34">
    <oc r="E25">
      <v>38639.329000000005</v>
    </oc>
    <nc r="E25">
      <v>39975.57</v>
    </nc>
  </rcc>
  <rcc rId="12095" sId="23" numFmtId="34">
    <oc r="F25">
      <v>94.495259625587821</v>
    </oc>
    <nc r="F25">
      <v>84.667222846671592</v>
    </nc>
  </rcc>
  <rcc rId="12096" sId="23" numFmtId="34">
    <oc r="G25">
      <v>95.902240066040662</v>
    </oc>
    <nc r="G25">
      <v>99.218770360034284</v>
    </nc>
  </rcc>
  <rcc rId="12097" sId="23" odxf="1" dxf="1" numFmtId="34">
    <oc r="K25">
      <v>9686.9189999999999</v>
    </oc>
    <nc r="K25">
      <v>9082.67</v>
    </nc>
    <odxf>
      <fill>
        <patternFill patternType="solid">
          <bgColor theme="0"/>
        </patternFill>
      </fill>
    </odxf>
    <ndxf>
      <fill>
        <patternFill patternType="none">
          <bgColor indexed="65"/>
        </patternFill>
      </fill>
    </ndxf>
  </rcc>
  <rcc rId="12098" sId="23" numFmtId="34">
    <oc r="S25">
      <v>0</v>
    </oc>
    <nc r="S25">
      <v>1940.49</v>
    </nc>
  </rcc>
  <rcc rId="12099" sId="23" numFmtId="34">
    <oc r="AD25">
      <v>599.9</v>
    </oc>
    <nc r="AD25">
      <v>6924.5999999999995</v>
    </nc>
  </rcc>
  <rcc rId="12100" sId="23" odxf="1" s="1" dxf="1">
    <oc r="AG25">
      <f>C25-E25</f>
    </oc>
    <nc r="AG25"/>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166" formatCode="#,##0_ ;[Red]\-#,##0\ "/>
      <alignment vertical="center" wrapText="1" readingOrder="0"/>
    </ndxf>
  </rcc>
  <rcc rId="12101" sId="23" numFmtId="4">
    <oc r="B26">
      <v>0</v>
    </oc>
    <nc r="B26">
      <f>H26+J26+L26+N26+P26+R26+T26+V26+X26+Z26+AB26+AD26</f>
    </nc>
  </rcc>
  <rcc rId="12102" sId="23" numFmtId="4">
    <oc r="C26">
      <v>0</v>
    </oc>
    <nc r="C26">
      <f>T26+R26+H26+J26+L26+N26+P26</f>
    </nc>
  </rcc>
  <rcc rId="12103" sId="23" numFmtId="4">
    <oc r="D26">
      <v>0</v>
    </oc>
    <nc r="D26">
      <f>E26</f>
    </nc>
  </rcc>
  <rcc rId="12104" sId="23" numFmtId="4">
    <oc r="E26">
      <v>0</v>
    </oc>
    <nc r="E26">
      <f>I26+K26+M26+O26+Q26+S26+U26+W26+Y26+AA26+AC26+AE26</f>
    </nc>
  </rcc>
  <rcc rId="12105" sId="23" numFmtId="4">
    <oc r="F26">
      <v>0</v>
    </oc>
    <nc r="F26">
      <f>IFERROR(E26/B26*100,0)</f>
    </nc>
  </rcc>
  <rcc rId="12106" sId="23" numFmtId="4">
    <oc r="G26">
      <v>0</v>
    </oc>
    <nc r="G26">
      <f>IFERROR(E26/C26*100,0)</f>
    </nc>
  </rcc>
  <rcc rId="12107" sId="23" odxf="1" dxf="1">
    <oc r="AG26">
      <f>C26-E26</f>
    </oc>
    <nc r="AG26"/>
    <odxf>
      <font>
        <color auto="1"/>
      </font>
      <numFmt numFmtId="4" formatCode="#,##0.00"/>
    </odxf>
    <ndxf>
      <font>
        <sz val="12"/>
        <color auto="1"/>
        <name val="Times New Roman"/>
        <scheme val="none"/>
      </font>
      <numFmt numFmtId="0" formatCode="General"/>
    </ndxf>
  </rcc>
  <rcc rId="12108" sId="23" numFmtId="4">
    <oc r="B27">
      <v>0</v>
    </oc>
    <nc r="B27">
      <f>H27+J27+L27+N27+P27+R27+T27+V27+X27+Z27+AB27+AD27</f>
    </nc>
  </rcc>
  <rcc rId="12109" sId="23" numFmtId="4">
    <oc r="C27">
      <v>0</v>
    </oc>
    <nc r="C27">
      <f>T27+R27+H27+J27+L27+N27+P27</f>
    </nc>
  </rcc>
  <rcc rId="12110" sId="23" numFmtId="4">
    <oc r="D27">
      <v>0</v>
    </oc>
    <nc r="D27">
      <f>E27</f>
    </nc>
  </rcc>
  <rcc rId="12111" sId="23" numFmtId="4">
    <oc r="E27">
      <v>0</v>
    </oc>
    <nc r="E27">
      <f>I27+K27+M27+O27+Q27+S27+U27+W27+Y27+AA27+AC27+AE27</f>
    </nc>
  </rcc>
  <rcc rId="12112" sId="23" numFmtId="4">
    <oc r="F27">
      <v>0</v>
    </oc>
    <nc r="F27">
      <f>IFERROR(E27/B27*100,0)</f>
    </nc>
  </rcc>
  <rcc rId="12113" sId="23" numFmtId="4">
    <oc r="G27">
      <v>0</v>
    </oc>
    <nc r="G27">
      <f>IFERROR(E27/C27*100,0)</f>
    </nc>
  </rcc>
  <rcc rId="12114" sId="23" odxf="1" dxf="1">
    <oc r="AG27">
      <f>C27-E27</f>
    </oc>
    <nc r="AG27"/>
    <odxf>
      <font>
        <color auto="1"/>
      </font>
      <numFmt numFmtId="4" formatCode="#,##0.00"/>
    </odxf>
    <ndxf>
      <font>
        <sz val="12"/>
        <color auto="1"/>
        <name val="Times New Roman"/>
        <scheme val="none"/>
      </font>
      <numFmt numFmtId="0" formatCode="General"/>
    </ndxf>
  </rcc>
  <rfmt sheetId="23" sqref="A28" start="0" length="0">
    <dxf>
      <alignment wrapText="1" readingOrder="0"/>
    </dxf>
  </rfmt>
  <rcc rId="12115" sId="23" odxf="1" dxf="1">
    <oc r="AG28">
      <f>C28-E28</f>
    </oc>
    <nc r="AG28"/>
    <odxf>
      <font>
        <color auto="1"/>
      </font>
      <numFmt numFmtId="4" formatCode="#,##0.00"/>
    </odxf>
    <ndxf>
      <font>
        <sz val="12"/>
        <color auto="1"/>
        <name val="Times New Roman"/>
        <scheme val="none"/>
      </font>
      <numFmt numFmtId="0" formatCode="General"/>
    </ndxf>
  </rcc>
  <rcc rId="12116" sId="23" numFmtId="4">
    <oc r="B29">
      <v>23511.5</v>
    </oc>
    <nc r="B29">
      <f>B30+B31+B34+B32</f>
    </nc>
  </rcc>
  <rcc rId="12117" sId="23" numFmtId="4">
    <oc r="C29">
      <v>3342.1499999999996</v>
    </oc>
    <nc r="C29">
      <f>C30+C31+C34+C32</f>
    </nc>
  </rcc>
  <rcc rId="12118" sId="23" numFmtId="4">
    <oc r="D29">
      <v>3270.8</v>
    </oc>
    <nc r="D29">
      <f>D30+D31+D34+D32</f>
    </nc>
  </rcc>
  <rcc rId="12119" sId="23" numFmtId="4">
    <oc r="E29">
      <v>3270.8</v>
    </oc>
    <nc r="E29">
      <f>E30+E31+E34+E32</f>
    </nc>
  </rcc>
  <rcc rId="12120" sId="23" numFmtId="4">
    <oc r="F29">
      <v>13.911490121855262</v>
    </oc>
    <nc r="F29">
      <f>IFERROR(E29/B29*100,0)</f>
    </nc>
  </rcc>
  <rcc rId="12121" sId="23" numFmtId="4">
    <oc r="G29">
      <v>97.865146687012867</v>
    </oc>
    <nc r="G29">
      <f>IFERROR(E29/C29*100,0)</f>
    </nc>
  </rcc>
  <rcc rId="12122" sId="23" numFmtId="4">
    <oc r="H29">
      <v>139.28</v>
    </oc>
    <nc r="H29">
      <f>H30+H31+H34+H32</f>
    </nc>
  </rcc>
  <rcc rId="12123" sId="23" numFmtId="4">
    <oc r="I29">
      <v>58.84</v>
    </oc>
    <nc r="I29">
      <f>I30+I31+I34+I32</f>
    </nc>
  </rcc>
  <rcc rId="12124" sId="23" numFmtId="4">
    <oc r="J29">
      <v>130.86000000000001</v>
    </oc>
    <nc r="J29">
      <f>J30+J31+J34+J32</f>
    </nc>
  </rcc>
  <rcc rId="12125" sId="23" numFmtId="4">
    <oc r="K29">
      <v>95.47</v>
    </oc>
    <nc r="K29">
      <f>K30+K31+K34+K32</f>
    </nc>
  </rcc>
  <rcc rId="12126" sId="23" numFmtId="4">
    <oc r="L29">
      <v>2107.2199999999998</v>
    </oc>
    <nc r="L29">
      <f>L30+L31+L34+L32</f>
    </nc>
  </rcc>
  <rcc rId="12127" sId="23" numFmtId="4">
    <oc r="M29">
      <v>2164.06</v>
    </oc>
    <nc r="M29">
      <f>M30+M31+M34+M32</f>
    </nc>
  </rcc>
  <rcc rId="12128" sId="23" numFmtId="4">
    <oc r="N29">
      <v>630.32000000000005</v>
    </oc>
    <nc r="N29">
      <f>N30+N31+N34+N32</f>
    </nc>
  </rcc>
  <rcc rId="12129" sId="23" numFmtId="4">
    <oc r="O29">
      <v>620.46</v>
    </oc>
    <nc r="O29">
      <f>O30+O31+O34+O32</f>
    </nc>
  </rcc>
  <rcc rId="12130" sId="23" numFmtId="4">
    <oc r="P29">
      <v>334.47</v>
    </oc>
    <nc r="P29">
      <f>P30+P31+P34+P32</f>
    </nc>
  </rcc>
  <rcc rId="12131" sId="23" numFmtId="4">
    <oc r="Q29">
      <v>331.97</v>
    </oc>
    <nc r="Q29">
      <f>Q30+Q31+Q34+Q32</f>
    </nc>
  </rcc>
  <rcc rId="12132" sId="23" numFmtId="4">
    <oc r="R29">
      <v>342.8</v>
    </oc>
    <nc r="R29">
      <f>R30+R31+R34+R32</f>
    </nc>
  </rcc>
  <rcc rId="12133" sId="23" numFmtId="4">
    <oc r="S29">
      <v>0</v>
    </oc>
    <nc r="S29">
      <f>S30+S31+S34+S32</f>
    </nc>
  </rcc>
  <rcc rId="12134" sId="23" numFmtId="4">
    <oc r="T29">
      <v>941.01</v>
    </oc>
    <nc r="T29">
      <f>T30+T31+T34+T32</f>
    </nc>
  </rcc>
  <rcc rId="12135" sId="23" numFmtId="4">
    <oc r="U29">
      <v>0</v>
    </oc>
    <nc r="U29">
      <f>U30+U31+U34+U32</f>
    </nc>
  </rcc>
  <rcc rId="12136" sId="23" numFmtId="4">
    <oc r="V29">
      <v>564.72</v>
    </oc>
    <nc r="V29">
      <f>V30+V31+V34+V32</f>
    </nc>
  </rcc>
  <rcc rId="12137" sId="23" numFmtId="4">
    <oc r="W29">
      <v>0</v>
    </oc>
    <nc r="W29">
      <f>W30+W31+W34+W32</f>
    </nc>
  </rcc>
  <rcc rId="12138" sId="23" numFmtId="4">
    <oc r="X29">
      <v>1004.76</v>
    </oc>
    <nc r="X29">
      <f>X30+X31+X34+X32</f>
    </nc>
  </rcc>
  <rcc rId="12139" sId="23" numFmtId="4">
    <oc r="Y29">
      <v>0</v>
    </oc>
    <nc r="Y29">
      <f>Y30+Y31+Y34+Y32</f>
    </nc>
  </rcc>
  <rcc rId="12140" sId="23" numFmtId="4">
    <oc r="Z29">
      <v>14523.88</v>
    </oc>
    <nc r="Z29">
      <f>Z30+Z31+Z34+Z32</f>
    </nc>
  </rcc>
  <rcc rId="12141" sId="23" numFmtId="4">
    <oc r="AA29">
      <v>0</v>
    </oc>
    <nc r="AA29">
      <f>AA30+AA31+AA34+AA32</f>
    </nc>
  </rcc>
  <rcc rId="12142" sId="23" numFmtId="4">
    <oc r="AB29">
      <v>122.97</v>
    </oc>
    <nc r="AB29">
      <f>AB30+AB31+AB34+AB32</f>
    </nc>
  </rcc>
  <rcc rId="12143" sId="23" numFmtId="4">
    <oc r="AC29">
      <v>0</v>
    </oc>
    <nc r="AC29">
      <f>AC30+AC31+AC34+AC32</f>
    </nc>
  </rcc>
  <rcc rId="12144" sId="23" numFmtId="4">
    <oc r="AD29">
      <v>2669.21</v>
    </oc>
    <nc r="AD29">
      <f>AD30+AD31+AD34+AD32</f>
    </nc>
  </rcc>
  <rcc rId="12145" sId="23" numFmtId="4">
    <oc r="AE29">
      <v>0</v>
    </oc>
    <nc r="AE29">
      <f>AE30+AE31+AE34+AE32</f>
    </nc>
  </rcc>
  <rcc rId="12146" sId="23" odxf="1" dxf="1">
    <oc r="AG29">
      <f>C29-E29</f>
    </oc>
    <nc r="AG29"/>
    <odxf>
      <font>
        <color auto="1"/>
      </font>
      <numFmt numFmtId="4" formatCode="#,##0.00"/>
    </odxf>
    <ndxf>
      <font>
        <sz val="12"/>
        <color auto="1"/>
        <name val="Times New Roman"/>
        <scheme val="none"/>
      </font>
      <numFmt numFmtId="0" formatCode="General"/>
    </ndxf>
  </rcc>
  <rcc rId="12147" sId="23" numFmtId="4">
    <oc r="B30">
      <v>0</v>
    </oc>
    <nc r="B30">
      <f>H30+J30+L30+N30+P30+R30+T30+V30+X30+Z30+AB30+AD30</f>
    </nc>
  </rcc>
  <rcc rId="12148" sId="23" numFmtId="4">
    <oc r="C30">
      <v>0</v>
    </oc>
    <nc r="C30">
      <f>T30+R30+H30+J30+L30+N30+P30</f>
    </nc>
  </rcc>
  <rcc rId="12149" sId="23" numFmtId="4">
    <oc r="D30">
      <v>0</v>
    </oc>
    <nc r="D30">
      <f>E30</f>
    </nc>
  </rcc>
  <rcc rId="12150" sId="23" numFmtId="4">
    <oc r="E30">
      <v>0</v>
    </oc>
    <nc r="E30">
      <f>I30+K30+M30+O30+Q30+S30+U30+W30+Y30+AA30+AC30+AE30</f>
    </nc>
  </rcc>
  <rcc rId="12151" sId="23" numFmtId="4">
    <oc r="F30">
      <v>0</v>
    </oc>
    <nc r="F30">
      <f>IFERROR(E30/B30*100,0)</f>
    </nc>
  </rcc>
  <rcc rId="12152" sId="23" numFmtId="4">
    <oc r="G30">
      <v>0</v>
    </oc>
    <nc r="G30">
      <f>IFERROR(E30/C30*100,0)</f>
    </nc>
  </rcc>
  <rcc rId="12153" sId="23" odxf="1" dxf="1">
    <oc r="AG30">
      <f>C30-E30</f>
    </oc>
    <nc r="AG30"/>
    <odxf>
      <font>
        <color auto="1"/>
      </font>
      <numFmt numFmtId="4" formatCode="#,##0.00"/>
    </odxf>
    <ndxf>
      <font>
        <sz val="12"/>
        <color auto="1"/>
        <name val="Times New Roman"/>
        <scheme val="none"/>
      </font>
      <numFmt numFmtId="0" formatCode="General"/>
    </ndxf>
  </rcc>
  <rcc rId="12154" sId="23" numFmtId="4">
    <oc r="B31">
      <v>0</v>
    </oc>
    <nc r="B31">
      <f>H31+J31+L31+N31+P31+R31+T31+V31+X31+Z31+AB31+AD31</f>
    </nc>
  </rcc>
  <rcc rId="12155" sId="23" numFmtId="4">
    <oc r="C31">
      <v>0</v>
    </oc>
    <nc r="C31">
      <f>T31+R31+H31+J31+L31+N31+P31</f>
    </nc>
  </rcc>
  <rcc rId="12156" sId="23" numFmtId="4">
    <oc r="D31">
      <v>0</v>
    </oc>
    <nc r="D31">
      <f>E31</f>
    </nc>
  </rcc>
  <rcc rId="12157" sId="23" numFmtId="4">
    <oc r="E31">
      <v>0</v>
    </oc>
    <nc r="E31">
      <f>I31+K31+M31+O31+Q31+S31+U31+W31+Y31+AA31+AC31+AE31</f>
    </nc>
  </rcc>
  <rcc rId="12158" sId="23" numFmtId="4">
    <oc r="F31">
      <v>0</v>
    </oc>
    <nc r="F31">
      <f>IFERROR(E31/B31*100,0)</f>
    </nc>
  </rcc>
  <rcc rId="12159" sId="23" numFmtId="4">
    <oc r="G31">
      <v>0</v>
    </oc>
    <nc r="G31">
      <f>IFERROR(E31/C31*100,0)</f>
    </nc>
  </rcc>
  <rcc rId="12160" sId="23" odxf="1" dxf="1">
    <oc r="AG31">
      <f>C31-E31</f>
    </oc>
    <nc r="AG31"/>
    <odxf>
      <font>
        <color auto="1"/>
      </font>
      <numFmt numFmtId="4" formatCode="#,##0.00"/>
    </odxf>
    <ndxf>
      <font>
        <sz val="12"/>
        <color auto="1"/>
        <name val="Times New Roman"/>
        <scheme val="none"/>
      </font>
      <numFmt numFmtId="0" formatCode="General"/>
    </ndxf>
  </rcc>
  <rcc rId="12161" sId="23" numFmtId="34">
    <oc r="B32">
      <v>23511.5</v>
    </oc>
    <nc r="B32">
      <f>H32+J32+L32+N32+P32+R32+T32+V32+X32+Z32+AB32+AD32</f>
    </nc>
  </rcc>
  <rcc rId="12162" sId="23" numFmtId="4">
    <oc r="C32">
      <v>3342.1499999999996</v>
    </oc>
    <nc r="C32">
      <f>T32+R32+H32+J32+L32+N32+P32</f>
    </nc>
  </rcc>
  <rcc rId="12163" sId="23" numFmtId="34">
    <oc r="D32">
      <v>3270.8</v>
    </oc>
    <nc r="D32">
      <f>E32</f>
    </nc>
  </rcc>
  <rcc rId="12164" sId="23" numFmtId="34">
    <oc r="E32">
      <v>3270.8</v>
    </oc>
    <nc r="E32">
      <f>I32+K32+M32+O32+Q32+S32+U32+W32+Y32+AA32+AC32+AE32</f>
    </nc>
  </rcc>
  <rcc rId="12165" sId="23" numFmtId="34">
    <oc r="F32">
      <v>13.911490121855262</v>
    </oc>
    <nc r="F32">
      <f>E32/B32*100</f>
    </nc>
  </rcc>
  <rcc rId="12166" sId="23" numFmtId="34">
    <oc r="G32">
      <v>97.865146687012867</v>
    </oc>
    <nc r="G32">
      <f>E32/C32*100</f>
    </nc>
  </rcc>
  <rcc rId="12167" sId="23" numFmtId="34">
    <oc r="H32">
      <v>139.28</v>
    </oc>
    <nc r="H32">
      <f>'D:\user\Documents\Программы\Сетевые графики\Отчет на 01.08.2024\[Сетевой график за июль.xlsx]УКС'!H25</f>
    </nc>
  </rcc>
  <rcc rId="12168" sId="23" numFmtId="34">
    <oc r="I32">
      <v>58.84</v>
    </oc>
    <nc r="I32">
      <f>'D:\user\Documents\Программы\Сетевые графики\Отчет на 01.08.2024\[Сетевой график за июль.xlsx]УКС'!I25</f>
    </nc>
  </rcc>
  <rcc rId="12169" sId="23" numFmtId="34">
    <oc r="J32">
      <v>130.86000000000001</v>
    </oc>
    <nc r="J32">
      <f>'D:\user\Documents\Программы\Сетевые графики\Отчет на 01.08.2024\[Сетевой график за июль.xlsx]УКС'!J25</f>
    </nc>
  </rcc>
  <rcc rId="12170" sId="23" numFmtId="34">
    <oc r="K32">
      <v>95.47</v>
    </oc>
    <nc r="K32">
      <f>'D:\user\Documents\Программы\Сетевые графики\Отчет на 01.08.2024\[Сетевой график за июль.xlsx]УКС'!K25</f>
    </nc>
  </rcc>
  <rcc rId="12171" sId="23" numFmtId="34">
    <oc r="L32">
      <v>2107.2199999999998</v>
    </oc>
    <nc r="L32">
      <f>'D:\user\Documents\Программы\Сетевые графики\Отчет на 01.08.2024\[Сетевой график за июль.xlsx]УКС'!L25</f>
    </nc>
  </rcc>
  <rcc rId="12172" sId="23" numFmtId="34">
    <oc r="M32">
      <v>2164.06</v>
    </oc>
    <nc r="M32">
      <f>'D:\user\Documents\Программы\Сетевые графики\Отчет на 01.08.2024\[Сетевой график за июль.xlsx]УКС'!M25</f>
    </nc>
  </rcc>
  <rcc rId="12173" sId="23" numFmtId="34">
    <oc r="N32">
      <v>630.32000000000005</v>
    </oc>
    <nc r="N32">
      <f>'D:\user\Documents\Программы\Сетевые графики\Отчет на 01.08.2024\[Сетевой график за июль.xlsx]УКС'!N25</f>
    </nc>
  </rcc>
  <rcc rId="12174" sId="23" numFmtId="34">
    <oc r="O32">
      <v>620.46</v>
    </oc>
    <nc r="O32">
      <f>'D:\user\Documents\Программы\Сетевые графики\Отчет на 01.08.2024\[Сетевой график за июль.xlsx]УКС'!O25</f>
    </nc>
  </rcc>
  <rcc rId="12175" sId="23" numFmtId="34">
    <oc r="P32">
      <v>334.47</v>
    </oc>
    <nc r="P32">
      <f>'D:\user\Documents\Программы\Сетевые графики\Отчет на 01.08.2024\[Сетевой график за июль.xlsx]УКС'!P25</f>
    </nc>
  </rcc>
  <rcc rId="12176" sId="23" numFmtId="34">
    <oc r="Q32">
      <v>331.97</v>
    </oc>
    <nc r="Q32">
      <f>'D:\user\Documents\Программы\Сетевые графики\Отчет на 01.08.2024\[Сетевой график за июль.xlsx]УКС'!Q25</f>
    </nc>
  </rcc>
  <rcc rId="12177" sId="23" numFmtId="34">
    <oc r="R32">
      <v>342.8</v>
    </oc>
    <nc r="R32">
      <f>'D:\user\Documents\Программы\Сетевые графики\Отчет на 01.08.2024\[Сетевой график за июль.xlsx]УКС'!R25</f>
    </nc>
  </rcc>
  <rcc rId="12178" sId="23" numFmtId="34">
    <oc r="S32">
      <v>0</v>
    </oc>
    <nc r="S32">
      <f>'D:\user\Documents\Программы\Сетевые графики\Отчет на 01.08.2024\[Сетевой график за июль.xlsx]УКС'!S25</f>
    </nc>
  </rcc>
  <rcc rId="12179" sId="23" numFmtId="34">
    <oc r="T32">
      <v>941.01</v>
    </oc>
    <nc r="T32">
      <f>'D:\user\Documents\Программы\Сетевые графики\Отчет на 01.08.2024\[Сетевой график за июль.xlsx]УКС'!T25</f>
    </nc>
  </rcc>
  <rcc rId="12180" sId="23" numFmtId="34">
    <oc r="U32">
      <v>0</v>
    </oc>
    <nc r="U32">
      <f>'D:\user\Documents\Программы\Сетевые графики\Отчет на 01.08.2024\[Сетевой график за июль.xlsx]УКС'!U25</f>
    </nc>
  </rcc>
  <rcc rId="12181" sId="23" numFmtId="34">
    <oc r="V32">
      <v>564.72</v>
    </oc>
    <nc r="V32">
      <f>'D:\user\Documents\Программы\Сетевые графики\Отчет на 01.08.2024\[Сетевой график за июль.xlsx]УКС'!V25</f>
    </nc>
  </rcc>
  <rcc rId="12182" sId="23" numFmtId="34">
    <oc r="W32">
      <v>0</v>
    </oc>
    <nc r="W32">
      <f>'D:\user\Documents\Программы\Сетевые графики\Отчет на 01.08.2024\[Сетевой график за июль.xlsx]УКС'!W25</f>
    </nc>
  </rcc>
  <rcc rId="12183" sId="23" numFmtId="34">
    <oc r="X32">
      <v>1004.76</v>
    </oc>
    <nc r="X32">
      <f>'D:\user\Documents\Программы\Сетевые графики\Отчет на 01.08.2024\[Сетевой график за июль.xlsx]УКС'!X25</f>
    </nc>
  </rcc>
  <rcc rId="12184" sId="23" numFmtId="34">
    <oc r="Y32">
      <v>0</v>
    </oc>
    <nc r="Y32">
      <f>'D:\user\Documents\Программы\Сетевые графики\Отчет на 01.08.2024\[Сетевой график за июль.xlsx]УКС'!Y25</f>
    </nc>
  </rcc>
  <rcc rId="12185" sId="23" numFmtId="34">
    <oc r="Z32">
      <v>14523.88</v>
    </oc>
    <nc r="Z32">
      <f>'D:\user\Documents\Программы\Сетевые графики\Отчет на 01.08.2024\[Сетевой график за июль.xlsx]УКС'!Z25</f>
    </nc>
  </rcc>
  <rcc rId="12186" sId="23" numFmtId="34">
    <oc r="AA32">
      <v>0</v>
    </oc>
    <nc r="AA32">
      <f>'D:\user\Documents\Программы\Сетевые графики\Отчет на 01.08.2024\[Сетевой график за июль.xlsx]УКС'!AA25</f>
    </nc>
  </rcc>
  <rcc rId="12187" sId="23" numFmtId="34">
    <oc r="AB32">
      <v>122.97</v>
    </oc>
    <nc r="AB32">
      <f>'D:\user\Documents\Программы\Сетевые графики\Отчет на 01.08.2024\[Сетевой график за июль.xlsx]УКС'!AB25</f>
    </nc>
  </rcc>
  <rcc rId="12188" sId="23" numFmtId="34">
    <oc r="AC32">
      <v>0</v>
    </oc>
    <nc r="AC32">
      <f>'D:\user\Documents\Программы\Сетевые графики\Отчет на 01.08.2024\[Сетевой график за июль.xlsx]УКС'!AC25</f>
    </nc>
  </rcc>
  <rcc rId="12189" sId="23" numFmtId="34">
    <oc r="AD32">
      <v>2669.21</v>
    </oc>
    <nc r="AD32">
      <f>'D:\user\Documents\Программы\Сетевые графики\Отчет на 01.08.2024\[Сетевой график за июль.xlsx]УКС'!AD25</f>
    </nc>
  </rcc>
  <rcc rId="12190" sId="23" numFmtId="34">
    <oc r="AE32">
      <v>0</v>
    </oc>
    <nc r="AE32">
      <f>'D:\user\Documents\Программы\Сетевые графики\Отчет на 01.08.2024\[Сетевой график за июль.xlsx]УКС'!AE25</f>
    </nc>
  </rcc>
  <rcc rId="12191" sId="23" odxf="1" s="1" dxf="1">
    <oc r="AG32">
      <f>C32-E32</f>
    </oc>
    <nc r="AG32"/>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166" formatCode="#,##0_ ;[Red]\-#,##0\ "/>
      <alignment vertical="center" wrapText="1" readingOrder="0"/>
    </ndxf>
  </rcc>
  <rcc rId="12192" sId="23" numFmtId="4">
    <oc r="B33">
      <v>0</v>
    </oc>
    <nc r="B33">
      <f>H33+J33+L33+N33+P33+R33+T33+V33+X33+Z33+AB33+AD33</f>
    </nc>
  </rcc>
  <rcc rId="12193" sId="23" numFmtId="4">
    <oc r="C33">
      <v>0</v>
    </oc>
    <nc r="C33">
      <f>T33+R33+H33+J33+L33+N33+P33</f>
    </nc>
  </rcc>
  <rcc rId="12194" sId="23" numFmtId="4">
    <oc r="D33">
      <v>0</v>
    </oc>
    <nc r="D33">
      <f>E33</f>
    </nc>
  </rcc>
  <rcc rId="12195" sId="23" numFmtId="4">
    <oc r="E33">
      <v>0</v>
    </oc>
    <nc r="E33">
      <f>I33+K33+M33+O33+Q33+S33+U33+W33+Y33+AA33+AC33+AE33</f>
    </nc>
  </rcc>
  <rcc rId="12196" sId="23" numFmtId="4">
    <oc r="F33">
      <v>0</v>
    </oc>
    <nc r="F33">
      <f>IFERROR(E33/B33*100,0)</f>
    </nc>
  </rcc>
  <rcc rId="12197" sId="23" numFmtId="4">
    <oc r="G33">
      <v>0</v>
    </oc>
    <nc r="G33">
      <f>IFERROR(E33/C33*100,0)</f>
    </nc>
  </rcc>
  <rcc rId="12198" sId="23" odxf="1" dxf="1">
    <oc r="AG33">
      <f>C33-E33</f>
    </oc>
    <nc r="AG33"/>
    <odxf>
      <font>
        <color auto="1"/>
      </font>
      <numFmt numFmtId="4" formatCode="#,##0.00"/>
    </odxf>
    <ndxf>
      <font>
        <sz val="12"/>
        <color auto="1"/>
        <name val="Times New Roman"/>
        <scheme val="none"/>
      </font>
      <numFmt numFmtId="0" formatCode="General"/>
    </ndxf>
  </rcc>
  <rcc rId="12199" sId="23" numFmtId="4">
    <oc r="B34">
      <v>0</v>
    </oc>
    <nc r="B34">
      <f>H34+J34+L34+N34+P34+R34+T34+V34+X34+Z34+AB34+AD34</f>
    </nc>
  </rcc>
  <rcc rId="12200" sId="23" numFmtId="4">
    <oc r="C34">
      <v>0</v>
    </oc>
    <nc r="C34">
      <f>T34+R34+H34+J34+L34+N34+P34</f>
    </nc>
  </rcc>
  <rcc rId="12201" sId="23" numFmtId="4">
    <oc r="D34">
      <v>0</v>
    </oc>
    <nc r="D34">
      <f>E34</f>
    </nc>
  </rcc>
  <rcc rId="12202" sId="23" numFmtId="4">
    <oc r="E34">
      <v>0</v>
    </oc>
    <nc r="E34">
      <f>I34+K34+M34+O34+Q34+S34+U34+W34+Y34+AA34+AC34+AE34</f>
    </nc>
  </rcc>
  <rcc rId="12203" sId="23" numFmtId="4">
    <oc r="F34">
      <v>0</v>
    </oc>
    <nc r="F34">
      <f>IFERROR(E34/B34*100,0)</f>
    </nc>
  </rcc>
  <rcc rId="12204" sId="23" numFmtId="4">
    <oc r="G34">
      <v>0</v>
    </oc>
    <nc r="G34">
      <f>IFERROR(E34/C34*100,0)</f>
    </nc>
  </rcc>
  <rcc rId="12205" sId="23" odxf="1" dxf="1">
    <oc r="AG34">
      <f>C34-E34</f>
    </oc>
    <nc r="AG34"/>
    <odxf>
      <font>
        <color auto="1"/>
      </font>
      <numFmt numFmtId="4" formatCode="#,##0.00"/>
    </odxf>
    <ndxf>
      <font>
        <sz val="12"/>
        <color auto="1"/>
        <name val="Times New Roman"/>
        <scheme val="none"/>
      </font>
      <numFmt numFmtId="0" formatCode="General"/>
    </ndxf>
  </rcc>
  <rfmt sheetId="23" sqref="A35" start="0" length="0">
    <dxf>
      <alignment wrapText="1" readingOrder="0"/>
    </dxf>
  </rfmt>
  <rfmt sheetId="23" sqref="AF35" start="0" length="0">
    <dxf/>
  </rfmt>
  <rcc rId="12206" sId="23" odxf="1" dxf="1">
    <oc r="AG35">
      <f>C35-E35</f>
    </oc>
    <nc r="AG35"/>
    <odxf>
      <font>
        <color auto="1"/>
      </font>
      <numFmt numFmtId="4" formatCode="#,##0.00"/>
    </odxf>
    <ndxf>
      <font>
        <sz val="12"/>
        <color auto="1"/>
        <name val="Times New Roman"/>
        <scheme val="none"/>
      </font>
      <numFmt numFmtId="0" formatCode="General"/>
    </ndxf>
  </rcc>
  <rcc rId="12207" sId="23" numFmtId="4">
    <oc r="B36">
      <v>11305.11</v>
    </oc>
    <nc r="B36">
      <f>B37+B38+B41+B39</f>
    </nc>
  </rcc>
  <rcc rId="12208" sId="23" numFmtId="4">
    <oc r="C36">
      <v>576.30999999999995</v>
    </oc>
    <nc r="C36">
      <f>C37+C38+C41+C39</f>
    </nc>
  </rcc>
  <rcc rId="12209" sId="23" numFmtId="4">
    <oc r="D36">
      <v>0</v>
    </oc>
    <nc r="D36">
      <f>D37+D38+D41+D39</f>
    </nc>
  </rcc>
  <rcc rId="12210" sId="23" numFmtId="4">
    <oc r="E36">
      <v>0</v>
    </oc>
    <nc r="E36">
      <f>E37+E38+E41+E39</f>
    </nc>
  </rcc>
  <rcc rId="12211" sId="23" numFmtId="4">
    <oc r="F36">
      <v>0</v>
    </oc>
    <nc r="F36">
      <f>IFERROR(E36/B36*100,0)</f>
    </nc>
  </rcc>
  <rcc rId="12212" sId="23" numFmtId="4">
    <oc r="G36">
      <v>0</v>
    </oc>
    <nc r="G36">
      <f>IFERROR(E36/C36*100,0)</f>
    </nc>
  </rcc>
  <rcc rId="12213" sId="23" numFmtId="4">
    <oc r="H36">
      <v>0</v>
    </oc>
    <nc r="H36">
      <f>H37+H38+H41+H39</f>
    </nc>
  </rcc>
  <rcc rId="12214" sId="23" numFmtId="4">
    <oc r="I36">
      <v>0</v>
    </oc>
    <nc r="I36">
      <f>I37+I38+I41+I39</f>
    </nc>
  </rcc>
  <rcc rId="12215" sId="23" numFmtId="4">
    <oc r="J36">
      <v>0</v>
    </oc>
    <nc r="J36">
      <f>J37+J38+J41+J39</f>
    </nc>
  </rcc>
  <rcc rId="12216" sId="23" numFmtId="4">
    <oc r="K36">
      <v>0</v>
    </oc>
    <nc r="K36">
      <f>K37+K38+K41+K39</f>
    </nc>
  </rcc>
  <rcc rId="12217" sId="23" numFmtId="4">
    <oc r="L36">
      <v>576.30999999999995</v>
    </oc>
    <nc r="L36">
      <f>L37+L38+L41+L39</f>
    </nc>
  </rcc>
  <rcc rId="12218" sId="23" numFmtId="4">
    <oc r="M36">
      <v>0</v>
    </oc>
    <nc r="M36">
      <f>M37+M38+M41+M39</f>
    </nc>
  </rcc>
  <rcc rId="12219" sId="23" numFmtId="4">
    <oc r="N36">
      <v>0</v>
    </oc>
    <nc r="N36">
      <f>N37+N38+N41+N39</f>
    </nc>
  </rcc>
  <rcc rId="12220" sId="23" numFmtId="4">
    <oc r="O36">
      <v>0</v>
    </oc>
    <nc r="O36">
      <f>O37+O38+O41+O39</f>
    </nc>
  </rcc>
  <rcc rId="12221" sId="23" numFmtId="4">
    <oc r="P36">
      <v>0</v>
    </oc>
    <nc r="P36">
      <f>P37+P38+P41+P39</f>
    </nc>
  </rcc>
  <rcc rId="12222" sId="23" numFmtId="4">
    <oc r="Q36">
      <v>0</v>
    </oc>
    <nc r="Q36">
      <f>Q37+Q38+Q41+Q39</f>
    </nc>
  </rcc>
  <rcc rId="12223" sId="23" numFmtId="4">
    <oc r="R36">
      <v>0</v>
    </oc>
    <nc r="R36">
      <f>R37+R38+R41+R39</f>
    </nc>
  </rcc>
  <rcc rId="12224" sId="23" numFmtId="4">
    <oc r="S36">
      <v>0</v>
    </oc>
    <nc r="S36">
      <f>S37+S38+S41+S39</f>
    </nc>
  </rcc>
  <rcc rId="12225" sId="23" numFmtId="4">
    <oc r="T36">
      <v>0</v>
    </oc>
    <nc r="T36">
      <f>T37+T38+T41+T39</f>
    </nc>
  </rcc>
  <rcc rId="12226" sId="23" numFmtId="4">
    <oc r="U36">
      <v>0</v>
    </oc>
    <nc r="U36">
      <f>U37+U38+U41+U39</f>
    </nc>
  </rcc>
  <rcc rId="12227" sId="23" numFmtId="4">
    <oc r="V36">
      <v>0</v>
    </oc>
    <nc r="V36">
      <f>V37+V38+V41+V39</f>
    </nc>
  </rcc>
  <rcc rId="12228" sId="23" numFmtId="4">
    <oc r="W36">
      <v>0</v>
    </oc>
    <nc r="W36">
      <f>W37+W38+W41+W39</f>
    </nc>
  </rcc>
  <rcc rId="12229" sId="23" numFmtId="4">
    <oc r="X36">
      <v>0</v>
    </oc>
    <nc r="X36">
      <f>X37+X38+X41+X39</f>
    </nc>
  </rcc>
  <rcc rId="12230" sId="23" numFmtId="4">
    <oc r="Y36">
      <v>0</v>
    </oc>
    <nc r="Y36">
      <f>Y37+Y38+Y41+Y39</f>
    </nc>
  </rcc>
  <rcc rId="12231" sId="23" numFmtId="4">
    <oc r="Z36">
      <v>0</v>
    </oc>
    <nc r="Z36">
      <f>Z37+Z38+Z41+Z39</f>
    </nc>
  </rcc>
  <rcc rId="12232" sId="23" numFmtId="4">
    <oc r="AA36">
      <v>0</v>
    </oc>
    <nc r="AA36">
      <f>AA37+AA38+AA41+AA39</f>
    </nc>
  </rcc>
  <rcc rId="12233" sId="23" numFmtId="4">
    <oc r="AB36">
      <v>10728.800000000001</v>
    </oc>
    <nc r="AB36">
      <f>AB37+AB38+AB41+AB39</f>
    </nc>
  </rcc>
  <rcc rId="12234" sId="23" numFmtId="4">
    <oc r="AC36">
      <v>0</v>
    </oc>
    <nc r="AC36">
      <f>AC37+AC38+AC41+AC39</f>
    </nc>
  </rcc>
  <rcc rId="12235" sId="23" numFmtId="4">
    <oc r="AD36">
      <v>0</v>
    </oc>
    <nc r="AD36">
      <f>AD37+AD38+AD41+AD39</f>
    </nc>
  </rcc>
  <rcc rId="12236" sId="23" numFmtId="4">
    <oc r="AE36">
      <v>0</v>
    </oc>
    <nc r="AE36">
      <f>AE37+AE38+AE41+AE39</f>
    </nc>
  </rcc>
  <rcc rId="12237" sId="23" odxf="1" dxf="1">
    <oc r="AG36">
      <f>C36-E36</f>
    </oc>
    <nc r="AG36"/>
    <odxf>
      <font>
        <color auto="1"/>
      </font>
      <numFmt numFmtId="4" formatCode="#,##0.00"/>
    </odxf>
    <ndxf>
      <font>
        <sz val="12"/>
        <color auto="1"/>
        <name val="Times New Roman"/>
        <scheme val="none"/>
      </font>
      <numFmt numFmtId="0" formatCode="General"/>
    </ndxf>
  </rcc>
  <rcc rId="12238" sId="23" numFmtId="4">
    <oc r="B37">
      <v>0</v>
    </oc>
    <nc r="B37">
      <f>H37+J37+L37+N37+P37+R37+T37+V37+X37+Z37+AB37+AD37</f>
    </nc>
  </rcc>
  <rcc rId="12239" sId="23" numFmtId="4">
    <oc r="C37">
      <v>0</v>
    </oc>
    <nc r="C37">
      <f>T37+R37+H37+J37+L37+N37+P37</f>
    </nc>
  </rcc>
  <rcc rId="12240" sId="23" numFmtId="4">
    <oc r="D37">
      <v>0</v>
    </oc>
    <nc r="D37">
      <f>E37</f>
    </nc>
  </rcc>
  <rcc rId="12241" sId="23" numFmtId="4">
    <oc r="E37">
      <v>0</v>
    </oc>
    <nc r="E37">
      <f>I37+K37+M37+O37+Q37+S37+U37+W37+Y37+AA37+AC37+AE37</f>
    </nc>
  </rcc>
  <rcc rId="12242" sId="23" numFmtId="4">
    <oc r="F37">
      <v>0</v>
    </oc>
    <nc r="F37">
      <f>IFERROR(E37/B37*100,0)</f>
    </nc>
  </rcc>
  <rcc rId="12243" sId="23" numFmtId="4">
    <oc r="G37">
      <v>0</v>
    </oc>
    <nc r="G37">
      <f>IFERROR(E37/C37*100,0)</f>
    </nc>
  </rcc>
  <rcc rId="12244" sId="23" odxf="1" dxf="1">
    <oc r="AG37">
      <f>C37-E37</f>
    </oc>
    <nc r="AG37"/>
    <odxf>
      <font>
        <color auto="1"/>
      </font>
      <numFmt numFmtId="4" formatCode="#,##0.00"/>
    </odxf>
    <ndxf>
      <font>
        <sz val="12"/>
        <color auto="1"/>
        <name val="Times New Roman"/>
        <scheme val="none"/>
      </font>
      <numFmt numFmtId="0" formatCode="General"/>
    </ndxf>
  </rcc>
  <rcc rId="12245" sId="23" numFmtId="4">
    <oc r="B38">
      <v>0</v>
    </oc>
    <nc r="B38">
      <f>H38+J38+L38+N38+P38+R38+T38+V38+X38+Z38+AB38+AD38</f>
    </nc>
  </rcc>
  <rcc rId="12246" sId="23" numFmtId="4">
    <oc r="C38">
      <v>0</v>
    </oc>
    <nc r="C38">
      <f>T38+R38+H38+J38+L38+N38+P38</f>
    </nc>
  </rcc>
  <rcc rId="12247" sId="23" numFmtId="4">
    <oc r="D38">
      <v>0</v>
    </oc>
    <nc r="D38">
      <f>E38</f>
    </nc>
  </rcc>
  <rcc rId="12248" sId="23" numFmtId="4">
    <oc r="E38">
      <v>0</v>
    </oc>
    <nc r="E38">
      <f>I38+K38+M38+O38+Q38+S38+U38+W38+Y38+AA38+AC38+AE38</f>
    </nc>
  </rcc>
  <rcc rId="12249" sId="23" numFmtId="4">
    <oc r="F38">
      <v>0</v>
    </oc>
    <nc r="F38">
      <f>IFERROR(E38/B38*100,0)</f>
    </nc>
  </rcc>
  <rcc rId="12250" sId="23" numFmtId="4">
    <oc r="G38">
      <v>0</v>
    </oc>
    <nc r="G38">
      <f>IFERROR(E38/C38*100,0)</f>
    </nc>
  </rcc>
  <rcc rId="12251" sId="23" odxf="1" dxf="1">
    <oc r="AG38">
      <f>C38-E38</f>
    </oc>
    <nc r="AG38"/>
    <odxf>
      <font>
        <color auto="1"/>
      </font>
      <numFmt numFmtId="4" formatCode="#,##0.00"/>
    </odxf>
    <ndxf>
      <font>
        <sz val="12"/>
        <color auto="1"/>
        <name val="Times New Roman"/>
        <scheme val="none"/>
      </font>
      <numFmt numFmtId="0" formatCode="General"/>
    </ndxf>
  </rcc>
  <rcc rId="12252" sId="23" numFmtId="34">
    <oc r="B39">
      <v>11305.11</v>
    </oc>
    <nc r="B39">
      <f>H39+J39+L39+N39+P39+R39+T39+V39+X39+Z39+AB39+AD39</f>
    </nc>
  </rcc>
  <rcc rId="12253" sId="23" numFmtId="4">
    <oc r="C39">
      <v>576.30999999999995</v>
    </oc>
    <nc r="C39">
      <f>T39+R39+H39+J39+L39+N39+P39</f>
    </nc>
  </rcc>
  <rcc rId="12254" sId="23" numFmtId="4">
    <oc r="D39">
      <v>0</v>
    </oc>
    <nc r="D39">
      <f>E39</f>
    </nc>
  </rcc>
  <rcc rId="12255" sId="23" numFmtId="4">
    <oc r="E39">
      <v>0</v>
    </oc>
    <nc r="E39">
      <f>I39+K39+M39+O39+Q39+S39+U39+W39+Y39+AA39+AC39+AE39</f>
    </nc>
  </rcc>
  <rcc rId="12256" sId="23" numFmtId="4">
    <oc r="F39">
      <v>0</v>
    </oc>
    <nc r="F39">
      <f>IFERROR(E39/B39*100,0)</f>
    </nc>
  </rcc>
  <rcc rId="12257" sId="23" numFmtId="4">
    <oc r="G39">
      <v>0</v>
    </oc>
    <nc r="G39">
      <f>IFERROR(E39/C39*100,0)</f>
    </nc>
  </rcc>
  <rcc rId="12258" sId="23" numFmtId="34">
    <oc r="L39">
      <v>576.30999999999995</v>
    </oc>
    <nc r="L39">
      <f>'D:\user\Documents\Программы\Сетевые графики\Отчет на 01.08.2024\[Сетевой график за июль.xlsx]УКС'!L31</f>
    </nc>
  </rcc>
  <rcc rId="12259" sId="23" numFmtId="34">
    <oc r="M39">
      <v>0</v>
    </oc>
    <nc r="M39">
      <f>'D:\user\Documents\Программы\Сетевые графики\Отчет на 01.08.2024\[Сетевой график за июль.xlsx]УКС'!M31</f>
    </nc>
  </rcc>
  <rcc rId="12260" sId="23" numFmtId="34">
    <oc r="N39">
      <v>0</v>
    </oc>
    <nc r="N39">
      <f>'D:\user\Documents\Программы\Сетевые графики\Отчет на 01.08.2024\[Сетевой график за июль.xlsx]УКС'!N31</f>
    </nc>
  </rcc>
  <rcc rId="12261" sId="23" numFmtId="34">
    <oc r="O39">
      <v>0</v>
    </oc>
    <nc r="O39">
      <f>'D:\user\Documents\Программы\Сетевые графики\Отчет на 01.08.2024\[Сетевой график за июль.xlsx]УКС'!O31</f>
    </nc>
  </rcc>
  <rcc rId="12262" sId="23" numFmtId="34">
    <oc r="P39">
      <v>0</v>
    </oc>
    <nc r="P39">
      <f>'D:\user\Documents\Программы\Сетевые графики\Отчет на 01.08.2024\[Сетевой график за июль.xlsx]УКС'!P31</f>
    </nc>
  </rcc>
  <rcc rId="12263" sId="23" numFmtId="34">
    <oc r="Q39">
      <v>0</v>
    </oc>
    <nc r="Q39">
      <f>'D:\user\Documents\Программы\Сетевые графики\Отчет на 01.08.2024\[Сетевой график за июль.xlsx]УКС'!Q31</f>
    </nc>
  </rcc>
  <rcc rId="12264" sId="23" numFmtId="34">
    <oc r="R39">
      <v>0</v>
    </oc>
    <nc r="R39">
      <f>'D:\user\Documents\Программы\Сетевые графики\Отчет на 01.08.2024\[Сетевой график за июль.xlsx]УКС'!R31</f>
    </nc>
  </rcc>
  <rcc rId="12265" sId="23" numFmtId="34">
    <oc r="S39">
      <v>0</v>
    </oc>
    <nc r="S39">
      <f>'D:\user\Documents\Программы\Сетевые графики\Отчет на 01.08.2024\[Сетевой график за июль.xlsx]УКС'!S31</f>
    </nc>
  </rcc>
  <rcc rId="12266" sId="23" numFmtId="34">
    <oc r="T39">
      <v>0</v>
    </oc>
    <nc r="T39">
      <f>'D:\user\Documents\Программы\Сетевые графики\Отчет на 01.08.2024\[Сетевой график за июль.xlsx]УКС'!T31</f>
    </nc>
  </rcc>
  <rcc rId="12267" sId="23" numFmtId="34">
    <oc r="U39">
      <v>0</v>
    </oc>
    <nc r="U39">
      <f>'D:\user\Documents\Программы\Сетевые графики\Отчет на 01.08.2024\[Сетевой график за июль.xlsx]УКС'!U31</f>
    </nc>
  </rcc>
  <rcc rId="12268" sId="23" numFmtId="34">
    <oc r="V39">
      <v>0</v>
    </oc>
    <nc r="V39">
      <f>'D:\user\Documents\Программы\Сетевые графики\Отчет на 01.08.2024\[Сетевой график за июль.xlsx]УКС'!V31</f>
    </nc>
  </rcc>
  <rcc rId="12269" sId="23" numFmtId="34">
    <oc r="W39">
      <v>0</v>
    </oc>
    <nc r="W39">
      <f>'D:\user\Documents\Программы\Сетевые графики\Отчет на 01.08.2024\[Сетевой график за июль.xlsx]УКС'!W31</f>
    </nc>
  </rcc>
  <rcc rId="12270" sId="23" numFmtId="34">
    <oc r="X39">
      <v>0</v>
    </oc>
    <nc r="X39">
      <f>'D:\user\Documents\Программы\Сетевые графики\Отчет на 01.08.2024\[Сетевой график за июль.xlsx]УКС'!X31</f>
    </nc>
  </rcc>
  <rcc rId="12271" sId="23" numFmtId="34">
    <oc r="Y39">
      <v>0</v>
    </oc>
    <nc r="Y39">
      <f>'D:\user\Documents\Программы\Сетевые графики\Отчет на 01.08.2024\[Сетевой график за июль.xlsx]УКС'!Y31</f>
    </nc>
  </rcc>
  <rcc rId="12272" sId="23" numFmtId="34">
    <oc r="Z39">
      <v>0</v>
    </oc>
    <nc r="Z39">
      <f>'D:\user\Documents\Программы\Сетевые графики\Отчет на 01.08.2024\[Сетевой график за июль.xlsx]УКС'!Z31</f>
    </nc>
  </rcc>
  <rcc rId="12273" sId="23" numFmtId="34">
    <oc r="AA39">
      <v>0</v>
    </oc>
    <nc r="AA39">
      <f>'D:\user\Documents\Программы\Сетевые графики\Отчет на 01.08.2024\[Сетевой график за июль.xlsx]УКС'!AA31</f>
    </nc>
  </rcc>
  <rcc rId="12274" sId="23" numFmtId="34">
    <oc r="AB39">
      <v>10728.800000000001</v>
    </oc>
    <nc r="AB39">
      <f>'D:\user\Documents\Программы\Сетевые графики\Отчет на 01.08.2024\[Сетевой график за июль.xlsx]УКС'!AB31</f>
    </nc>
  </rcc>
  <rcc rId="12275" sId="23" numFmtId="34">
    <oc r="AC39">
      <v>0</v>
    </oc>
    <nc r="AC39">
      <f>'D:\user\Documents\Программы\Сетевые графики\Отчет на 01.08.2024\[Сетевой график за июль.xlsx]УКС'!AC31</f>
    </nc>
  </rcc>
  <rcc rId="12276" sId="23" numFmtId="34">
    <oc r="AD39">
      <v>0</v>
    </oc>
    <nc r="AD39">
      <f>'D:\user\Documents\Программы\Сетевые графики\Отчет на 01.08.2024\[Сетевой график за июль.xlsx]УКС'!AD31</f>
    </nc>
  </rcc>
  <rcc rId="12277" sId="23" numFmtId="34">
    <oc r="AE39">
      <v>0</v>
    </oc>
    <nc r="AE39">
      <f>'D:\user\Documents\Программы\Сетевые графики\Отчет на 01.08.2024\[Сетевой график за июль.xlsx]УКС'!AE31</f>
    </nc>
  </rcc>
  <rcc rId="12278" sId="23" odxf="1" s="1" dxf="1">
    <oc r="AG39">
      <f>C39-E39</f>
    </oc>
    <nc r="AG39"/>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166" formatCode="#,##0_ ;[Red]\-#,##0\ "/>
      <alignment vertical="center" wrapText="1" readingOrder="0"/>
    </ndxf>
  </rcc>
  <rcc rId="12279" sId="23" numFmtId="4">
    <oc r="B40">
      <v>0</v>
    </oc>
    <nc r="B40">
      <f>H40+J40+L40+N40+P40+R40+T40+V40+X40+Z40+AB40+AD40</f>
    </nc>
  </rcc>
  <rcc rId="12280" sId="23" numFmtId="4">
    <oc r="C40">
      <v>0</v>
    </oc>
    <nc r="C40">
      <f>T40+R40+H40+J40+L40+N40+P40</f>
    </nc>
  </rcc>
  <rcc rId="12281" sId="23" numFmtId="4">
    <oc r="D40">
      <v>0</v>
    </oc>
    <nc r="D40">
      <f>E40</f>
    </nc>
  </rcc>
  <rcc rId="12282" sId="23" numFmtId="4">
    <oc r="E40">
      <v>0</v>
    </oc>
    <nc r="E40">
      <f>I40+K40+M40+O40+Q40+S40+U40+W40+Y40+AA40+AC40+AE40</f>
    </nc>
  </rcc>
  <rcc rId="12283" sId="23" numFmtId="4">
    <oc r="F40">
      <v>0</v>
    </oc>
    <nc r="F40">
      <f>IFERROR(E40/B40*100,0)</f>
    </nc>
  </rcc>
  <rcc rId="12284" sId="23" numFmtId="4">
    <oc r="G40">
      <v>0</v>
    </oc>
    <nc r="G40">
      <f>IFERROR(E40/C40*100,0)</f>
    </nc>
  </rcc>
  <rcc rId="12285" sId="23" odxf="1" dxf="1">
    <oc r="AG40">
      <f>C40-E40</f>
    </oc>
    <nc r="AG40"/>
    <odxf>
      <font>
        <color auto="1"/>
      </font>
      <numFmt numFmtId="4" formatCode="#,##0.00"/>
    </odxf>
    <ndxf>
      <font>
        <sz val="12"/>
        <color auto="1"/>
        <name val="Times New Roman"/>
        <scheme val="none"/>
      </font>
      <numFmt numFmtId="0" formatCode="General"/>
    </ndxf>
  </rcc>
  <rcc rId="12286" sId="23" numFmtId="4">
    <oc r="B41">
      <v>0</v>
    </oc>
    <nc r="B41">
      <f>H41+J41+L41+N41+P41+R41+T41+V41+X41+Z41+AB41+AD41</f>
    </nc>
  </rcc>
  <rcc rId="12287" sId="23" numFmtId="4">
    <oc r="C41">
      <v>0</v>
    </oc>
    <nc r="C41">
      <f>T41+R41+H41+J41+L41+N41+P41</f>
    </nc>
  </rcc>
  <rcc rId="12288" sId="23" numFmtId="4">
    <oc r="D41">
      <v>0</v>
    </oc>
    <nc r="D41">
      <f>E41</f>
    </nc>
  </rcc>
  <rcc rId="12289" sId="23" numFmtId="4">
    <oc r="E41">
      <v>0</v>
    </oc>
    <nc r="E41">
      <f>I41+K41+M41+O41+Q41+S41+U41+W41+Y41+AA41+AC41+AE41</f>
    </nc>
  </rcc>
  <rcc rId="12290" sId="23" numFmtId="4">
    <oc r="F41">
      <v>0</v>
    </oc>
    <nc r="F41">
      <f>IFERROR(E41/B41*100,0)</f>
    </nc>
  </rcc>
  <rcc rId="12291" sId="23" numFmtId="4">
    <oc r="G41">
      <v>0</v>
    </oc>
    <nc r="G41">
      <f>IFERROR(E41/C41*100,0)</f>
    </nc>
  </rcc>
  <rcc rId="12292" sId="23" odxf="1" dxf="1">
    <oc r="AG41">
      <f>C41-E41</f>
    </oc>
    <nc r="AG41"/>
    <odxf>
      <font>
        <color auto="1"/>
      </font>
      <numFmt numFmtId="4" formatCode="#,##0.00"/>
    </odxf>
    <ndxf>
      <font>
        <sz val="12"/>
        <color auto="1"/>
        <name val="Times New Roman"/>
        <scheme val="none"/>
      </font>
      <numFmt numFmtId="0" formatCode="General"/>
    </ndxf>
  </rcc>
  <rfmt sheetId="23" sqref="A42" start="0" length="0">
    <dxf>
      <alignment wrapText="1" readingOrder="0"/>
    </dxf>
  </rfmt>
  <rfmt sheetId="23" sqref="AF42" start="0" length="0">
    <dxf/>
  </rfmt>
  <rcc rId="12293" sId="23" odxf="1" dxf="1">
    <oc r="AG42">
      <f>C42-E42</f>
    </oc>
    <nc r="AG42"/>
    <odxf>
      <font>
        <color auto="1"/>
      </font>
      <numFmt numFmtId="4" formatCode="#,##0.00"/>
    </odxf>
    <ndxf>
      <font>
        <sz val="12"/>
        <color auto="1"/>
        <name val="Times New Roman"/>
        <scheme val="none"/>
      </font>
      <numFmt numFmtId="0" formatCode="General"/>
    </ndxf>
  </rcc>
  <rcc rId="12294" sId="23" numFmtId="4">
    <oc r="B43">
      <v>53509.31</v>
    </oc>
    <nc r="B43">
      <f>B45+B46+B44+B48</f>
    </nc>
  </rcc>
  <rcc rId="12295" sId="23" numFmtId="4">
    <oc r="C43">
      <v>22386.76</v>
    </oc>
    <nc r="C43">
      <f>C45+C46+C44+C48</f>
    </nc>
  </rcc>
  <rcc rId="12296" sId="23" numFmtId="4">
    <oc r="D43">
      <v>20470.3</v>
    </oc>
    <nc r="D43">
      <f>D45+D46+D44+D48</f>
    </nc>
  </rcc>
  <rcc rId="12297" sId="23" numFmtId="4">
    <oc r="E43">
      <v>20470.3</v>
    </oc>
    <nc r="E43">
      <f>E45+E46+E44+E48</f>
    </nc>
  </rcc>
  <rcc rId="12298" sId="23" numFmtId="4">
    <oc r="F43">
      <v>38.25558580366669</v>
    </oc>
    <nc r="F43">
      <f>E43/B43*100</f>
    </nc>
  </rcc>
  <rcc rId="12299" sId="23" numFmtId="4">
    <oc r="G43">
      <v>91.439315023701511</v>
    </oc>
    <nc r="G43">
      <f>E43/C43*100</f>
    </nc>
  </rcc>
  <rcc rId="12300" sId="23" numFmtId="4">
    <oc r="H43">
      <v>5142.3099999999995</v>
    </oc>
    <nc r="H43">
      <f>H45+H46+H44+H48</f>
    </nc>
  </rcc>
  <rcc rId="12301" sId="23" numFmtId="4">
    <oc r="I43">
      <v>3726.31</v>
    </oc>
    <nc r="I43">
      <f>I45+I46+I44+I48</f>
    </nc>
  </rcc>
  <rcc rId="12302" sId="23" numFmtId="4">
    <oc r="J43">
      <v>5553.46</v>
    </oc>
    <nc r="J43">
      <f>J45+J46+J44+J48</f>
    </nc>
  </rcc>
  <rcc rId="12303" sId="23" numFmtId="4">
    <oc r="K43">
      <v>6282.34</v>
    </oc>
    <nc r="K43">
      <f>K45+K46+K44+K48</f>
    </nc>
  </rcc>
  <rcc rId="12304" sId="23" numFmtId="4">
    <oc r="L43">
      <v>4731.79</v>
    </oc>
    <nc r="L43">
      <f>L45+L46+L44+L48</f>
    </nc>
  </rcc>
  <rcc rId="12305" sId="23" numFmtId="4">
    <oc r="M43">
      <v>4240.28</v>
    </oc>
    <nc r="M43">
      <f>M45+M46+M44+M48</f>
    </nc>
  </rcc>
  <rcc rId="12306" sId="23" numFmtId="4">
    <oc r="N43">
      <v>3977.92</v>
    </oc>
    <nc r="N43">
      <f>N45+N46+N44+N48</f>
    </nc>
  </rcc>
  <rcc rId="12307" sId="23" numFmtId="4">
    <oc r="O43">
      <v>3894.59</v>
    </oc>
    <nc r="O43">
      <f>O45+O46+O44+O48</f>
    </nc>
  </rcc>
  <rcc rId="12308" sId="23" numFmtId="4">
    <oc r="P43">
      <v>2981.2799999999997</v>
    </oc>
    <nc r="P43">
      <f>P45+P46+P44+P48</f>
    </nc>
  </rcc>
  <rcc rId="12309" sId="23" numFmtId="4">
    <oc r="Q43">
      <v>2326.7800000000002</v>
    </oc>
    <nc r="Q43">
      <f>Q45+Q46+Q44+Q48</f>
    </nc>
  </rcc>
  <rcc rId="12310" sId="23" numFmtId="4">
    <oc r="R43">
      <v>2527.65</v>
    </oc>
    <nc r="R43">
      <f>R45+R46+R44+R48</f>
    </nc>
  </rcc>
  <rcc rId="12311" sId="23" numFmtId="4">
    <oc r="S43">
      <v>0</v>
    </oc>
    <nc r="S43">
      <f>S45+S46+S44+S48</f>
    </nc>
  </rcc>
  <rcc rId="12312" sId="23" numFmtId="4">
    <oc r="T43">
      <v>3132.16</v>
    </oc>
    <nc r="T43">
      <f>T45+T46+T44+T48</f>
    </nc>
  </rcc>
  <rcc rId="12313" sId="23" numFmtId="4">
    <oc r="U43">
      <v>0</v>
    </oc>
    <nc r="U43">
      <f>U45+U46+U44+U48</f>
    </nc>
  </rcc>
  <rcc rId="12314" sId="23" numFmtId="4">
    <oc r="V43">
      <v>4103.8100000000004</v>
    </oc>
    <nc r="V43">
      <f>V45+V46+V44+V48</f>
    </nc>
  </rcc>
  <rcc rId="12315" sId="23" numFmtId="4">
    <oc r="W43">
      <v>0</v>
    </oc>
    <nc r="W43">
      <f>W45+W46+W44+W48</f>
    </nc>
  </rcc>
  <rcc rId="12316" sId="23" numFmtId="4">
    <oc r="X43">
      <v>4851.67</v>
    </oc>
    <nc r="X43">
      <f>X45+X46+X44+X48</f>
    </nc>
  </rcc>
  <rcc rId="12317" sId="23" numFmtId="4">
    <oc r="Y43">
      <v>0</v>
    </oc>
    <nc r="Y43">
      <f>Y45+Y46+Y44+Y48</f>
    </nc>
  </rcc>
  <rcc rId="12318" sId="23" numFmtId="4">
    <oc r="Z43">
      <v>6810.2</v>
    </oc>
    <nc r="Z43">
      <f>Z45+Z46+Z44+Z48</f>
    </nc>
  </rcc>
  <rcc rId="12319" sId="23" numFmtId="4">
    <oc r="AA43">
      <v>0</v>
    </oc>
    <nc r="AA43">
      <f>AA45+AA46+AA44+AA48</f>
    </nc>
  </rcc>
  <rcc rId="12320" sId="23" numFmtId="4">
    <oc r="AB43">
      <v>4842.46</v>
    </oc>
    <nc r="AB43">
      <f>AB45+AB46+AB44+AB48</f>
    </nc>
  </rcc>
  <rcc rId="12321" sId="23" numFmtId="4">
    <oc r="AC43">
      <v>0</v>
    </oc>
    <nc r="AC43">
      <f>AC45+AC46+AC44+AC48</f>
    </nc>
  </rcc>
  <rcc rId="12322" sId="23" numFmtId="4">
    <oc r="AD43">
      <v>4854.6000000000004</v>
    </oc>
    <nc r="AD43">
      <f>AD45+AD46+AD44+AD48</f>
    </nc>
  </rcc>
  <rcc rId="12323" sId="23" numFmtId="4">
    <oc r="AE43">
      <v>0</v>
    </oc>
    <nc r="AE43">
      <f>AE45+AE46+AE44+AE48</f>
    </nc>
  </rcc>
  <rfmt sheetId="23" sqref="AF43" start="0" length="0">
    <dxf/>
  </rfmt>
  <rcc rId="12324" sId="23" odxf="1" dxf="1">
    <oc r="AG43">
      <f>C43-E43</f>
    </oc>
    <nc r="AG43"/>
    <odxf>
      <font>
        <color auto="1"/>
      </font>
      <numFmt numFmtId="4" formatCode="#,##0.00"/>
    </odxf>
    <ndxf>
      <font>
        <sz val="12"/>
        <color auto="1"/>
        <name val="Times New Roman"/>
        <scheme val="none"/>
      </font>
      <numFmt numFmtId="0" formatCode="General"/>
    </ndxf>
  </rcc>
  <rcc rId="12325" sId="23" numFmtId="4">
    <oc r="B44">
      <v>0</v>
    </oc>
    <nc r="B44">
      <f>B51+B58</f>
    </nc>
  </rcc>
  <rcc rId="12326" sId="23" numFmtId="4">
    <oc r="C44">
      <v>0</v>
    </oc>
    <nc r="C44">
      <f>C51+C58</f>
    </nc>
  </rcc>
  <rcc rId="12327" sId="23" numFmtId="4">
    <oc r="D44">
      <v>0</v>
    </oc>
    <nc r="D44">
      <f>E44</f>
    </nc>
  </rcc>
  <rcc rId="12328" sId="23" numFmtId="4">
    <oc r="E44">
      <v>0</v>
    </oc>
    <nc r="E44">
      <f>I44+K44+M44+O44+Q44+S44+U44+W44+Y44+AA44+AC44+AE44</f>
    </nc>
  </rcc>
  <rcc rId="12329" sId="23" numFmtId="4">
    <oc r="F44">
      <v>0</v>
    </oc>
    <nc r="F44">
      <f>IFERROR(E44/B44*100,0)</f>
    </nc>
  </rcc>
  <rcc rId="12330" sId="23" numFmtId="4">
    <oc r="G44">
      <v>0</v>
    </oc>
    <nc r="G44">
      <f>IFERROR(E44/C44*100,0)</f>
    </nc>
  </rcc>
  <rcc rId="12331" sId="23" numFmtId="4">
    <oc r="H44">
      <v>0</v>
    </oc>
    <nc r="H44">
      <f>H51+H58</f>
    </nc>
  </rcc>
  <rcc rId="12332" sId="23" numFmtId="4">
    <oc r="I44">
      <v>0</v>
    </oc>
    <nc r="I44">
      <f>I51+I58</f>
    </nc>
  </rcc>
  <rcc rId="12333" sId="23" numFmtId="4">
    <oc r="J44">
      <v>0</v>
    </oc>
    <nc r="J44">
      <f>J51+J58</f>
    </nc>
  </rcc>
  <rcc rId="12334" sId="23" numFmtId="4">
    <oc r="K44">
      <v>0</v>
    </oc>
    <nc r="K44">
      <f>K51+K58</f>
    </nc>
  </rcc>
  <rcc rId="12335" sId="23" numFmtId="4">
    <oc r="L44">
      <v>0</v>
    </oc>
    <nc r="L44">
      <f>L51+L58</f>
    </nc>
  </rcc>
  <rcc rId="12336" sId="23" numFmtId="4">
    <oc r="M44">
      <v>0</v>
    </oc>
    <nc r="M44">
      <f>M51+M58</f>
    </nc>
  </rcc>
  <rcc rId="12337" sId="23" numFmtId="4">
    <oc r="N44">
      <v>0</v>
    </oc>
    <nc r="N44">
      <f>N51+N58</f>
    </nc>
  </rcc>
  <rcc rId="12338" sId="23" numFmtId="4">
    <oc r="O44">
      <v>0</v>
    </oc>
    <nc r="O44">
      <f>O51+O58</f>
    </nc>
  </rcc>
  <rcc rId="12339" sId="23" numFmtId="4">
    <oc r="P44">
      <v>0</v>
    </oc>
    <nc r="P44">
      <f>P51+P58</f>
    </nc>
  </rcc>
  <rcc rId="12340" sId="23" numFmtId="4">
    <oc r="Q44">
      <v>0</v>
    </oc>
    <nc r="Q44">
      <f>Q51+Q58</f>
    </nc>
  </rcc>
  <rcc rId="12341" sId="23" numFmtId="4">
    <oc r="R44">
      <v>0</v>
    </oc>
    <nc r="R44">
      <f>R51+R58</f>
    </nc>
  </rcc>
  <rcc rId="12342" sId="23" numFmtId="4">
    <oc r="S44">
      <v>0</v>
    </oc>
    <nc r="S44">
      <f>S51+S58</f>
    </nc>
  </rcc>
  <rcc rId="12343" sId="23" numFmtId="4">
    <oc r="T44">
      <v>0</v>
    </oc>
    <nc r="T44">
      <f>T51+T58</f>
    </nc>
  </rcc>
  <rcc rId="12344" sId="23" numFmtId="4">
    <oc r="U44">
      <v>0</v>
    </oc>
    <nc r="U44">
      <f>U51+U58</f>
    </nc>
  </rcc>
  <rcc rId="12345" sId="23" numFmtId="4">
    <oc r="V44">
      <v>0</v>
    </oc>
    <nc r="V44">
      <f>V51+V58</f>
    </nc>
  </rcc>
  <rcc rId="12346" sId="23" numFmtId="4">
    <oc r="W44">
      <v>0</v>
    </oc>
    <nc r="W44">
      <f>W51+W58</f>
    </nc>
  </rcc>
  <rcc rId="12347" sId="23" numFmtId="4">
    <oc r="X44">
      <v>0</v>
    </oc>
    <nc r="X44">
      <f>X51+X58</f>
    </nc>
  </rcc>
  <rcc rId="12348" sId="23" numFmtId="4">
    <oc r="Y44">
      <v>0</v>
    </oc>
    <nc r="Y44">
      <f>Y51+Y58</f>
    </nc>
  </rcc>
  <rcc rId="12349" sId="23" numFmtId="4">
    <oc r="Z44">
      <v>0</v>
    </oc>
    <nc r="Z44">
      <f>Z51+Z58</f>
    </nc>
  </rcc>
  <rcc rId="12350" sId="23" numFmtId="4">
    <oc r="AA44">
      <v>0</v>
    </oc>
    <nc r="AA44">
      <f>AA51+AA58</f>
    </nc>
  </rcc>
  <rcc rId="12351" sId="23" numFmtId="4">
    <oc r="AB44">
      <v>0</v>
    </oc>
    <nc r="AB44">
      <f>AB51+AB58</f>
    </nc>
  </rcc>
  <rcc rId="12352" sId="23" numFmtId="4">
    <oc r="AC44">
      <v>0</v>
    </oc>
    <nc r="AC44">
      <f>AC51+AC58</f>
    </nc>
  </rcc>
  <rcc rId="12353" sId="23" numFmtId="4">
    <oc r="AD44">
      <v>0</v>
    </oc>
    <nc r="AD44">
      <f>AD51+AD58</f>
    </nc>
  </rcc>
  <rcc rId="12354" sId="23" numFmtId="4">
    <oc r="AE44">
      <v>0</v>
    </oc>
    <nc r="AE44">
      <f>AE51+AE58</f>
    </nc>
  </rcc>
  <rcc rId="12355" sId="23" odxf="1" dxf="1">
    <oc r="AG44">
      <f>C44-E44</f>
    </oc>
    <nc r="AG44"/>
    <odxf>
      <font>
        <color auto="1"/>
      </font>
      <numFmt numFmtId="4" formatCode="#,##0.00"/>
    </odxf>
    <ndxf>
      <font>
        <sz val="12"/>
        <color auto="1"/>
        <name val="Times New Roman"/>
        <scheme val="none"/>
      </font>
      <numFmt numFmtId="0" formatCode="General"/>
    </ndxf>
  </rcc>
  <rcc rId="12356" sId="23" numFmtId="4">
    <oc r="B45">
      <v>0</v>
    </oc>
    <nc r="B45">
      <f>B52+B59</f>
    </nc>
  </rcc>
  <rcc rId="12357" sId="23" numFmtId="4">
    <oc r="C45">
      <v>0</v>
    </oc>
    <nc r="C45">
      <f>C52+C59</f>
    </nc>
  </rcc>
  <rcc rId="12358" sId="23" numFmtId="4">
    <oc r="D45">
      <v>0</v>
    </oc>
    <nc r="D45">
      <f>E45</f>
    </nc>
  </rcc>
  <rcc rId="12359" sId="23" numFmtId="4">
    <oc r="E45">
      <v>0</v>
    </oc>
    <nc r="E45">
      <f>I45+K45+M45+O45+Q45+S45+U45+W45+Y45+AA45+AC45+AE45</f>
    </nc>
  </rcc>
  <rcc rId="12360" sId="23" numFmtId="4">
    <oc r="F45">
      <v>0</v>
    </oc>
    <nc r="F45">
      <f>IFERROR(E45/B45*100,0)</f>
    </nc>
  </rcc>
  <rcc rId="12361" sId="23" numFmtId="4">
    <oc r="G45">
      <v>0</v>
    </oc>
    <nc r="G45">
      <f>IFERROR(E45/C45*100,0)</f>
    </nc>
  </rcc>
  <rcc rId="12362" sId="23" numFmtId="4">
    <oc r="H45">
      <v>0</v>
    </oc>
    <nc r="H45">
      <f>H52+H59</f>
    </nc>
  </rcc>
  <rcc rId="12363" sId="23" numFmtId="4">
    <oc r="I45">
      <v>0</v>
    </oc>
    <nc r="I45">
      <f>I52+I59</f>
    </nc>
  </rcc>
  <rcc rId="12364" sId="23" numFmtId="4">
    <oc r="J45">
      <v>0</v>
    </oc>
    <nc r="J45">
      <f>J52+J59</f>
    </nc>
  </rcc>
  <rcc rId="12365" sId="23" numFmtId="4">
    <oc r="K45">
      <v>0</v>
    </oc>
    <nc r="K45">
      <f>K52+K59</f>
    </nc>
  </rcc>
  <rcc rId="12366" sId="23" numFmtId="4">
    <oc r="L45">
      <v>0</v>
    </oc>
    <nc r="L45">
      <f>L52+L59</f>
    </nc>
  </rcc>
  <rcc rId="12367" sId="23" numFmtId="4">
    <oc r="M45">
      <v>0</v>
    </oc>
    <nc r="M45">
      <f>M52+M59</f>
    </nc>
  </rcc>
  <rcc rId="12368" sId="23" numFmtId="4">
    <oc r="N45">
      <v>0</v>
    </oc>
    <nc r="N45">
      <f>N52+N59</f>
    </nc>
  </rcc>
  <rcc rId="12369" sId="23" numFmtId="4">
    <oc r="O45">
      <v>0</v>
    </oc>
    <nc r="O45">
      <f>O52+O59</f>
    </nc>
  </rcc>
  <rcc rId="12370" sId="23" numFmtId="4">
    <oc r="P45">
      <v>0</v>
    </oc>
    <nc r="P45">
      <f>P52+P59</f>
    </nc>
  </rcc>
  <rcc rId="12371" sId="23" numFmtId="4">
    <oc r="Q45">
      <v>0</v>
    </oc>
    <nc r="Q45">
      <f>Q52+Q59</f>
    </nc>
  </rcc>
  <rcc rId="12372" sId="23" numFmtId="4">
    <oc r="R45">
      <v>0</v>
    </oc>
    <nc r="R45">
      <f>R52+R59</f>
    </nc>
  </rcc>
  <rcc rId="12373" sId="23" numFmtId="4">
    <oc r="S45">
      <v>0</v>
    </oc>
    <nc r="S45">
      <f>S52+S59</f>
    </nc>
  </rcc>
  <rcc rId="12374" sId="23" numFmtId="4">
    <oc r="T45">
      <v>0</v>
    </oc>
    <nc r="T45">
      <f>T52+T59</f>
    </nc>
  </rcc>
  <rcc rId="12375" sId="23" numFmtId="4">
    <oc r="U45">
      <v>0</v>
    </oc>
    <nc r="U45">
      <f>U52+U59</f>
    </nc>
  </rcc>
  <rcc rId="12376" sId="23" numFmtId="4">
    <oc r="V45">
      <v>0</v>
    </oc>
    <nc r="V45">
      <f>V52+V59</f>
    </nc>
  </rcc>
  <rcc rId="12377" sId="23" numFmtId="4">
    <oc r="W45">
      <v>0</v>
    </oc>
    <nc r="W45">
      <f>W52+W59</f>
    </nc>
  </rcc>
  <rcc rId="12378" sId="23" numFmtId="4">
    <oc r="X45">
      <v>0</v>
    </oc>
    <nc r="X45">
      <f>X52+X59</f>
    </nc>
  </rcc>
  <rcc rId="12379" sId="23" numFmtId="4">
    <oc r="Y45">
      <v>0</v>
    </oc>
    <nc r="Y45">
      <f>Y52+Y59</f>
    </nc>
  </rcc>
  <rcc rId="12380" sId="23" numFmtId="4">
    <oc r="Z45">
      <v>0</v>
    </oc>
    <nc r="Z45">
      <f>Z52+Z59</f>
    </nc>
  </rcc>
  <rcc rId="12381" sId="23" numFmtId="4">
    <oc r="AA45">
      <v>0</v>
    </oc>
    <nc r="AA45">
      <f>AA52+AA59</f>
    </nc>
  </rcc>
  <rcc rId="12382" sId="23" numFmtId="4">
    <oc r="AB45">
      <v>0</v>
    </oc>
    <nc r="AB45">
      <f>AB52+AB59</f>
    </nc>
  </rcc>
  <rcc rId="12383" sId="23" numFmtId="4">
    <oc r="AC45">
      <v>0</v>
    </oc>
    <nc r="AC45">
      <f>AC52+AC59</f>
    </nc>
  </rcc>
  <rcc rId="12384" sId="23" numFmtId="4">
    <oc r="AD45">
      <v>0</v>
    </oc>
    <nc r="AD45">
      <f>AD52+AD59</f>
    </nc>
  </rcc>
  <rcc rId="12385" sId="23" numFmtId="4">
    <oc r="AE45">
      <v>0</v>
    </oc>
    <nc r="AE45">
      <f>AE52+AE59</f>
    </nc>
  </rcc>
  <rcc rId="12386" sId="23" odxf="1" dxf="1">
    <oc r="AG45">
      <f>C45-E45</f>
    </oc>
    <nc r="AG45"/>
    <odxf>
      <font>
        <color auto="1"/>
      </font>
      <numFmt numFmtId="4" formatCode="#,##0.00"/>
    </odxf>
    <ndxf>
      <font>
        <sz val="12"/>
        <color auto="1"/>
        <name val="Times New Roman"/>
        <scheme val="none"/>
      </font>
      <numFmt numFmtId="0" formatCode="General"/>
    </ndxf>
  </rcc>
  <rcc rId="12387" sId="23" numFmtId="4">
    <oc r="B46">
      <v>53509.31</v>
    </oc>
    <nc r="B46">
      <f>B53+B60</f>
    </nc>
  </rcc>
  <rcc rId="12388" sId="23" numFmtId="4">
    <oc r="C46">
      <v>22386.76</v>
    </oc>
    <nc r="C46">
      <f>C53+C60</f>
    </nc>
  </rcc>
  <rcc rId="12389" sId="23" numFmtId="4">
    <oc r="D46">
      <v>20470.3</v>
    </oc>
    <nc r="D46">
      <f>E46</f>
    </nc>
  </rcc>
  <rcc rId="12390" sId="23" numFmtId="4">
    <oc r="E46">
      <v>20470.3</v>
    </oc>
    <nc r="E46">
      <f>I46+K46+M46+O46+Q46+S46+U46+W46+Y46+AA46+AC46+AE46</f>
    </nc>
  </rcc>
  <rcc rId="12391" sId="23" numFmtId="4">
    <oc r="F46">
      <v>38.25558580366669</v>
    </oc>
    <nc r="F46">
      <f>IFERROR(E46/B46*100,0)</f>
    </nc>
  </rcc>
  <rcc rId="12392" sId="23" numFmtId="4">
    <oc r="G46">
      <v>91.439315023701511</v>
    </oc>
    <nc r="G46">
      <f>IFERROR(E46/C46*100,0)</f>
    </nc>
  </rcc>
  <rcc rId="12393" sId="23" numFmtId="4">
    <oc r="H46">
      <v>5142.3099999999995</v>
    </oc>
    <nc r="H46">
      <f>H53+H60</f>
    </nc>
  </rcc>
  <rcc rId="12394" sId="23" numFmtId="4">
    <oc r="I46">
      <v>3726.31</v>
    </oc>
    <nc r="I46">
      <f>I53+I60</f>
    </nc>
  </rcc>
  <rcc rId="12395" sId="23" numFmtId="4">
    <oc r="J46">
      <v>5553.46</v>
    </oc>
    <nc r="J46">
      <f>J53+J60</f>
    </nc>
  </rcc>
  <rcc rId="12396" sId="23" numFmtId="4">
    <oc r="K46">
      <v>6282.34</v>
    </oc>
    <nc r="K46">
      <f>K53+K60</f>
    </nc>
  </rcc>
  <rcc rId="12397" sId="23" numFmtId="4">
    <oc r="L46">
      <v>4731.79</v>
    </oc>
    <nc r="L46">
      <f>L53+L60</f>
    </nc>
  </rcc>
  <rcc rId="12398" sId="23" numFmtId="4">
    <oc r="M46">
      <v>4240.28</v>
    </oc>
    <nc r="M46">
      <f>M53+M60</f>
    </nc>
  </rcc>
  <rcc rId="12399" sId="23" numFmtId="4">
    <oc r="N46">
      <v>3977.92</v>
    </oc>
    <nc r="N46">
      <f>N53+N60</f>
    </nc>
  </rcc>
  <rcc rId="12400" sId="23" numFmtId="4">
    <oc r="O46">
      <v>3894.59</v>
    </oc>
    <nc r="O46">
      <f>O53+O60</f>
    </nc>
  </rcc>
  <rcc rId="12401" sId="23" numFmtId="4">
    <oc r="P46">
      <v>2981.2799999999997</v>
    </oc>
    <nc r="P46">
      <f>P53+P60</f>
    </nc>
  </rcc>
  <rcc rId="12402" sId="23" numFmtId="4">
    <oc r="Q46">
      <v>2326.7800000000002</v>
    </oc>
    <nc r="Q46">
      <f>Q53+Q60</f>
    </nc>
  </rcc>
  <rcc rId="12403" sId="23" numFmtId="4">
    <oc r="R46">
      <v>2527.65</v>
    </oc>
    <nc r="R46">
      <f>R53+R60</f>
    </nc>
  </rcc>
  <rcc rId="12404" sId="23" numFmtId="4">
    <oc r="S46">
      <v>0</v>
    </oc>
    <nc r="S46">
      <f>S53+S60</f>
    </nc>
  </rcc>
  <rcc rId="12405" sId="23" numFmtId="4">
    <oc r="T46">
      <v>3132.16</v>
    </oc>
    <nc r="T46">
      <f>T53+T60</f>
    </nc>
  </rcc>
  <rcc rId="12406" sId="23" numFmtId="4">
    <oc r="U46">
      <v>0</v>
    </oc>
    <nc r="U46">
      <f>U53+U60</f>
    </nc>
  </rcc>
  <rcc rId="12407" sId="23" numFmtId="4">
    <oc r="V46">
      <v>4103.8100000000004</v>
    </oc>
    <nc r="V46">
      <f>V53+V60</f>
    </nc>
  </rcc>
  <rcc rId="12408" sId="23" numFmtId="4">
    <oc r="W46">
      <v>0</v>
    </oc>
    <nc r="W46">
      <f>W53+W60</f>
    </nc>
  </rcc>
  <rcc rId="12409" sId="23" numFmtId="4">
    <oc r="X46">
      <v>4851.67</v>
    </oc>
    <nc r="X46">
      <f>X53+X60</f>
    </nc>
  </rcc>
  <rcc rId="12410" sId="23" numFmtId="4">
    <oc r="Y46">
      <v>0</v>
    </oc>
    <nc r="Y46">
      <f>Y53+Y60</f>
    </nc>
  </rcc>
  <rcc rId="12411" sId="23" numFmtId="4">
    <oc r="Z46">
      <v>6810.2</v>
    </oc>
    <nc r="Z46">
      <f>Z53+Z60</f>
    </nc>
  </rcc>
  <rcc rId="12412" sId="23" numFmtId="4">
    <oc r="AA46">
      <v>0</v>
    </oc>
    <nc r="AA46">
      <f>AA53+AA60</f>
    </nc>
  </rcc>
  <rcc rId="12413" sId="23" numFmtId="4">
    <oc r="AB46">
      <v>4842.46</v>
    </oc>
    <nc r="AB46">
      <f>AB53+AB60</f>
    </nc>
  </rcc>
  <rcc rId="12414" sId="23" numFmtId="4">
    <oc r="AC46">
      <v>0</v>
    </oc>
    <nc r="AC46">
      <f>AC53+AC60</f>
    </nc>
  </rcc>
  <rcc rId="12415" sId="23" numFmtId="4">
    <oc r="AD46">
      <v>4854.6000000000004</v>
    </oc>
    <nc r="AD46">
      <f>AD53+AD60</f>
    </nc>
  </rcc>
  <rcc rId="12416" sId="23" numFmtId="4">
    <oc r="AE46">
      <v>0</v>
    </oc>
    <nc r="AE46">
      <f>AE53+AE60</f>
    </nc>
  </rcc>
  <rcc rId="12417" sId="23" odxf="1" dxf="1">
    <oc r="AG46">
      <f>C46-E46</f>
    </oc>
    <nc r="AG46"/>
    <odxf>
      <font>
        <color auto="1"/>
      </font>
      <numFmt numFmtId="4" formatCode="#,##0.00"/>
    </odxf>
    <ndxf>
      <font>
        <sz val="12"/>
        <color auto="1"/>
        <name val="Times New Roman"/>
        <scheme val="none"/>
      </font>
      <numFmt numFmtId="0" formatCode="General"/>
    </ndxf>
  </rcc>
  <rcc rId="12418" sId="23" numFmtId="4">
    <oc r="B47">
      <v>0</v>
    </oc>
    <nc r="B47">
      <f>B54+B61</f>
    </nc>
  </rcc>
  <rcc rId="12419" sId="23" numFmtId="4">
    <oc r="C47">
      <v>0</v>
    </oc>
    <nc r="C47">
      <f>C54+C61</f>
    </nc>
  </rcc>
  <rcc rId="12420" sId="23" numFmtId="4">
    <oc r="D47">
      <v>0</v>
    </oc>
    <nc r="D47">
      <f>E47</f>
    </nc>
  </rcc>
  <rcc rId="12421" sId="23" numFmtId="4">
    <oc r="E47">
      <v>0</v>
    </oc>
    <nc r="E47">
      <f>I47+K47+M47+O47+Q47+S47+U47+W47+Y47+AA47+AC47+AE47</f>
    </nc>
  </rcc>
  <rcc rId="12422" sId="23" numFmtId="4">
    <oc r="F47">
      <v>0</v>
    </oc>
    <nc r="F47">
      <f>IFERROR(E47/B47*100,0)</f>
    </nc>
  </rcc>
  <rcc rId="12423" sId="23" numFmtId="4">
    <oc r="G47">
      <v>0</v>
    </oc>
    <nc r="G47">
      <f>IFERROR(E47/C47*100,0)</f>
    </nc>
  </rcc>
  <rcc rId="12424" sId="23" numFmtId="4">
    <oc r="H47">
      <v>0</v>
    </oc>
    <nc r="H47">
      <f>H54+H61</f>
    </nc>
  </rcc>
  <rcc rId="12425" sId="23" numFmtId="4">
    <oc r="I47">
      <v>0</v>
    </oc>
    <nc r="I47">
      <f>I54+I61</f>
    </nc>
  </rcc>
  <rcc rId="12426" sId="23" numFmtId="4">
    <oc r="J47">
      <v>0</v>
    </oc>
    <nc r="J47">
      <f>J54+J61</f>
    </nc>
  </rcc>
  <rcc rId="12427" sId="23" numFmtId="4">
    <oc r="K47">
      <v>0</v>
    </oc>
    <nc r="K47">
      <f>K54+K61</f>
    </nc>
  </rcc>
  <rcc rId="12428" sId="23" numFmtId="4">
    <oc r="L47">
      <v>0</v>
    </oc>
    <nc r="L47">
      <f>L54+L61</f>
    </nc>
  </rcc>
  <rcc rId="12429" sId="23" numFmtId="4">
    <oc r="M47">
      <v>0</v>
    </oc>
    <nc r="M47">
      <f>M54+M61</f>
    </nc>
  </rcc>
  <rcc rId="12430" sId="23" numFmtId="4">
    <oc r="N47">
      <v>0</v>
    </oc>
    <nc r="N47">
      <f>N54+N61</f>
    </nc>
  </rcc>
  <rcc rId="12431" sId="23" numFmtId="4">
    <oc r="O47">
      <v>0</v>
    </oc>
    <nc r="O47">
      <f>O54+O61</f>
    </nc>
  </rcc>
  <rcc rId="12432" sId="23" numFmtId="4">
    <oc r="P47">
      <v>0</v>
    </oc>
    <nc r="P47">
      <f>P54+P61</f>
    </nc>
  </rcc>
  <rcc rId="12433" sId="23" numFmtId="4">
    <oc r="Q47">
      <v>0</v>
    </oc>
    <nc r="Q47">
      <f>Q54+Q61</f>
    </nc>
  </rcc>
  <rcc rId="12434" sId="23" numFmtId="4">
    <oc r="R47">
      <v>0</v>
    </oc>
    <nc r="R47">
      <f>R54+R61</f>
    </nc>
  </rcc>
  <rcc rId="12435" sId="23" numFmtId="4">
    <oc r="S47">
      <v>0</v>
    </oc>
    <nc r="S47">
      <f>S54+S61</f>
    </nc>
  </rcc>
  <rcc rId="12436" sId="23" numFmtId="4">
    <oc r="T47">
      <v>0</v>
    </oc>
    <nc r="T47">
      <f>T54+T61</f>
    </nc>
  </rcc>
  <rcc rId="12437" sId="23" numFmtId="4">
    <oc r="U47">
      <v>0</v>
    </oc>
    <nc r="U47">
      <f>U54+U61</f>
    </nc>
  </rcc>
  <rcc rId="12438" sId="23" numFmtId="4">
    <oc r="V47">
      <v>0</v>
    </oc>
    <nc r="V47">
      <f>V54+V61</f>
    </nc>
  </rcc>
  <rcc rId="12439" sId="23" numFmtId="4">
    <oc r="W47">
      <v>0</v>
    </oc>
    <nc r="W47">
      <f>W54+W61</f>
    </nc>
  </rcc>
  <rcc rId="12440" sId="23" numFmtId="4">
    <oc r="X47">
      <v>0</v>
    </oc>
    <nc r="X47">
      <f>X54+X61</f>
    </nc>
  </rcc>
  <rcc rId="12441" sId="23" numFmtId="4">
    <oc r="Y47">
      <v>0</v>
    </oc>
    <nc r="Y47">
      <f>Y54+Y61</f>
    </nc>
  </rcc>
  <rcc rId="12442" sId="23" numFmtId="4">
    <oc r="Z47">
      <v>0</v>
    </oc>
    <nc r="Z47">
      <f>Z54+Z61</f>
    </nc>
  </rcc>
  <rcc rId="12443" sId="23" numFmtId="4">
    <oc r="AA47">
      <v>0</v>
    </oc>
    <nc r="AA47">
      <f>AA54+AA61</f>
    </nc>
  </rcc>
  <rcc rId="12444" sId="23" numFmtId="4">
    <oc r="AB47">
      <v>0</v>
    </oc>
    <nc r="AB47">
      <f>AB54+AB61</f>
    </nc>
  </rcc>
  <rcc rId="12445" sId="23" numFmtId="4">
    <oc r="AC47">
      <v>0</v>
    </oc>
    <nc r="AC47">
      <f>AC54+AC61</f>
    </nc>
  </rcc>
  <rcc rId="12446" sId="23" numFmtId="4">
    <oc r="AD47">
      <v>0</v>
    </oc>
    <nc r="AD47">
      <f>AD54+AD61</f>
    </nc>
  </rcc>
  <rcc rId="12447" sId="23" numFmtId="4">
    <oc r="AE47">
      <v>0</v>
    </oc>
    <nc r="AE47">
      <f>AE54+AE61</f>
    </nc>
  </rcc>
  <rcc rId="12448" sId="23" odxf="1" dxf="1">
    <oc r="AG47">
      <f>C47-E47</f>
    </oc>
    <nc r="AG47"/>
    <odxf>
      <font>
        <color auto="1"/>
      </font>
      <numFmt numFmtId="4" formatCode="#,##0.00"/>
    </odxf>
    <ndxf>
      <font>
        <sz val="12"/>
        <color auto="1"/>
        <name val="Times New Roman"/>
        <scheme val="none"/>
      </font>
      <numFmt numFmtId="0" formatCode="General"/>
    </ndxf>
  </rcc>
  <rcc rId="12449" sId="23" numFmtId="4">
    <oc r="B48">
      <v>0</v>
    </oc>
    <nc r="B48">
      <f>B55+B62</f>
    </nc>
  </rcc>
  <rcc rId="12450" sId="23" numFmtId="4">
    <oc r="C48">
      <v>0</v>
    </oc>
    <nc r="C48">
      <f>C55+C62</f>
    </nc>
  </rcc>
  <rcc rId="12451" sId="23" numFmtId="4">
    <oc r="D48">
      <v>0</v>
    </oc>
    <nc r="D48">
      <f>E48</f>
    </nc>
  </rcc>
  <rcc rId="12452" sId="23" numFmtId="4">
    <oc r="E48">
      <v>0</v>
    </oc>
    <nc r="E48">
      <f>I48+K48+M48+O48+Q48+S48+U48+W48+Y48+AA48+AC48+AE48</f>
    </nc>
  </rcc>
  <rcc rId="12453" sId="23" numFmtId="4">
    <oc r="F48">
      <v>0</v>
    </oc>
    <nc r="F48">
      <f>IFERROR(E48/B48*100,0)</f>
    </nc>
  </rcc>
  <rcc rId="12454" sId="23" numFmtId="4">
    <oc r="G48">
      <v>0</v>
    </oc>
    <nc r="G48">
      <f>IFERROR(E48/C48*100,0)</f>
    </nc>
  </rcc>
  <rcc rId="12455" sId="23" numFmtId="4">
    <oc r="H48">
      <v>0</v>
    </oc>
    <nc r="H48">
      <f>H55+H62</f>
    </nc>
  </rcc>
  <rcc rId="12456" sId="23" numFmtId="4">
    <oc r="I48">
      <v>0</v>
    </oc>
    <nc r="I48">
      <f>I55+I62</f>
    </nc>
  </rcc>
  <rcc rId="12457" sId="23" numFmtId="4">
    <oc r="J48">
      <v>0</v>
    </oc>
    <nc r="J48">
      <f>J55+J62</f>
    </nc>
  </rcc>
  <rcc rId="12458" sId="23" numFmtId="4">
    <oc r="K48">
      <v>0</v>
    </oc>
    <nc r="K48">
      <f>K55+K62</f>
    </nc>
  </rcc>
  <rcc rId="12459" sId="23" numFmtId="4">
    <oc r="L48">
      <v>0</v>
    </oc>
    <nc r="L48">
      <f>L55+L62</f>
    </nc>
  </rcc>
  <rcc rId="12460" sId="23" numFmtId="4">
    <oc r="M48">
      <v>0</v>
    </oc>
    <nc r="M48">
      <f>M55+M62</f>
    </nc>
  </rcc>
  <rcc rId="12461" sId="23" numFmtId="4">
    <oc r="N48">
      <v>0</v>
    </oc>
    <nc r="N48">
      <f>N55+N62</f>
    </nc>
  </rcc>
  <rcc rId="12462" sId="23" numFmtId="4">
    <oc r="O48">
      <v>0</v>
    </oc>
    <nc r="O48">
      <f>O55+O62</f>
    </nc>
  </rcc>
  <rcc rId="12463" sId="23" numFmtId="4">
    <oc r="P48">
      <v>0</v>
    </oc>
    <nc r="P48">
      <f>P55+P62</f>
    </nc>
  </rcc>
  <rcc rId="12464" sId="23" numFmtId="4">
    <oc r="Q48">
      <v>0</v>
    </oc>
    <nc r="Q48">
      <f>Q55+Q62</f>
    </nc>
  </rcc>
  <rcc rId="12465" sId="23" numFmtId="4">
    <oc r="R48">
      <v>0</v>
    </oc>
    <nc r="R48">
      <f>R55+R62</f>
    </nc>
  </rcc>
  <rcc rId="12466" sId="23" numFmtId="4">
    <oc r="S48">
      <v>0</v>
    </oc>
    <nc r="S48">
      <f>S55+S62</f>
    </nc>
  </rcc>
  <rcc rId="12467" sId="23" numFmtId="4">
    <oc r="T48">
      <v>0</v>
    </oc>
    <nc r="T48">
      <f>T55+T62</f>
    </nc>
  </rcc>
  <rcc rId="12468" sId="23" numFmtId="4">
    <oc r="U48">
      <v>0</v>
    </oc>
    <nc r="U48">
      <f>U55+U62</f>
    </nc>
  </rcc>
  <rcc rId="12469" sId="23" numFmtId="4">
    <oc r="V48">
      <v>0</v>
    </oc>
    <nc r="V48">
      <f>V55+V62</f>
    </nc>
  </rcc>
  <rcc rId="12470" sId="23" numFmtId="4">
    <oc r="W48">
      <v>0</v>
    </oc>
    <nc r="W48">
      <f>W55+W62</f>
    </nc>
  </rcc>
  <rcc rId="12471" sId="23" numFmtId="4">
    <oc r="X48">
      <v>0</v>
    </oc>
    <nc r="X48">
      <f>X55+X62</f>
    </nc>
  </rcc>
  <rcc rId="12472" sId="23" numFmtId="4">
    <oc r="Y48">
      <v>0</v>
    </oc>
    <nc r="Y48">
      <f>Y55+Y62</f>
    </nc>
  </rcc>
  <rcc rId="12473" sId="23" numFmtId="4">
    <oc r="Z48">
      <v>0</v>
    </oc>
    <nc r="Z48">
      <f>Z55+Z62</f>
    </nc>
  </rcc>
  <rcc rId="12474" sId="23" numFmtId="4">
    <oc r="AA48">
      <v>0</v>
    </oc>
    <nc r="AA48">
      <f>AA55+AA62</f>
    </nc>
  </rcc>
  <rcc rId="12475" sId="23" numFmtId="4">
    <oc r="AB48">
      <v>0</v>
    </oc>
    <nc r="AB48">
      <f>AB55+AB62</f>
    </nc>
  </rcc>
  <rcc rId="12476" sId="23" numFmtId="4">
    <oc r="AC48">
      <v>0</v>
    </oc>
    <nc r="AC48">
      <f>AC55+AC62</f>
    </nc>
  </rcc>
  <rcc rId="12477" sId="23" numFmtId="4">
    <oc r="AD48">
      <v>0</v>
    </oc>
    <nc r="AD48">
      <f>AD55+AD62</f>
    </nc>
  </rcc>
  <rcc rId="12478" sId="23" numFmtId="4">
    <oc r="AE48">
      <v>0</v>
    </oc>
    <nc r="AE48">
      <f>AE55+AE62</f>
    </nc>
  </rcc>
  <rcc rId="12479" sId="23" odxf="1" dxf="1">
    <oc r="AG48">
      <f>C48-E48</f>
    </oc>
    <nc r="AG48"/>
    <odxf>
      <font>
        <color auto="1"/>
      </font>
      <numFmt numFmtId="4" formatCode="#,##0.00"/>
    </odxf>
    <ndxf>
      <font>
        <sz val="12"/>
        <color auto="1"/>
        <name val="Times New Roman"/>
        <scheme val="none"/>
      </font>
      <numFmt numFmtId="0" formatCode="General"/>
    </ndxf>
  </rcc>
  <rfmt sheetId="23" sqref="A49" start="0" length="0">
    <dxf>
      <alignment wrapText="1" readingOrder="0"/>
    </dxf>
  </rfmt>
  <rcc rId="12480" sId="23" odxf="1" dxf="1">
    <oc r="AG49">
      <f>C49-E49</f>
    </oc>
    <nc r="AG49"/>
    <odxf>
      <font>
        <color auto="1"/>
      </font>
      <numFmt numFmtId="4" formatCode="#,##0.00"/>
    </odxf>
    <ndxf>
      <font>
        <sz val="12"/>
        <color auto="1"/>
        <name val="Times New Roman"/>
        <scheme val="none"/>
      </font>
      <numFmt numFmtId="0" formatCode="General"/>
    </ndxf>
  </rcc>
  <rcc rId="12481" sId="23" numFmtId="4">
    <oc r="B50">
      <v>8644.3100000000013</v>
    </oc>
    <nc r="B50">
      <f>B52+B53+B51+B55</f>
    </nc>
  </rcc>
  <rcc rId="12482" sId="23" numFmtId="4">
    <oc r="C50">
      <v>3869.2100000000005</v>
    </oc>
    <nc r="C50">
      <f>C52+C53+C51+C55</f>
    </nc>
  </rcc>
  <rcc rId="12483" sId="23" numFmtId="4">
    <oc r="D50">
      <v>3854.6700000000005</v>
    </oc>
    <nc r="D50">
      <f>D52+D53+D51+D55</f>
    </nc>
  </rcc>
  <rcc rId="12484" sId="23" numFmtId="4">
    <oc r="E50">
      <v>3854.6700000000005</v>
    </oc>
    <nc r="E50">
      <f>E52+E53+E51+E55</f>
    </nc>
  </rcc>
  <rcc rId="12485" sId="23" numFmtId="4">
    <oc r="F50">
      <v>44.59199172634947</v>
    </oc>
    <nc r="F50">
      <f>IFERROR(E50/B50*100,0)</f>
    </nc>
  </rcc>
  <rcc rId="12486" sId="23" numFmtId="4">
    <oc r="G50">
      <v>99.624212694581061</v>
    </oc>
    <nc r="G50">
      <f>IFERROR(E50/C50*100,0)</f>
    </nc>
  </rcc>
  <rcc rId="12487" sId="23" numFmtId="4">
    <oc r="H50">
      <v>1391.87</v>
    </oc>
    <nc r="H50">
      <f>H52+H53+H51+H55</f>
    </nc>
  </rcc>
  <rcc rId="12488" sId="23" numFmtId="4">
    <oc r="I50">
      <v>0</v>
    </oc>
    <nc r="I50">
      <f>I52+I53+I51+I55</f>
    </nc>
  </rcc>
  <rcc rId="12489" sId="23" numFmtId="4">
    <oc r="J50">
      <v>1136.68</v>
    </oc>
    <nc r="J50">
      <f>J52+J53+J51+J55</f>
    </nc>
  </rcc>
  <rcc rId="12490" sId="23" numFmtId="4">
    <oc r="K50">
      <v>2528.5500000000002</v>
    </oc>
    <nc r="K50">
      <f>K52+K53+K51+K55</f>
    </nc>
  </rcc>
  <rcc rId="12491" sId="23" numFmtId="4">
    <oc r="L50">
      <v>817.05</v>
    </oc>
    <nc r="L50">
      <f>L52+L53+L51+L55</f>
    </nc>
  </rcc>
  <rcc rId="12492" sId="23" numFmtId="4">
    <oc r="M50">
      <v>817.05</v>
    </oc>
    <nc r="M50">
      <f>M52+M53+M51+M55</f>
    </nc>
  </rcc>
  <rcc rId="12493" sId="23" numFmtId="4">
    <oc r="N50">
      <v>509.07</v>
    </oc>
    <nc r="N50">
      <f>N52+N53+N51+N55</f>
    </nc>
  </rcc>
  <rcc rId="12494" sId="23" numFmtId="4">
    <oc r="O50">
      <v>509.07</v>
    </oc>
    <nc r="O50">
      <f>O52+O53+O51+O55</f>
    </nc>
  </rcc>
  <rcc rId="12495" sId="23" numFmtId="4">
    <oc r="P50">
      <v>14.54</v>
    </oc>
    <nc r="P50">
      <f>P52+P53+P51+P55</f>
    </nc>
  </rcc>
  <rcc rId="12496" sId="23" numFmtId="4">
    <oc r="Q50">
      <v>0</v>
    </oc>
    <nc r="Q50">
      <f>Q52+Q53+Q51+Q55</f>
    </nc>
  </rcc>
  <rcc rId="12497" sId="23" numFmtId="4">
    <oc r="R50">
      <v>109.61</v>
    </oc>
    <nc r="R50">
      <f>R52+R53+R51+R55</f>
    </nc>
  </rcc>
  <rcc rId="12498" sId="23" numFmtId="4">
    <oc r="S50">
      <v>0</v>
    </oc>
    <nc r="S50">
      <f>S52+S53+S51+S55</f>
    </nc>
  </rcc>
  <rcc rId="12499" sId="23" numFmtId="4">
    <oc r="T50">
      <v>706.92</v>
    </oc>
    <nc r="T50">
      <f>T52+T53+T51+T55</f>
    </nc>
  </rcc>
  <rcc rId="12500" sId="23" numFmtId="4">
    <oc r="U50">
      <v>0</v>
    </oc>
    <nc r="U50">
      <f>U52+U53+U51+U55</f>
    </nc>
  </rcc>
  <rcc rId="12501" sId="23" numFmtId="4">
    <oc r="V50">
      <v>1073.97</v>
    </oc>
    <nc r="V50">
      <f>V52+V53+V51+V55</f>
    </nc>
  </rcc>
  <rcc rId="12502" sId="23" numFmtId="4">
    <oc r="W50">
      <v>0</v>
    </oc>
    <nc r="W50">
      <f>W52+W53+W51+W55</f>
    </nc>
  </rcc>
  <rcc rId="12503" sId="23" numFmtId="4">
    <oc r="X50">
      <v>1386.93</v>
    </oc>
    <nc r="X50">
      <f>X52+X53+X51+X55</f>
    </nc>
  </rcc>
  <rcc rId="12504" sId="23" numFmtId="4">
    <oc r="Y50">
      <v>0</v>
    </oc>
    <nc r="Y50">
      <f>Y52+Y53+Y51+Y55</f>
    </nc>
  </rcc>
  <rcc rId="12505" sId="23" numFmtId="4">
    <oc r="Z50">
      <v>1379.96</v>
    </oc>
    <nc r="Z50">
      <f>Z52+Z53+Z51+Z55</f>
    </nc>
  </rcc>
  <rcc rId="12506" sId="23" numFmtId="4">
    <oc r="AA50">
      <v>0</v>
    </oc>
    <nc r="AA50">
      <f>AA52+AA53+AA51+AA55</f>
    </nc>
  </rcc>
  <rcc rId="12507" sId="23" numFmtId="4">
    <oc r="AB50">
      <v>117.71</v>
    </oc>
    <nc r="AB50">
      <f>AB52+AB53+AB51+AB55</f>
    </nc>
  </rcc>
  <rcc rId="12508" sId="23" numFmtId="4">
    <oc r="AC50">
      <v>0</v>
    </oc>
    <nc r="AC50">
      <f>AC52+AC53+AC51+AC55</f>
    </nc>
  </rcc>
  <rcc rId="12509" sId="23" numFmtId="4">
    <oc r="AD50">
      <v>0</v>
    </oc>
    <nc r="AD50">
      <f>AD52+AD53+AD51+AD55</f>
    </nc>
  </rcc>
  <rcc rId="12510" sId="23" numFmtId="4">
    <oc r="AE50">
      <v>0</v>
    </oc>
    <nc r="AE50">
      <f>AE52+AE53+AE51+AE55</f>
    </nc>
  </rcc>
  <rcc rId="12511" sId="23" odxf="1" dxf="1">
    <oc r="AG50">
      <f>C50-E50</f>
    </oc>
    <nc r="AG50"/>
    <odxf>
      <font>
        <color auto="1"/>
      </font>
      <numFmt numFmtId="4" formatCode="#,##0.00"/>
    </odxf>
    <ndxf>
      <font>
        <sz val="12"/>
        <color auto="1"/>
        <name val="Times New Roman"/>
        <scheme val="none"/>
      </font>
      <numFmt numFmtId="0" formatCode="General"/>
    </ndxf>
  </rcc>
  <rcc rId="12512" sId="23" numFmtId="4">
    <oc r="B51">
      <v>0</v>
    </oc>
    <nc r="B51">
      <f>H51+J51+L51+N51+P51+R51+T51+V51+X51+Z51+AB51+AD51</f>
    </nc>
  </rcc>
  <rcc rId="12513" sId="23" numFmtId="4">
    <oc r="C51">
      <v>0</v>
    </oc>
    <nc r="C51">
      <f>T51+R51+H51+J51+L51+N51+P51</f>
    </nc>
  </rcc>
  <rcc rId="12514" sId="23" numFmtId="4">
    <oc r="D51">
      <v>0</v>
    </oc>
    <nc r="D51">
      <f>E51</f>
    </nc>
  </rcc>
  <rcc rId="12515" sId="23" numFmtId="4">
    <oc r="E51">
      <v>0</v>
    </oc>
    <nc r="E51">
      <f>I51+K51+M51+O51+Q51+S51+U51+W51+Y51+AA51+AC51+AE51</f>
    </nc>
  </rcc>
  <rcc rId="12516" sId="23" numFmtId="4">
    <oc r="F51">
      <v>0</v>
    </oc>
    <nc r="F51">
      <f>IFERROR(E51/B51*100,0)</f>
    </nc>
  </rcc>
  <rcc rId="12517" sId="23" numFmtId="4">
    <oc r="G51">
      <v>0</v>
    </oc>
    <nc r="G51">
      <f>IFERROR(E51/C51*100,0)</f>
    </nc>
  </rcc>
  <rcc rId="12518" sId="23" odxf="1" dxf="1">
    <oc r="AG51">
      <f>C51-E51</f>
    </oc>
    <nc r="AG51"/>
    <odxf>
      <font>
        <color auto="1"/>
      </font>
      <numFmt numFmtId="4" formatCode="#,##0.00"/>
    </odxf>
    <ndxf>
      <font>
        <sz val="12"/>
        <color auto="1"/>
        <name val="Times New Roman"/>
        <scheme val="none"/>
      </font>
      <numFmt numFmtId="0" formatCode="General"/>
    </ndxf>
  </rcc>
  <rcc rId="12519" sId="23" numFmtId="4">
    <oc r="B52">
      <v>0</v>
    </oc>
    <nc r="B52">
      <f>H52+J52+L52+N52+P52+R52+T52+V52+X52+Z52+AB52+AD52</f>
    </nc>
  </rcc>
  <rcc rId="12520" sId="23" numFmtId="4">
    <oc r="C52">
      <v>0</v>
    </oc>
    <nc r="C52">
      <f>T52+R52+H52+J52+L52+N52+P52</f>
    </nc>
  </rcc>
  <rcc rId="12521" sId="23" numFmtId="4">
    <oc r="D52">
      <v>0</v>
    </oc>
    <nc r="D52">
      <f>E52</f>
    </nc>
  </rcc>
  <rcc rId="12522" sId="23" numFmtId="4">
    <oc r="E52">
      <v>0</v>
    </oc>
    <nc r="E52">
      <f>I52+K52+M52+O52+Q52+S52+U52+W52+Y52+AA52+AC52+AE52</f>
    </nc>
  </rcc>
  <rcc rId="12523" sId="23" numFmtId="4">
    <oc r="F52">
      <v>0</v>
    </oc>
    <nc r="F52">
      <f>IFERROR(E52/B52*100,0)</f>
    </nc>
  </rcc>
  <rcc rId="12524" sId="23" numFmtId="4">
    <oc r="G52">
      <v>0</v>
    </oc>
    <nc r="G52">
      <f>IFERROR(E52/C52*100,0)</f>
    </nc>
  </rcc>
  <rcc rId="12525" sId="23" odxf="1" dxf="1">
    <oc r="AG52">
      <f>C52-E52</f>
    </oc>
    <nc r="AG52"/>
    <odxf>
      <font>
        <color auto="1"/>
      </font>
      <numFmt numFmtId="4" formatCode="#,##0.00"/>
    </odxf>
    <ndxf>
      <font>
        <sz val="12"/>
        <color auto="1"/>
        <name val="Times New Roman"/>
        <scheme val="none"/>
      </font>
      <numFmt numFmtId="0" formatCode="General"/>
    </ndxf>
  </rcc>
  <rcc rId="12526" sId="23" numFmtId="34">
    <oc r="B53">
      <v>8644.3100000000013</v>
    </oc>
    <nc r="B53">
      <f>H53+J53+L53+N53+P53+R53+T53+V53+X53+Z53+AB53+AD53</f>
    </nc>
  </rcc>
  <rcc rId="12527" sId="23" numFmtId="4">
    <oc r="C53">
      <v>3869.2100000000005</v>
    </oc>
    <nc r="C53">
      <f>T53+R53+H53+J53+L53+N53+P53</f>
    </nc>
  </rcc>
  <rcc rId="12528" sId="23" numFmtId="34">
    <oc r="D53">
      <v>3854.6700000000005</v>
    </oc>
    <nc r="D53">
      <f>E53</f>
    </nc>
  </rcc>
  <rcc rId="12529" sId="23" numFmtId="34">
    <oc r="E53">
      <v>3854.6700000000005</v>
    </oc>
    <nc r="E53">
      <f>I53+K53+M53+O53+Q53+S53+U53+W53+Y53+AA53+AC53+AE53</f>
    </nc>
  </rcc>
  <rcc rId="12530" sId="23" numFmtId="34">
    <oc r="F53">
      <v>44.59199172634947</v>
    </oc>
    <nc r="F53">
      <f>E53/B53*100</f>
    </nc>
  </rcc>
  <rcc rId="12531" sId="23" numFmtId="34">
    <oc r="G53">
      <v>99.624212694581061</v>
    </oc>
    <nc r="G53">
      <f>E53/C53*100</f>
    </nc>
  </rcc>
  <rcc rId="12532" sId="23" numFmtId="34">
    <oc r="J53">
      <v>1136.68</v>
    </oc>
    <nc r="J53">
      <f>'D:\user\Documents\Программы\Сетевые графики\Отчет на 01.08.2024\[Сетевой график за июль.xlsx]УКС'!J43</f>
    </nc>
  </rcc>
  <rcc rId="12533" sId="23" odxf="1" s="1" dxf="1" numFmtId="34">
    <oc r="K53">
      <v>2528.5500000000002</v>
    </oc>
    <nc r="K53">
      <f>'D:\user\Documents\Программы\Сетевые графики\Отчет на 01.08.2024\[Сетевой график за июль.xlsx]УКС'!K43</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70" formatCode="_(* #,##0.00_);_(* \(#,##0.00\);_(* &quot;-&quot;??_);_(@_)"/>
    </ndxf>
  </rcc>
  <rcc rId="12534" sId="23" numFmtId="34">
    <oc r="L53">
      <v>817.05</v>
    </oc>
    <nc r="L53">
      <f>'D:\user\Documents\Программы\Сетевые графики\Отчет на 01.08.2024\[Сетевой график за июль.xlsx]УКС'!L43</f>
    </nc>
  </rcc>
  <rcc rId="12535" sId="23" numFmtId="34">
    <oc r="M53">
      <v>817.05</v>
    </oc>
    <nc r="M53">
      <f>'D:\user\Documents\Программы\Сетевые графики\Отчет на 01.08.2024\[Сетевой график за июль.xlsx]УКС'!M43</f>
    </nc>
  </rcc>
  <rcc rId="12536" sId="23" numFmtId="34">
    <oc r="N53">
      <v>509.07</v>
    </oc>
    <nc r="N53">
      <f>'D:\user\Documents\Программы\Сетевые графики\Отчет на 01.08.2024\[Сетевой график за июль.xlsx]УКС'!N43</f>
    </nc>
  </rcc>
  <rcc rId="12537" sId="23" numFmtId="34">
    <oc r="O53">
      <v>509.07</v>
    </oc>
    <nc r="O53">
      <f>'D:\user\Documents\Программы\Сетевые графики\Отчет на 01.08.2024\[Сетевой график за июль.xlsx]УКС'!O43</f>
    </nc>
  </rcc>
  <rcc rId="12538" sId="23" numFmtId="34">
    <oc r="P53">
      <v>14.54</v>
    </oc>
    <nc r="P53">
      <f>'D:\user\Documents\Программы\Сетевые графики\Отчет на 01.08.2024\[Сетевой график за июль.xlsx]УКС'!P43</f>
    </nc>
  </rcc>
  <rcc rId="12539" sId="23" numFmtId="34">
    <oc r="Q53">
      <v>0</v>
    </oc>
    <nc r="Q53">
      <f>'D:\user\Documents\Программы\Сетевые графики\Отчет на 01.08.2024\[Сетевой график за июль.xlsx]УКС'!Q43</f>
    </nc>
  </rcc>
  <rcc rId="12540" sId="23" numFmtId="34">
    <oc r="R53">
      <v>109.61</v>
    </oc>
    <nc r="R53">
      <f>'D:\user\Documents\Программы\Сетевые графики\Отчет на 01.08.2024\[Сетевой график за июль.xlsx]УКС'!R43</f>
    </nc>
  </rcc>
  <rcc rId="12541" sId="23" numFmtId="34">
    <oc r="S53">
      <v>0</v>
    </oc>
    <nc r="S53">
      <f>'D:\user\Documents\Программы\Сетевые графики\Отчет на 01.08.2024\[Сетевой график за июль.xlsx]УКС'!S43</f>
    </nc>
  </rcc>
  <rcc rId="12542" sId="23" numFmtId="34">
    <oc r="T53">
      <v>706.92</v>
    </oc>
    <nc r="T53">
      <f>'D:\user\Documents\Программы\Сетевые графики\Отчет на 01.08.2024\[Сетевой график за июль.xlsx]УКС'!T43</f>
    </nc>
  </rcc>
  <rcc rId="12543" sId="23" numFmtId="34">
    <oc r="U53">
      <v>0</v>
    </oc>
    <nc r="U53">
      <f>'D:\user\Documents\Программы\Сетевые графики\Отчет на 01.08.2024\[Сетевой график за июль.xlsx]УКС'!U43</f>
    </nc>
  </rcc>
  <rcc rId="12544" sId="23" numFmtId="34">
    <oc r="V53">
      <v>1073.97</v>
    </oc>
    <nc r="V53">
      <f>'D:\user\Documents\Программы\Сетевые графики\Отчет на 01.08.2024\[Сетевой график за июль.xlsx]УКС'!V43</f>
    </nc>
  </rcc>
  <rcc rId="12545" sId="23" numFmtId="34">
    <oc r="W53">
      <v>0</v>
    </oc>
    <nc r="W53">
      <f>'D:\user\Documents\Программы\Сетевые графики\Отчет на 01.08.2024\[Сетевой график за июль.xlsx]УКС'!W43</f>
    </nc>
  </rcc>
  <rcc rId="12546" sId="23" numFmtId="34">
    <oc r="X53">
      <v>1386.93</v>
    </oc>
    <nc r="X53">
      <f>'D:\user\Documents\Программы\Сетевые графики\Отчет на 01.08.2024\[Сетевой график за июль.xlsx]УКС'!X43</f>
    </nc>
  </rcc>
  <rcc rId="12547" sId="23" numFmtId="34">
    <oc r="Y53">
      <v>0</v>
    </oc>
    <nc r="Y53">
      <f>'D:\user\Documents\Программы\Сетевые графики\Отчет на 01.08.2024\[Сетевой график за июль.xlsx]УКС'!Y43</f>
    </nc>
  </rcc>
  <rcc rId="12548" sId="23" numFmtId="34">
    <oc r="Z53">
      <v>1379.96</v>
    </oc>
    <nc r="Z53">
      <f>'D:\user\Documents\Программы\Сетевые графики\Отчет на 01.08.2024\[Сетевой график за июль.xlsx]УКС'!Z43</f>
    </nc>
  </rcc>
  <rcc rId="12549" sId="23" numFmtId="34">
    <oc r="AA53">
      <v>0</v>
    </oc>
    <nc r="AA53">
      <f>'D:\user\Documents\Программы\Сетевые графики\Отчет на 01.08.2024\[Сетевой график за июль.xlsx]УКС'!AA43</f>
    </nc>
  </rcc>
  <rcc rId="12550" sId="23" numFmtId="34">
    <oc r="AB53">
      <v>117.71</v>
    </oc>
    <nc r="AB53">
      <f>'D:\user\Documents\Программы\Сетевые графики\Отчет на 01.08.2024\[Сетевой график за июль.xlsx]УКС'!AB43</f>
    </nc>
  </rcc>
  <rcc rId="12551" sId="23" numFmtId="34">
    <oc r="AC53">
      <v>0</v>
    </oc>
    <nc r="AC53">
      <f>'D:\user\Documents\Программы\Сетевые графики\Отчет на 01.08.2024\[Сетевой график за июль.xlsx]УКС'!AC43</f>
    </nc>
  </rcc>
  <rcc rId="12552" sId="23" numFmtId="34">
    <oc r="AD53">
      <v>0</v>
    </oc>
    <nc r="AD53">
      <f>'D:\user\Documents\Программы\Сетевые графики\Отчет на 01.08.2024\[Сетевой график за июль.xlsx]УКС'!AD43</f>
    </nc>
  </rcc>
  <rcc rId="12553" sId="23" numFmtId="34">
    <oc r="AE53">
      <v>0</v>
    </oc>
    <nc r="AE53">
      <f>'D:\user\Documents\Программы\Сетевые графики\Отчет на 01.08.2024\[Сетевой график за июль.xlsx]УКС'!AE43</f>
    </nc>
  </rcc>
  <rcc rId="12554" sId="23" odxf="1" s="1" dxf="1">
    <oc r="AG53">
      <f>C53-E53</f>
    </oc>
    <nc r="AG53"/>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2555" sId="23" numFmtId="4">
    <oc r="B54">
      <v>0</v>
    </oc>
    <nc r="B54">
      <f>H54+J54+L54+N54+P54+R54+T54+V54+X54+Z54+AB54+AD54</f>
    </nc>
  </rcc>
  <rcc rId="12556" sId="23" numFmtId="4">
    <oc r="C54">
      <v>0</v>
    </oc>
    <nc r="C54">
      <f>T54+R54+H54+J54+L54+N54+P54</f>
    </nc>
  </rcc>
  <rcc rId="12557" sId="23" numFmtId="4">
    <oc r="D54">
      <v>0</v>
    </oc>
    <nc r="D54">
      <f>E54</f>
    </nc>
  </rcc>
  <rcc rId="12558" sId="23" numFmtId="4">
    <oc r="E54">
      <v>0</v>
    </oc>
    <nc r="E54">
      <f>I54+K54+M54+O54+Q54+S54+U54+W54+Y54+AA54+AC54+AE54</f>
    </nc>
  </rcc>
  <rcc rId="12559" sId="23" numFmtId="4">
    <oc r="F54">
      <v>0</v>
    </oc>
    <nc r="F54">
      <f>IFERROR(E54/B54*100,0)</f>
    </nc>
  </rcc>
  <rcc rId="12560" sId="23" numFmtId="4">
    <oc r="G54">
      <v>0</v>
    </oc>
    <nc r="G54">
      <f>IFERROR(E54/C54*100,0)</f>
    </nc>
  </rcc>
  <rcc rId="12561" sId="23" odxf="1" dxf="1">
    <oc r="AG54">
      <f>C54-E54</f>
    </oc>
    <nc r="AG54"/>
    <odxf>
      <font>
        <color auto="1"/>
      </font>
      <numFmt numFmtId="4" formatCode="#,##0.00"/>
    </odxf>
    <ndxf>
      <font>
        <sz val="12"/>
        <color auto="1"/>
        <name val="Times New Roman"/>
        <scheme val="none"/>
      </font>
      <numFmt numFmtId="0" formatCode="General"/>
    </ndxf>
  </rcc>
  <rcc rId="12562" sId="23" numFmtId="4">
    <oc r="B55">
      <v>0</v>
    </oc>
    <nc r="B55">
      <f>H55+J55+L55+N55+P55+R55+T55+V55+X55+Z55+AB55+AD55</f>
    </nc>
  </rcc>
  <rcc rId="12563" sId="23" numFmtId="4">
    <oc r="C55">
      <v>0</v>
    </oc>
    <nc r="C55">
      <f>T55+R55+H55+J55+L55+N55+P55</f>
    </nc>
  </rcc>
  <rcc rId="12564" sId="23" numFmtId="4">
    <oc r="D55">
      <v>0</v>
    </oc>
    <nc r="D55">
      <f>E55</f>
    </nc>
  </rcc>
  <rcc rId="12565" sId="23" numFmtId="4">
    <oc r="E55">
      <v>0</v>
    </oc>
    <nc r="E55">
      <f>I55+K55+M55+O55+Q55+S55+U55+W55+Y55+AA55+AC55+AE55</f>
    </nc>
  </rcc>
  <rcc rId="12566" sId="23" numFmtId="4">
    <oc r="F55">
      <v>0</v>
    </oc>
    <nc r="F55">
      <f>IFERROR(E55/B55*100,0)</f>
    </nc>
  </rcc>
  <rcc rId="12567" sId="23" numFmtId="4">
    <oc r="G55">
      <v>0</v>
    </oc>
    <nc r="G55">
      <f>IFERROR(E55/C55*100,0)</f>
    </nc>
  </rcc>
  <rcc rId="12568" sId="23" odxf="1" dxf="1">
    <oc r="AG55">
      <f>C55-E55</f>
    </oc>
    <nc r="AG55"/>
    <odxf>
      <font>
        <color auto="1"/>
      </font>
      <numFmt numFmtId="4" formatCode="#,##0.00"/>
    </odxf>
    <ndxf>
      <font>
        <sz val="12"/>
        <color auto="1"/>
        <name val="Times New Roman"/>
        <scheme val="none"/>
      </font>
      <numFmt numFmtId="0" formatCode="General"/>
    </ndxf>
  </rcc>
  <rfmt sheetId="23" sqref="A56" start="0" length="0">
    <dxf>
      <alignment wrapText="1" readingOrder="0"/>
    </dxf>
  </rfmt>
  <rfmt sheetId="23" sqref="AF56" start="0" length="0">
    <dxf/>
  </rfmt>
  <rcc rId="12569" sId="23" odxf="1" dxf="1">
    <oc r="AG56">
      <f>C56-E56</f>
    </oc>
    <nc r="AG56"/>
    <odxf>
      <font>
        <color auto="1"/>
      </font>
      <numFmt numFmtId="4" formatCode="#,##0.00"/>
    </odxf>
    <ndxf>
      <font>
        <sz val="12"/>
        <color auto="1"/>
        <name val="Times New Roman"/>
        <scheme val="none"/>
      </font>
      <numFmt numFmtId="0" formatCode="General"/>
    </ndxf>
  </rcc>
  <rcc rId="12570" sId="23" numFmtId="4">
    <oc r="B57">
      <v>44865</v>
    </oc>
    <nc r="B57">
      <f>B59+B60+B58+B62</f>
    </nc>
  </rcc>
  <rcc rId="12571" sId="23" numFmtId="4">
    <oc r="C57">
      <v>18517.55</v>
    </oc>
    <nc r="C57">
      <f>C59+C60+C58+C62</f>
    </nc>
  </rcc>
  <rcc rId="12572" sId="23" numFmtId="4">
    <oc r="D57">
      <v>16615.63</v>
    </oc>
    <nc r="D57">
      <f>D59+D60+D58+D62</f>
    </nc>
  </rcc>
  <rcc rId="12573" sId="23" numFmtId="4">
    <oc r="E57">
      <v>16615.63</v>
    </oc>
    <nc r="E57">
      <f>E59+E60+E58+E62</f>
    </nc>
  </rcc>
  <rcc rId="12574" sId="23" numFmtId="4">
    <oc r="F57">
      <v>37.034726401426504</v>
    </oc>
    <nc r="F57">
      <f>IFERROR(E57/B57*100,0)</f>
    </nc>
  </rcc>
  <rcc rId="12575" sId="23" numFmtId="4">
    <oc r="G57">
      <v>89.729094831659708</v>
    </oc>
    <nc r="G57">
      <f>IFERROR(E57/C57*100,0)</f>
    </nc>
  </rcc>
  <rcc rId="12576" sId="23" numFmtId="4">
    <oc r="H57">
      <v>3750.44</v>
    </oc>
    <nc r="H57">
      <f>H59+H60+H58+H62</f>
    </nc>
  </rcc>
  <rcc rId="12577" sId="23" numFmtId="4">
    <oc r="I57">
      <v>3726.31</v>
    </oc>
    <nc r="I57">
      <f>I59+I60+I58+I62</f>
    </nc>
  </rcc>
  <rcc rId="12578" sId="23" numFmtId="4">
    <oc r="J57">
      <v>4416.78</v>
    </oc>
    <nc r="J57">
      <f>J59+J60+J58+J62</f>
    </nc>
  </rcc>
  <rcc rId="12579" sId="23" numFmtId="4">
    <oc r="K57">
      <v>3753.79</v>
    </oc>
    <nc r="K57">
      <f>K59+K60+K58+K62</f>
    </nc>
  </rcc>
  <rcc rId="12580" sId="23" numFmtId="4">
    <oc r="L57">
      <v>3914.74</v>
    </oc>
    <nc r="L57">
      <f>L59+L60+L58+L62</f>
    </nc>
  </rcc>
  <rcc rId="12581" sId="23" numFmtId="4">
    <oc r="M57">
      <v>3423.23</v>
    </oc>
    <nc r="M57">
      <f>M59+M60+M58+M62</f>
    </nc>
  </rcc>
  <rcc rId="12582" sId="23" numFmtId="4">
    <oc r="N57">
      <v>3468.85</v>
    </oc>
    <nc r="N57">
      <f>N59+N60+N58+N62</f>
    </nc>
  </rcc>
  <rcc rId="12583" sId="23" numFmtId="4">
    <oc r="O57">
      <v>3385.52</v>
    </oc>
    <nc r="O57">
      <f>O59+O60+O58+O62</f>
    </nc>
  </rcc>
  <rcc rId="12584" sId="23" numFmtId="4">
    <oc r="P57">
      <v>2966.74</v>
    </oc>
    <nc r="P57">
      <f>P59+P60+P58+P62</f>
    </nc>
  </rcc>
  <rcc rId="12585" sId="23" numFmtId="4">
    <oc r="Q57">
      <v>2326.7800000000002</v>
    </oc>
    <nc r="Q57">
      <f>Q59+Q60+Q58+Q62</f>
    </nc>
  </rcc>
  <rcc rId="12586" sId="23" numFmtId="4">
    <oc r="R57">
      <v>2418.04</v>
    </oc>
    <nc r="R57">
      <f>R59+R60+R58+R62</f>
    </nc>
  </rcc>
  <rcc rId="12587" sId="23" numFmtId="4">
    <oc r="S57">
      <v>0</v>
    </oc>
    <nc r="S57">
      <f>S59+S60+S58+S62</f>
    </nc>
  </rcc>
  <rcc rId="12588" sId="23" numFmtId="4">
    <oc r="T57">
      <v>2425.2399999999998</v>
    </oc>
    <nc r="T57">
      <f>T59+T60+T58+T62</f>
    </nc>
  </rcc>
  <rcc rId="12589" sId="23" numFmtId="4">
    <oc r="U57">
      <v>0</v>
    </oc>
    <nc r="U57">
      <f>U59+U60+U58+U62</f>
    </nc>
  </rcc>
  <rcc rId="12590" sId="23" numFmtId="4">
    <oc r="V57">
      <v>3029.84</v>
    </oc>
    <nc r="V57">
      <f>V59+V60+V58+V62</f>
    </nc>
  </rcc>
  <rcc rId="12591" sId="23" numFmtId="4">
    <oc r="W57">
      <v>0</v>
    </oc>
    <nc r="W57">
      <f>W59+W60+W58+W62</f>
    </nc>
  </rcc>
  <rcc rId="12592" sId="23" numFmtId="4">
    <oc r="X57">
      <v>3464.74</v>
    </oc>
    <nc r="X57">
      <f>X59+X60+X58+X62</f>
    </nc>
  </rcc>
  <rcc rId="12593" sId="23" numFmtId="4">
    <oc r="Y57">
      <v>0</v>
    </oc>
    <nc r="Y57">
      <f>Y59+Y60+Y58+Y62</f>
    </nc>
  </rcc>
  <rcc rId="12594" sId="23" numFmtId="4">
    <oc r="Z57">
      <v>5430.24</v>
    </oc>
    <nc r="Z57">
      <f>Z59+Z60+Z58+Z62</f>
    </nc>
  </rcc>
  <rcc rId="12595" sId="23" numFmtId="4">
    <oc r="AA57">
      <v>0</v>
    </oc>
    <nc r="AA57">
      <f>AA59+AA60+AA58+AA62</f>
    </nc>
  </rcc>
  <rcc rId="12596" sId="23" numFmtId="4">
    <oc r="AB57">
      <v>4724.75</v>
    </oc>
    <nc r="AB57">
      <f>AB59+AB60+AB58+AB62</f>
    </nc>
  </rcc>
  <rcc rId="12597" sId="23" numFmtId="4">
    <oc r="AC57">
      <v>0</v>
    </oc>
    <nc r="AC57">
      <f>AC59+AC60+AC58+AC62</f>
    </nc>
  </rcc>
  <rcc rId="12598" sId="23" numFmtId="4">
    <oc r="AD57">
      <v>4854.6000000000004</v>
    </oc>
    <nc r="AD57">
      <f>AD59+AD60+AD58+AD62</f>
    </nc>
  </rcc>
  <rcc rId="12599" sId="23" numFmtId="4">
    <oc r="AE57">
      <v>0</v>
    </oc>
    <nc r="AE57">
      <f>AE59+AE60+AE58+AE62</f>
    </nc>
  </rcc>
  <rfmt sheetId="23" sqref="AF57" start="0" length="0">
    <dxf/>
  </rfmt>
  <rcc rId="12600" sId="23" odxf="1" dxf="1">
    <oc r="AG57">
      <f>C57-E57</f>
    </oc>
    <nc r="AG57"/>
    <odxf>
      <font>
        <color auto="1"/>
      </font>
      <numFmt numFmtId="4" formatCode="#,##0.00"/>
    </odxf>
    <ndxf>
      <font>
        <sz val="12"/>
        <color auto="1"/>
        <name val="Times New Roman"/>
        <scheme val="none"/>
      </font>
      <numFmt numFmtId="0" formatCode="General"/>
    </ndxf>
  </rcc>
  <rcc rId="12601" sId="23" numFmtId="4">
    <oc r="B58">
      <v>0</v>
    </oc>
    <nc r="B58">
      <f>H58+J58+L58+N58+P58+R58+T58+V58+X58+Z58+AB58+AD58</f>
    </nc>
  </rcc>
  <rcc rId="12602" sId="23" numFmtId="4">
    <oc r="C58">
      <v>0</v>
    </oc>
    <nc r="C58">
      <f>T58+R58+H58+J58+L58+N58+P58</f>
    </nc>
  </rcc>
  <rcc rId="12603" sId="23" numFmtId="4">
    <oc r="D58">
      <v>0</v>
    </oc>
    <nc r="D58">
      <f>E58</f>
    </nc>
  </rcc>
  <rcc rId="12604" sId="23" numFmtId="4">
    <oc r="E58">
      <v>0</v>
    </oc>
    <nc r="E58">
      <f>I58+K58+M58+O58+Q58+S58+U58+W58+Y58+AA58+AC58+AE58</f>
    </nc>
  </rcc>
  <rcc rId="12605" sId="23" numFmtId="4">
    <oc r="F58">
      <v>0</v>
    </oc>
    <nc r="F58">
      <f>IFERROR(E58/B58*100,0)</f>
    </nc>
  </rcc>
  <rcc rId="12606" sId="23" numFmtId="4">
    <oc r="G58">
      <v>0</v>
    </oc>
    <nc r="G58">
      <f>IFERROR(E58/C58*100,0)</f>
    </nc>
  </rcc>
  <rcc rId="12607" sId="23" odxf="1" dxf="1">
    <oc r="AG58">
      <f>C58-E58</f>
    </oc>
    <nc r="AG58"/>
    <odxf>
      <font>
        <color auto="1"/>
      </font>
      <numFmt numFmtId="4" formatCode="#,##0.00"/>
    </odxf>
    <ndxf>
      <font>
        <sz val="12"/>
        <color auto="1"/>
        <name val="Times New Roman"/>
        <scheme val="none"/>
      </font>
      <numFmt numFmtId="0" formatCode="General"/>
    </ndxf>
  </rcc>
  <rcc rId="12608" sId="23" numFmtId="4">
    <oc r="B59">
      <v>0</v>
    </oc>
    <nc r="B59">
      <f>H59+J59+L59+N59+P59+R59+T59+V59+X59+Z59+AB59+AD59</f>
    </nc>
  </rcc>
  <rcc rId="12609" sId="23" numFmtId="4">
    <oc r="C59">
      <v>0</v>
    </oc>
    <nc r="C59">
      <f>T59+R59+H59+J59+L59+N59+P59</f>
    </nc>
  </rcc>
  <rcc rId="12610" sId="23" numFmtId="4">
    <oc r="D59">
      <v>0</v>
    </oc>
    <nc r="D59">
      <f>E59</f>
    </nc>
  </rcc>
  <rcc rId="12611" sId="23" numFmtId="4">
    <oc r="E59">
      <v>0</v>
    </oc>
    <nc r="E59">
      <f>I59+K59+M59+O59+Q59+S59+U59+W59+Y59+AA59+AC59+AE59</f>
    </nc>
  </rcc>
  <rcc rId="12612" sId="23" numFmtId="4">
    <oc r="F59">
      <v>0</v>
    </oc>
    <nc r="F59">
      <f>IFERROR(E59/B59*100,0)</f>
    </nc>
  </rcc>
  <rcc rId="12613" sId="23" numFmtId="4">
    <oc r="G59">
      <v>0</v>
    </oc>
    <nc r="G59">
      <f>IFERROR(E59/C59*100,0)</f>
    </nc>
  </rcc>
  <rcc rId="12614" sId="23" odxf="1" dxf="1">
    <oc r="AG59">
      <f>C59-E59</f>
    </oc>
    <nc r="AG59"/>
    <odxf>
      <font>
        <color auto="1"/>
      </font>
      <numFmt numFmtId="4" formatCode="#,##0.00"/>
    </odxf>
    <ndxf>
      <font>
        <sz val="12"/>
        <color auto="1"/>
        <name val="Times New Roman"/>
        <scheme val="none"/>
      </font>
      <numFmt numFmtId="0" formatCode="General"/>
    </ndxf>
  </rcc>
  <rcc rId="12615" sId="23" numFmtId="34">
    <oc r="B60">
      <v>44865</v>
    </oc>
    <nc r="B60">
      <f>H60+J60+L60+N60+P60+R60+T60+V60+X60+Z60+AB60+AD60</f>
    </nc>
  </rcc>
  <rcc rId="12616" sId="23" numFmtId="4">
    <oc r="C60">
      <v>18517.55</v>
    </oc>
    <nc r="C60">
      <f>T60+R60+H60+J60+L60+N60+P60</f>
    </nc>
  </rcc>
  <rcc rId="12617" sId="23" numFmtId="34">
    <oc r="D60">
      <v>16615.63</v>
    </oc>
    <nc r="D60">
      <f>E60</f>
    </nc>
  </rcc>
  <rcc rId="12618" sId="23" numFmtId="34">
    <oc r="E60">
      <v>16615.63</v>
    </oc>
    <nc r="E60">
      <f>I60+K60+M60+O60+Q60+S60+U60+W60+Y60+AA60+AC60+AE60</f>
    </nc>
  </rcc>
  <rcc rId="12619" sId="23" numFmtId="34">
    <oc r="F60">
      <v>37.034726401426504</v>
    </oc>
    <nc r="F60">
      <f>E60/B60*100</f>
    </nc>
  </rcc>
  <rcc rId="12620" sId="23" numFmtId="34">
    <oc r="G60">
      <v>89.729094831659708</v>
    </oc>
    <nc r="G60">
      <f>E60/C60*100</f>
    </nc>
  </rcc>
  <rcc rId="12621" sId="23" numFmtId="34">
    <oc r="J60">
      <v>4416.78</v>
    </oc>
    <nc r="J60">
      <f>'D:\user\Documents\Программы\Сетевые графики\Отчет на 01.08.2024\[Сетевой график за июль.xlsx]УКС'!J49</f>
    </nc>
  </rcc>
  <rcc rId="12622" sId="23" numFmtId="34">
    <oc r="K60">
      <v>3753.79</v>
    </oc>
    <nc r="K60">
      <f>'D:\user\Documents\Программы\Сетевые графики\Отчет на 01.08.2024\[Сетевой график за июль.xlsx]УКС'!K49</f>
    </nc>
  </rcc>
  <rcc rId="12623" sId="23" numFmtId="34">
    <oc r="L60">
      <v>3914.74</v>
    </oc>
    <nc r="L60">
      <f>'D:\user\Documents\Программы\Сетевые графики\Отчет на 01.08.2024\[Сетевой график за июль.xlsx]УКС'!L49</f>
    </nc>
  </rcc>
  <rcc rId="12624" sId="23" numFmtId="34">
    <oc r="M60">
      <v>3423.23</v>
    </oc>
    <nc r="M60">
      <f>'D:\user\Documents\Программы\Сетевые графики\Отчет на 01.08.2024\[Сетевой график за июль.xlsx]УКС'!M49</f>
    </nc>
  </rcc>
  <rcc rId="12625" sId="23" numFmtId="34">
    <oc r="N60">
      <v>3468.85</v>
    </oc>
    <nc r="N60">
      <f>'D:\user\Documents\Программы\Сетевые графики\Отчет на 01.08.2024\[Сетевой график за июль.xlsx]УКС'!N49</f>
    </nc>
  </rcc>
  <rcc rId="12626" sId="23" numFmtId="34">
    <oc r="O60">
      <v>3385.52</v>
    </oc>
    <nc r="O60">
      <f>'D:\user\Documents\Программы\Сетевые графики\Отчет на 01.08.2024\[Сетевой график за июль.xlsx]УКС'!O49</f>
    </nc>
  </rcc>
  <rcc rId="12627" sId="23" numFmtId="34">
    <oc r="P60">
      <v>2966.74</v>
    </oc>
    <nc r="P60">
      <f>'D:\user\Documents\Программы\Сетевые графики\Отчет на 01.08.2024\[Сетевой график за июль.xlsx]УКС'!P49</f>
    </nc>
  </rcc>
  <rcc rId="12628" sId="23" numFmtId="34">
    <oc r="Q60">
      <v>2326.7800000000002</v>
    </oc>
    <nc r="Q60">
      <f>'D:\user\Documents\Программы\Сетевые графики\Отчет на 01.08.2024\[Сетевой график за июль.xlsx]УКС'!Q49</f>
    </nc>
  </rcc>
  <rcc rId="12629" sId="23" numFmtId="34">
    <oc r="R60">
      <v>2418.04</v>
    </oc>
    <nc r="R60">
      <f>'D:\user\Documents\Программы\Сетевые графики\Отчет на 01.08.2024\[Сетевой график за июль.xlsx]УКС'!R49</f>
    </nc>
  </rcc>
  <rcc rId="12630" sId="23" numFmtId="34">
    <oc r="S60">
      <v>0</v>
    </oc>
    <nc r="S60">
      <f>'D:\user\Documents\Программы\Сетевые графики\Отчет на 01.08.2024\[Сетевой график за июль.xlsx]УКС'!S49</f>
    </nc>
  </rcc>
  <rcc rId="12631" sId="23" numFmtId="34">
    <oc r="T60">
      <v>2425.2399999999998</v>
    </oc>
    <nc r="T60">
      <f>'D:\user\Documents\Программы\Сетевые графики\Отчет на 01.08.2024\[Сетевой график за июль.xlsx]УКС'!T49</f>
    </nc>
  </rcc>
  <rcc rId="12632" sId="23" numFmtId="34">
    <oc r="U60">
      <v>0</v>
    </oc>
    <nc r="U60">
      <f>'D:\user\Documents\Программы\Сетевые графики\Отчет на 01.08.2024\[Сетевой график за июль.xlsx]УКС'!U49</f>
    </nc>
  </rcc>
  <rcc rId="12633" sId="23" numFmtId="34">
    <oc r="V60">
      <v>3029.84</v>
    </oc>
    <nc r="V60">
      <f>'D:\user\Documents\Программы\Сетевые графики\Отчет на 01.08.2024\[Сетевой график за июль.xlsx]УКС'!V49</f>
    </nc>
  </rcc>
  <rcc rId="12634" sId="23" numFmtId="34">
    <oc r="W60">
      <v>0</v>
    </oc>
    <nc r="W60">
      <f>'D:\user\Documents\Программы\Сетевые графики\Отчет на 01.08.2024\[Сетевой график за июль.xlsx]УКС'!W49</f>
    </nc>
  </rcc>
  <rcc rId="12635" sId="23" numFmtId="34">
    <oc r="X60">
      <v>3464.74</v>
    </oc>
    <nc r="X60">
      <f>'D:\user\Documents\Программы\Сетевые графики\Отчет на 01.08.2024\[Сетевой график за июль.xlsx]УКС'!X49</f>
    </nc>
  </rcc>
  <rcc rId="12636" sId="23" numFmtId="34">
    <oc r="Y60">
      <v>0</v>
    </oc>
    <nc r="Y60">
      <f>'D:\user\Documents\Программы\Сетевые графики\Отчет на 01.08.2024\[Сетевой график за июль.xlsx]УКС'!Y49</f>
    </nc>
  </rcc>
  <rcc rId="12637" sId="23" numFmtId="34">
    <oc r="Z60">
      <v>5430.24</v>
    </oc>
    <nc r="Z60">
      <f>'D:\user\Documents\Программы\Сетевые графики\Отчет на 01.08.2024\[Сетевой график за июль.xlsx]УКС'!Z49</f>
    </nc>
  </rcc>
  <rcc rId="12638" sId="23" numFmtId="34">
    <oc r="AA60">
      <v>0</v>
    </oc>
    <nc r="AA60">
      <f>'D:\user\Documents\Программы\Сетевые графики\Отчет на 01.08.2024\[Сетевой график за июль.xlsx]УКС'!AA49</f>
    </nc>
  </rcc>
  <rcc rId="12639" sId="23" numFmtId="34">
    <oc r="AB60">
      <v>4724.75</v>
    </oc>
    <nc r="AB60">
      <f>'D:\user\Documents\Программы\Сетевые графики\Отчет на 01.08.2024\[Сетевой график за июль.xlsx]УКС'!AB49</f>
    </nc>
  </rcc>
  <rcc rId="12640" sId="23" numFmtId="34">
    <oc r="AC60">
      <v>0</v>
    </oc>
    <nc r="AC60">
      <f>'D:\user\Documents\Программы\Сетевые графики\Отчет на 01.08.2024\[Сетевой график за июль.xlsx]УКС'!AC49</f>
    </nc>
  </rcc>
  <rcc rId="12641" sId="23" numFmtId="34">
    <oc r="AD60">
      <v>4854.6000000000004</v>
    </oc>
    <nc r="AD60">
      <f>'D:\user\Documents\Программы\Сетевые графики\Отчет на 01.08.2024\[Сетевой график за июль.xlsx]УКС'!AD49</f>
    </nc>
  </rcc>
  <rcc rId="12642" sId="23" numFmtId="34">
    <oc r="AE60">
      <v>0</v>
    </oc>
    <nc r="AE60">
      <f>'D:\user\Documents\Программы\Сетевые графики\Отчет на 01.08.2024\[Сетевой график за июль.xlsx]УКС'!AE49</f>
    </nc>
  </rcc>
  <rcc rId="12643" sId="23" odxf="1" s="1" dxf="1">
    <oc r="AG60">
      <f>C60-E60</f>
    </oc>
    <nc r="AG60"/>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2644" sId="23" numFmtId="4">
    <oc r="B61">
      <v>0</v>
    </oc>
    <nc r="B61">
      <f>H61+J61+L61+N61+P61+R61+T61+V61+X61+Z61+AB61+AD61</f>
    </nc>
  </rcc>
  <rcc rId="12645" sId="23" numFmtId="4">
    <oc r="C61">
      <v>0</v>
    </oc>
    <nc r="C61">
      <f>T61+R61+H61+J61+L61+N61+P61</f>
    </nc>
  </rcc>
  <rcc rId="12646" sId="23" numFmtId="4">
    <oc r="D61">
      <v>0</v>
    </oc>
    <nc r="D61">
      <f>E61</f>
    </nc>
  </rcc>
  <rcc rId="12647" sId="23" numFmtId="4">
    <oc r="E61">
      <v>0</v>
    </oc>
    <nc r="E61">
      <f>I61+K61+M61+O61+Q61+S61+U61+W61+Y61+AA61+AC61+AE61</f>
    </nc>
  </rcc>
  <rcc rId="12648" sId="23" numFmtId="4">
    <oc r="F61">
      <v>0</v>
    </oc>
    <nc r="F61">
      <f>IFERROR(E61/B61*100,0)</f>
    </nc>
  </rcc>
  <rcc rId="12649" sId="23" numFmtId="4">
    <oc r="G61">
      <v>0</v>
    </oc>
    <nc r="G61">
      <f>IFERROR(E61/C61*100,0)</f>
    </nc>
  </rcc>
  <rcc rId="12650" sId="23" odxf="1" dxf="1">
    <oc r="AG61">
      <f>C61-E61</f>
    </oc>
    <nc r="AG61"/>
    <odxf>
      <font>
        <color auto="1"/>
      </font>
      <numFmt numFmtId="4" formatCode="#,##0.00"/>
    </odxf>
    <ndxf>
      <font>
        <sz val="12"/>
        <color auto="1"/>
        <name val="Times New Roman"/>
        <scheme val="none"/>
      </font>
      <numFmt numFmtId="0" formatCode="General"/>
    </ndxf>
  </rcc>
  <rcc rId="12651" sId="23" numFmtId="4">
    <oc r="B62">
      <v>0</v>
    </oc>
    <nc r="B62">
      <f>H62+J62+L62+N62+P62+R62+T62+V62+X62+Z62+AB62+AD62</f>
    </nc>
  </rcc>
  <rcc rId="12652" sId="23" numFmtId="4">
    <oc r="C62">
      <v>0</v>
    </oc>
    <nc r="C62">
      <f>T62+R62+H62+J62+L62+N62+P62</f>
    </nc>
  </rcc>
  <rcc rId="12653" sId="23" numFmtId="4">
    <oc r="D62">
      <v>0</v>
    </oc>
    <nc r="D62">
      <f>E62</f>
    </nc>
  </rcc>
  <rcc rId="12654" sId="23" numFmtId="4">
    <oc r="E62">
      <v>0</v>
    </oc>
    <nc r="E62">
      <f>I62+K62+M62+O62+Q62+S62+U62+W62+Y62+AA62+AC62+AE62</f>
    </nc>
  </rcc>
  <rcc rId="12655" sId="23" numFmtId="4">
    <oc r="F62">
      <v>0</v>
    </oc>
    <nc r="F62">
      <f>IFERROR(E62/B62*100,0)</f>
    </nc>
  </rcc>
  <rcc rId="12656" sId="23" numFmtId="4">
    <oc r="G62">
      <v>0</v>
    </oc>
    <nc r="G62">
      <f>IFERROR(E62/C62*100,0)</f>
    </nc>
  </rcc>
  <rcc rId="12657" sId="23" odxf="1" dxf="1">
    <oc r="AG62">
      <f>C62-E62</f>
    </oc>
    <nc r="AG62"/>
    <odxf>
      <font>
        <color auto="1"/>
      </font>
      <numFmt numFmtId="4" formatCode="#,##0.00"/>
    </odxf>
    <ndxf>
      <font>
        <sz val="12"/>
        <color auto="1"/>
        <name val="Times New Roman"/>
        <scheme val="none"/>
      </font>
      <numFmt numFmtId="0" formatCode="General"/>
    </ndxf>
  </rcc>
  <rfmt sheetId="23" sqref="A63" start="0" length="0">
    <dxf>
      <alignment wrapText="1" readingOrder="0"/>
    </dxf>
  </rfmt>
  <rcc rId="12658" sId="23" odxf="1" dxf="1">
    <oc r="AG63">
      <f>C63-E63</f>
    </oc>
    <nc r="AG63"/>
    <odxf>
      <font>
        <color auto="1"/>
      </font>
      <numFmt numFmtId="4" formatCode="#,##0.00"/>
    </odxf>
    <ndxf>
      <font>
        <sz val="12"/>
        <color auto="1"/>
        <name val="Times New Roman"/>
        <scheme val="none"/>
      </font>
      <numFmt numFmtId="0" formatCode="General"/>
    </ndxf>
  </rcc>
  <rcc rId="12659" sId="23" numFmtId="4">
    <oc r="B64">
      <v>6870.5999999999995</v>
    </oc>
    <nc r="B64">
      <f>B66+B67+B65+B69</f>
    </nc>
  </rcc>
  <rcc rId="12660" sId="23" numFmtId="4">
    <oc r="C64">
      <v>2452.79</v>
    </oc>
    <nc r="C64">
      <f>C66+C67+C65+C69</f>
    </nc>
  </rcc>
  <rcc rId="12661" sId="23" numFmtId="4">
    <oc r="D64">
      <v>2355.4299999999998</v>
    </oc>
    <nc r="D64">
      <f>D66+D67+D65+D69</f>
    </nc>
  </rcc>
  <rcc rId="12662" sId="23" numFmtId="4">
    <oc r="E64">
      <v>2355.4299999999998</v>
    </oc>
    <nc r="E64">
      <f>E66+E67+E65+E69</f>
    </nc>
  </rcc>
  <rcc rId="12663" sId="23" numFmtId="4">
    <oc r="F64">
      <v>34.282740954210695</v>
    </oc>
    <nc r="F64">
      <f>IFERROR(E64/B64*100,0)</f>
    </nc>
  </rcc>
  <rcc rId="12664" sId="23" numFmtId="4">
    <oc r="G64">
      <v>96.030642655914278</v>
    </oc>
    <nc r="G64">
      <f>IFERROR(E64/C64*100,0)</f>
    </nc>
  </rcc>
  <rcc rId="12665" sId="23" numFmtId="4">
    <oc r="H64">
      <v>372.66</v>
    </oc>
    <nc r="H64">
      <f>H66+H67+H65+H69</f>
    </nc>
  </rcc>
  <rcc rId="12666" sId="23" numFmtId="4">
    <oc r="I64">
      <v>257.2</v>
    </oc>
    <nc r="I64">
      <f>I66+I67+I65+I69</f>
    </nc>
  </rcc>
  <rcc rId="12667" sId="23" numFmtId="4">
    <oc r="J64">
      <v>650.46</v>
    </oc>
    <nc r="J64">
      <f>J66+J67+J65+J69</f>
    </nc>
  </rcc>
  <rcc rId="12668" sId="23" numFmtId="4">
    <oc r="K64">
      <v>673.76</v>
    </oc>
    <nc r="K64">
      <f>K66+K67+K65+K69</f>
    </nc>
  </rcc>
  <rcc rId="12669" sId="23" numFmtId="4">
    <oc r="L64">
      <v>453.21</v>
    </oc>
    <nc r="L64">
      <f>L66+L67+L65+L69</f>
    </nc>
  </rcc>
  <rcc rId="12670" sId="23" numFmtId="4">
    <oc r="M64">
      <v>470</v>
    </oc>
    <nc r="M64">
      <f>M66+M67+M65+M69</f>
    </nc>
  </rcc>
  <rcc rId="12671" sId="23" numFmtId="4">
    <oc r="N64">
      <v>501.52000000000004</v>
    </oc>
    <nc r="N64">
      <f>N66+N67+N65+N69</f>
    </nc>
  </rcc>
  <rcc rId="12672" sId="23" numFmtId="4">
    <oc r="O64">
      <v>540.30999999999995</v>
    </oc>
    <nc r="O64">
      <f>O66+O67+O65+O69</f>
    </nc>
  </rcc>
  <rcc rId="12673" sId="23" numFmtId="4">
    <oc r="P64">
      <v>474.94</v>
    </oc>
    <nc r="P64">
      <f>P66+P67+P65+P69</f>
    </nc>
  </rcc>
  <rcc rId="12674" sId="23" numFmtId="4">
    <oc r="Q64">
      <v>414.16</v>
    </oc>
    <nc r="Q64">
      <f>Q66+Q67+Q65+Q69</f>
    </nc>
  </rcc>
  <rcc rId="12675" sId="23" numFmtId="4">
    <oc r="R64">
      <v>383.71</v>
    </oc>
    <nc r="R64">
      <f>R66+R67+R65+R69</f>
    </nc>
  </rcc>
  <rcc rId="12676" sId="23" numFmtId="4">
    <oc r="S64">
      <v>0</v>
    </oc>
    <nc r="S64">
      <f>S66+S67+S65+S69</f>
    </nc>
  </rcc>
  <rcc rId="12677" sId="23" numFmtId="4">
    <oc r="T64">
      <v>375.14</v>
    </oc>
    <nc r="T64">
      <f>T66+T67+T65+T69</f>
    </nc>
  </rcc>
  <rcc rId="12678" sId="23" numFmtId="4">
    <oc r="U64">
      <v>0</v>
    </oc>
    <nc r="U64">
      <f>U66+U67+U65+U69</f>
    </nc>
  </rcc>
  <rcc rId="12679" sId="23" numFmtId="4">
    <oc r="V64">
      <v>518.82000000000005</v>
    </oc>
    <nc r="V64">
      <f>V66+V67+V65+V69</f>
    </nc>
  </rcc>
  <rcc rId="12680" sId="23" numFmtId="4">
    <oc r="W64">
      <v>0</v>
    </oc>
    <nc r="W64">
      <f>W66+W67+W65+W69</f>
    </nc>
  </rcc>
  <rcc rId="12681" sId="23" numFmtId="4">
    <oc r="X64">
      <v>510.25</v>
    </oc>
    <nc r="X64">
      <f>X66+X67+X65+X69</f>
    </nc>
  </rcc>
  <rcc rId="12682" sId="23" numFmtId="4">
    <oc r="Y64">
      <v>0</v>
    </oc>
    <nc r="Y64">
      <f>Y66+Y67+Y65+Y69</f>
    </nc>
  </rcc>
  <rcc rId="12683" sId="23" numFmtId="4">
    <oc r="Z64">
      <v>518.83000000000004</v>
    </oc>
    <nc r="Z64">
      <f>Z66+Z67+Z65+Z69</f>
    </nc>
  </rcc>
  <rcc rId="12684" sId="23" numFmtId="4">
    <oc r="AA64">
      <v>0</v>
    </oc>
    <nc r="AA64">
      <f>AA66+AA67+AA65+AA69</f>
    </nc>
  </rcc>
  <rcc rId="12685" sId="23" numFmtId="4">
    <oc r="AB64">
      <v>1685.82</v>
    </oc>
    <nc r="AB64">
      <f>AB66+AB67+AB65+AB69</f>
    </nc>
  </rcc>
  <rcc rId="12686" sId="23" numFmtId="4">
    <oc r="AC64">
      <v>0</v>
    </oc>
    <nc r="AC64">
      <f>AC66+AC67+AC65+AC69</f>
    </nc>
  </rcc>
  <rcc rId="12687" sId="23" numFmtId="4">
    <oc r="AD64">
      <v>425.23999999999995</v>
    </oc>
    <nc r="AD64">
      <f>AD66+AD67+AD65+AD69</f>
    </nc>
  </rcc>
  <rcc rId="12688" sId="23" numFmtId="4">
    <oc r="AE64">
      <v>0</v>
    </oc>
    <nc r="AE64">
      <f>AE66+AE67+AE65+AE69</f>
    </nc>
  </rcc>
  <rcc rId="12689" sId="23" odxf="1" dxf="1">
    <oc r="AG64">
      <f>C64-E64</f>
    </oc>
    <nc r="AG64"/>
    <odxf>
      <font>
        <color auto="1"/>
      </font>
      <numFmt numFmtId="4" formatCode="#,##0.00"/>
    </odxf>
    <ndxf>
      <font>
        <sz val="12"/>
        <color auto="1"/>
        <name val="Times New Roman"/>
        <scheme val="none"/>
      </font>
      <numFmt numFmtId="0" formatCode="General"/>
    </ndxf>
  </rcc>
  <rcc rId="12690" sId="23" numFmtId="4">
    <oc r="B65">
      <v>0</v>
    </oc>
    <nc r="B65">
      <f>H65+J65+L65+N65+P65+R65+T65+V65+X65+Z65+AB65+AD65</f>
    </nc>
  </rcc>
  <rcc rId="12691" sId="23" numFmtId="4">
    <oc r="C65">
      <v>0</v>
    </oc>
    <nc r="C65">
      <f>T65+R65+H65+J65+L65+N65+P65</f>
    </nc>
  </rcc>
  <rcc rId="12692" sId="23" numFmtId="4">
    <oc r="D65">
      <v>0</v>
    </oc>
    <nc r="D65">
      <f>E65</f>
    </nc>
  </rcc>
  <rcc rId="12693" sId="23" numFmtId="4">
    <oc r="E65">
      <v>0</v>
    </oc>
    <nc r="E65">
      <f>I65+K65+M65+O65+Q65+S65+U65+W65+Y65+AA65+AC65+AE65</f>
    </nc>
  </rcc>
  <rcc rId="12694" sId="23" numFmtId="4">
    <oc r="F65">
      <v>0</v>
    </oc>
    <nc r="F65">
      <f>IFERROR(E65/B65*100,0)</f>
    </nc>
  </rcc>
  <rcc rId="12695" sId="23" numFmtId="4">
    <oc r="G65">
      <v>0</v>
    </oc>
    <nc r="G65">
      <f>IFERROR(E65/C65*100,0)</f>
    </nc>
  </rcc>
  <rcc rId="12696" sId="23" odxf="1" dxf="1">
    <oc r="AG65">
      <f>C65-E65</f>
    </oc>
    <nc r="AG65"/>
    <odxf>
      <font>
        <color auto="1"/>
      </font>
      <numFmt numFmtId="4" formatCode="#,##0.00"/>
    </odxf>
    <ndxf>
      <font>
        <sz val="12"/>
        <color auto="1"/>
        <name val="Times New Roman"/>
        <scheme val="none"/>
      </font>
      <numFmt numFmtId="0" formatCode="General"/>
    </ndxf>
  </rcc>
  <rcc rId="12697" sId="23" numFmtId="4">
    <oc r="B66">
      <v>0</v>
    </oc>
    <nc r="B66">
      <f>H66+J66+L66+N66+P66+R66+T66+V66+X66+Z66+AB66+AD66</f>
    </nc>
  </rcc>
  <rcc rId="12698" sId="23" numFmtId="4">
    <oc r="C66">
      <v>0</v>
    </oc>
    <nc r="C66">
      <f>T66+R66+H66+J66+L66+N66+P66</f>
    </nc>
  </rcc>
  <rcc rId="12699" sId="23" numFmtId="4">
    <oc r="D66">
      <v>0</v>
    </oc>
    <nc r="D66">
      <f>E66</f>
    </nc>
  </rcc>
  <rcc rId="12700" sId="23" numFmtId="4">
    <oc r="E66">
      <v>0</v>
    </oc>
    <nc r="E66">
      <f>I66+K66+M66+O66+Q66+S66+U66+W66+Y66+AA66+AC66+AE66</f>
    </nc>
  </rcc>
  <rcc rId="12701" sId="23" numFmtId="4">
    <oc r="F66">
      <v>0</v>
    </oc>
    <nc r="F66">
      <f>IFERROR(E66/B66*100,0)</f>
    </nc>
  </rcc>
  <rcc rId="12702" sId="23" numFmtId="4">
    <oc r="G66">
      <v>0</v>
    </oc>
    <nc r="G66">
      <f>IFERROR(E66/C66*100,0)</f>
    </nc>
  </rcc>
  <rcc rId="12703" sId="23" odxf="1" dxf="1">
    <oc r="AG66">
      <f>C66-E66</f>
    </oc>
    <nc r="AG66"/>
    <odxf>
      <font>
        <color auto="1"/>
      </font>
      <numFmt numFmtId="4" formatCode="#,##0.00"/>
    </odxf>
    <ndxf>
      <font>
        <sz val="12"/>
        <color auto="1"/>
        <name val="Times New Roman"/>
        <scheme val="none"/>
      </font>
      <numFmt numFmtId="0" formatCode="General"/>
    </ndxf>
  </rcc>
  <rcc rId="12704" sId="23" numFmtId="34">
    <oc r="B67">
      <v>6870.5999999999995</v>
    </oc>
    <nc r="B67">
      <f>H67+J67+L67+N67+P67+R67+T67+V67+X67+Z67+AB67+AD67</f>
    </nc>
  </rcc>
  <rcc rId="12705" sId="23" numFmtId="4">
    <oc r="C67">
      <v>2452.79</v>
    </oc>
    <nc r="C67">
      <f>T67+R67+H67+J67+L67+N67+P67</f>
    </nc>
  </rcc>
  <rcc rId="12706" sId="23" numFmtId="34">
    <oc r="D67">
      <v>2355.4299999999998</v>
    </oc>
    <nc r="D67">
      <f>E67</f>
    </nc>
  </rcc>
  <rcc rId="12707" sId="23" numFmtId="34">
    <oc r="E67">
      <v>2355.4299999999998</v>
    </oc>
    <nc r="E67">
      <f>I67+K67+M67+O67+Q67+S67+U67+W67+Y67+AA67+AC67+AE67</f>
    </nc>
  </rcc>
  <rcc rId="12708" sId="23" numFmtId="34">
    <oc r="F67">
      <v>34.282740954210695</v>
    </oc>
    <nc r="F67">
      <f>E67/B67*100</f>
    </nc>
  </rcc>
  <rcc rId="12709" sId="23" numFmtId="34">
    <oc r="G67">
      <v>96.030642655914278</v>
    </oc>
    <nc r="G67">
      <f>E67/C67*100</f>
    </nc>
  </rcc>
  <rcc rId="12710" sId="23" numFmtId="34">
    <oc r="J67">
      <v>650.46</v>
    </oc>
    <nc r="J67">
      <f>481.29+169.17</f>
    </nc>
  </rcc>
  <rcc rId="12711" sId="23" numFmtId="34">
    <oc r="L67">
      <v>453.21</v>
    </oc>
    <nc r="L67">
      <f>'D:\user\Documents\Программы\Сетевые графики\Отчет на 01.08.2024\[Сетевой график за июль.xlsx]УКС'!L55</f>
    </nc>
  </rcc>
  <rcc rId="12712" sId="23" numFmtId="34">
    <oc r="M67">
      <v>470</v>
    </oc>
    <nc r="M67">
      <f>'D:\user\Documents\Программы\Сетевые графики\Отчет на 01.08.2024\[Сетевой график за июль.xlsx]УКС'!M55</f>
    </nc>
  </rcc>
  <rcc rId="12713" sId="23" numFmtId="34">
    <oc r="N67">
      <v>501.52000000000004</v>
    </oc>
    <nc r="N67">
      <f>'D:\user\Documents\Программы\Сетевые графики\Отчет на 01.08.2024\[Сетевой график за июль.xlsx]УКС'!N55</f>
    </nc>
  </rcc>
  <rcc rId="12714" sId="23" numFmtId="34">
    <oc r="O67">
      <v>540.30999999999995</v>
    </oc>
    <nc r="O67">
      <f>'D:\user\Documents\Программы\Сетевые графики\Отчет на 01.08.2024\[Сетевой график за июль.xlsx]УКС'!O55</f>
    </nc>
  </rcc>
  <rcc rId="12715" sId="23" numFmtId="34">
    <oc r="P67">
      <v>474.94</v>
    </oc>
    <nc r="P67">
      <f>'D:\user\Documents\Программы\Сетевые графики\Отчет на 01.08.2024\[Сетевой график за июль.xlsx]УКС'!P55</f>
    </nc>
  </rcc>
  <rcc rId="12716" sId="23" numFmtId="34">
    <oc r="Q67">
      <v>414.16</v>
    </oc>
    <nc r="Q67">
      <f>'D:\user\Documents\Программы\Сетевые графики\Отчет на 01.08.2024\[Сетевой график за июль.xlsx]УКС'!Q55</f>
    </nc>
  </rcc>
  <rcc rId="12717" sId="23" numFmtId="34">
    <oc r="R67">
      <v>383.71</v>
    </oc>
    <nc r="R67">
      <f>'D:\user\Documents\Программы\Сетевые графики\Отчет на 01.08.2024\[Сетевой график за июль.xlsx]УКС'!R55</f>
    </nc>
  </rcc>
  <rcc rId="12718" sId="23" numFmtId="34">
    <oc r="S67">
      <v>0</v>
    </oc>
    <nc r="S67">
      <f>'D:\user\Documents\Программы\Сетевые графики\Отчет на 01.08.2024\[Сетевой график за июль.xlsx]УКС'!S55</f>
    </nc>
  </rcc>
  <rcc rId="12719" sId="23" numFmtId="34">
    <oc r="T67">
      <v>375.14</v>
    </oc>
    <nc r="T67">
      <f>'D:\user\Documents\Программы\Сетевые графики\Отчет на 01.08.2024\[Сетевой график за июль.xlsx]УКС'!T55</f>
    </nc>
  </rcc>
  <rcc rId="12720" sId="23" numFmtId="34">
    <oc r="U67">
      <v>0</v>
    </oc>
    <nc r="U67">
      <f>'D:\user\Documents\Программы\Сетевые графики\Отчет на 01.08.2024\[Сетевой график за июль.xlsx]УКС'!U55</f>
    </nc>
  </rcc>
  <rcc rId="12721" sId="23" numFmtId="34">
    <oc r="V67">
      <v>518.82000000000005</v>
    </oc>
    <nc r="V67">
      <f>'D:\user\Documents\Программы\Сетевые графики\Отчет на 01.08.2024\[Сетевой график за июль.xlsx]УКС'!V55</f>
    </nc>
  </rcc>
  <rcc rId="12722" sId="23" numFmtId="34">
    <oc r="W67">
      <v>0</v>
    </oc>
    <nc r="W67">
      <f>'D:\user\Documents\Программы\Сетевые графики\Отчет на 01.08.2024\[Сетевой график за июль.xlsx]УКС'!W55</f>
    </nc>
  </rcc>
  <rcc rId="12723" sId="23" numFmtId="34">
    <oc r="X67">
      <v>510.25</v>
    </oc>
    <nc r="X67">
      <f>'D:\user\Documents\Программы\Сетевые графики\Отчет на 01.08.2024\[Сетевой график за июль.xlsx]УКС'!X55</f>
    </nc>
  </rcc>
  <rcc rId="12724" sId="23" numFmtId="34">
    <oc r="Y67">
      <v>0</v>
    </oc>
    <nc r="Y67">
      <f>'D:\user\Documents\Программы\Сетевые графики\Отчет на 01.08.2024\[Сетевой график за июль.xlsx]УКС'!Y55</f>
    </nc>
  </rcc>
  <rcc rId="12725" sId="23" numFmtId="34">
    <oc r="Z67">
      <v>518.83000000000004</v>
    </oc>
    <nc r="Z67">
      <f>'D:\user\Documents\Программы\Сетевые графики\Отчет на 01.08.2024\[Сетевой график за июль.xlsx]УКС'!Z55</f>
    </nc>
  </rcc>
  <rcc rId="12726" sId="23" numFmtId="34">
    <oc r="AA67">
      <v>0</v>
    </oc>
    <nc r="AA67">
      <f>'D:\user\Documents\Программы\Сетевые графики\Отчет на 01.08.2024\[Сетевой график за июль.xlsx]УКС'!AA55</f>
    </nc>
  </rcc>
  <rcc rId="12727" sId="23" numFmtId="34">
    <oc r="AB67">
      <v>1685.82</v>
    </oc>
    <nc r="AB67">
      <f>'D:\user\Documents\Программы\Сетевые графики\Отчет на 01.08.2024\[Сетевой график за июль.xlsx]УКС'!AB55</f>
    </nc>
  </rcc>
  <rcc rId="12728" sId="23" numFmtId="34">
    <oc r="AC67">
      <v>0</v>
    </oc>
    <nc r="AC67">
      <f>'D:\user\Documents\Программы\Сетевые графики\Отчет на 01.08.2024\[Сетевой график за июль.xlsx]УКС'!AC55</f>
    </nc>
  </rcc>
  <rcc rId="12729" sId="23" numFmtId="34">
    <oc r="AD67">
      <v>425.23999999999995</v>
    </oc>
    <nc r="AD67">
      <f>'D:\user\Documents\Программы\Сетевые графики\Отчет на 01.08.2024\[Сетевой график за июль.xlsx]УКС'!AD55</f>
    </nc>
  </rcc>
  <rcc rId="12730" sId="23" numFmtId="34">
    <oc r="AE67">
      <v>0</v>
    </oc>
    <nc r="AE67">
      <f>'D:\user\Documents\Программы\Сетевые графики\Отчет на 01.08.2024\[Сетевой график за июль.xlsx]УКС'!AE55</f>
    </nc>
  </rcc>
  <rcc rId="12731" sId="23" odxf="1" s="1" dxf="1">
    <oc r="AG67">
      <f>C67-E67</f>
    </oc>
    <nc r="AG67"/>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2732" sId="23" numFmtId="4">
    <oc r="B68">
      <v>0</v>
    </oc>
    <nc r="B68">
      <f>H68+J68+L68+N68+P68+R68+T68+V68+X68+Z68+AB68+AD68</f>
    </nc>
  </rcc>
  <rcc rId="12733" sId="23" numFmtId="4">
    <oc r="C68">
      <v>0</v>
    </oc>
    <nc r="C68">
      <f>T68+R68+H68+J68+L68+N68+P68</f>
    </nc>
  </rcc>
  <rcc rId="12734" sId="23" numFmtId="4">
    <oc r="D68">
      <v>0</v>
    </oc>
    <nc r="D68">
      <f>E68</f>
    </nc>
  </rcc>
  <rcc rId="12735" sId="23" numFmtId="4">
    <oc r="E68">
      <v>0</v>
    </oc>
    <nc r="E68">
      <f>I68+K68+M68+O68+Q68+S68+U68+W68+Y68+AA68+AC68+AE68</f>
    </nc>
  </rcc>
  <rcc rId="12736" sId="23" numFmtId="4">
    <oc r="F68">
      <v>0</v>
    </oc>
    <nc r="F68">
      <f>IFERROR(E68/B68*100,0)</f>
    </nc>
  </rcc>
  <rcc rId="12737" sId="23" numFmtId="4">
    <oc r="G68">
      <v>0</v>
    </oc>
    <nc r="G68">
      <f>IFERROR(E68/C68*100,0)</f>
    </nc>
  </rcc>
  <rcc rId="12738" sId="23" odxf="1" dxf="1">
    <oc r="AG68">
      <f>C68-E68</f>
    </oc>
    <nc r="AG68"/>
    <odxf>
      <font>
        <color auto="1"/>
      </font>
      <numFmt numFmtId="4" formatCode="#,##0.00"/>
    </odxf>
    <ndxf>
      <font>
        <sz val="12"/>
        <color auto="1"/>
        <name val="Times New Roman"/>
        <scheme val="none"/>
      </font>
      <numFmt numFmtId="0" formatCode="General"/>
    </ndxf>
  </rcc>
  <rcc rId="12739" sId="23" numFmtId="4">
    <oc r="B69">
      <v>0</v>
    </oc>
    <nc r="B69">
      <f>H69+J69+L69+N69+P69+R69+T69+V69+X69+Z69+AB69+AD69</f>
    </nc>
  </rcc>
  <rcc rId="12740" sId="23" numFmtId="4">
    <oc r="C69">
      <v>0</v>
    </oc>
    <nc r="C69">
      <f>T69+R69+H69+J69+L69+N69+P69</f>
    </nc>
  </rcc>
  <rcc rId="12741" sId="23" numFmtId="4">
    <oc r="D69">
      <v>0</v>
    </oc>
    <nc r="D69">
      <f>E69</f>
    </nc>
  </rcc>
  <rcc rId="12742" sId="23" numFmtId="4">
    <oc r="E69">
      <v>0</v>
    </oc>
    <nc r="E69">
      <f>I69+K69+M69+O69+Q69+S69+U69+W69+Y69+AA69+AC69+AE69</f>
    </nc>
  </rcc>
  <rcc rId="12743" sId="23" numFmtId="4">
    <oc r="F69">
      <v>0</v>
    </oc>
    <nc r="F69">
      <f>IFERROR(E69/B69*100,0)</f>
    </nc>
  </rcc>
  <rcc rId="12744" sId="23" numFmtId="4">
    <oc r="G69">
      <v>0</v>
    </oc>
    <nc r="G69">
      <f>IFERROR(E69/C69*100,0)</f>
    </nc>
  </rcc>
  <rcc rId="12745" sId="23" odxf="1" dxf="1">
    <oc r="AG69">
      <f>C69-E69</f>
    </oc>
    <nc r="AG69"/>
    <odxf>
      <font>
        <color auto="1"/>
      </font>
      <numFmt numFmtId="4" formatCode="#,##0.00"/>
    </odxf>
    <ndxf>
      <font>
        <sz val="12"/>
        <color auto="1"/>
        <name val="Times New Roman"/>
        <scheme val="none"/>
      </font>
      <numFmt numFmtId="0" formatCode="General"/>
    </ndxf>
  </rcc>
  <rfmt sheetId="23" sqref="A70" start="0" length="0">
    <dxf>
      <alignment vertical="top" wrapText="1" readingOrder="0"/>
    </dxf>
  </rfmt>
  <rcc rId="12746" sId="23" odxf="1" dxf="1">
    <oc r="AG70">
      <f>C70-E70</f>
    </oc>
    <nc r="AG70"/>
    <odxf>
      <font>
        <color auto="1"/>
      </font>
      <numFmt numFmtId="4" formatCode="#,##0.00"/>
    </odxf>
    <ndxf>
      <font>
        <sz val="12"/>
        <color auto="1"/>
        <name val="Times New Roman"/>
        <scheme val="none"/>
      </font>
      <numFmt numFmtId="0" formatCode="General"/>
    </ndxf>
  </rcc>
  <rcc rId="12747" sId="23" numFmtId="4">
    <oc r="B71">
      <v>992.2</v>
    </oc>
    <nc r="B71">
      <f>B73+B74+B72+B76</f>
    </nc>
  </rcc>
  <rcc rId="12748" sId="23" numFmtId="4">
    <oc r="C71">
      <v>0</v>
    </oc>
    <nc r="C71">
      <f>C73+C74+C72+C76</f>
    </nc>
  </rcc>
  <rcc rId="12749" sId="23" numFmtId="4">
    <oc r="D71">
      <v>0</v>
    </oc>
    <nc r="D71">
      <f>D73+D74+D72+D76</f>
    </nc>
  </rcc>
  <rcc rId="12750" sId="23" numFmtId="4">
    <oc r="E71">
      <v>0</v>
    </oc>
    <nc r="E71">
      <f>E73+E74+E72+E76</f>
    </nc>
  </rcc>
  <rcc rId="12751" sId="23" numFmtId="4">
    <oc r="F71">
      <v>0</v>
    </oc>
    <nc r="F71">
      <f>IFERROR(E71/B71%,0)</f>
    </nc>
  </rcc>
  <rcc rId="12752" sId="23" numFmtId="4">
    <oc r="G71">
      <v>0</v>
    </oc>
    <nc r="G71">
      <f>IFERROR(E71/C71%,0)</f>
    </nc>
  </rcc>
  <rcc rId="12753" sId="23" numFmtId="4">
    <oc r="H71">
      <v>0</v>
    </oc>
    <nc r="H71">
      <f>H73+H74+H72+H76</f>
    </nc>
  </rcc>
  <rcc rId="12754" sId="23" numFmtId="4">
    <oc r="I71">
      <v>0</v>
    </oc>
    <nc r="I71">
      <f>I73+I74+I72+I76</f>
    </nc>
  </rcc>
  <rcc rId="12755" sId="23" numFmtId="4">
    <oc r="J71">
      <v>0</v>
    </oc>
    <nc r="J71">
      <f>J73+J74+J72+J76</f>
    </nc>
  </rcc>
  <rcc rId="12756" sId="23" numFmtId="4">
    <oc r="K71">
      <v>0</v>
    </oc>
    <nc r="K71">
      <f>K73+K74+K72+K76</f>
    </nc>
  </rcc>
  <rcc rId="12757" sId="23" numFmtId="4">
    <oc r="L71">
      <v>0</v>
    </oc>
    <nc r="L71">
      <f>L73+L74+L72+L76</f>
    </nc>
  </rcc>
  <rcc rId="12758" sId="23" numFmtId="4">
    <oc r="M71">
      <v>0</v>
    </oc>
    <nc r="M71">
      <f>M73+M74+M72+M76</f>
    </nc>
  </rcc>
  <rcc rId="12759" sId="23" numFmtId="4">
    <oc r="N71">
      <v>0</v>
    </oc>
    <nc r="N71">
      <f>N73+N74+N72+N76</f>
    </nc>
  </rcc>
  <rcc rId="12760" sId="23" numFmtId="4">
    <oc r="O71">
      <v>0</v>
    </oc>
    <nc r="O71">
      <f>O73+O74+O72+O76</f>
    </nc>
  </rcc>
  <rcc rId="12761" sId="23" numFmtId="4">
    <oc r="P71">
      <v>0</v>
    </oc>
    <nc r="P71">
      <f>P73+P74+P72+P76</f>
    </nc>
  </rcc>
  <rcc rId="12762" sId="23" numFmtId="4">
    <oc r="Q71">
      <v>0</v>
    </oc>
    <nc r="Q71">
      <f>Q73+Q74+Q72+Q76</f>
    </nc>
  </rcc>
  <rcc rId="12763" sId="23" numFmtId="4">
    <oc r="R71">
      <v>0</v>
    </oc>
    <nc r="R71">
      <f>R73+R74+R72+R76</f>
    </nc>
  </rcc>
  <rcc rId="12764" sId="23" numFmtId="4">
    <oc r="S71">
      <v>0</v>
    </oc>
    <nc r="S71">
      <f>S73+S74+S72+S76</f>
    </nc>
  </rcc>
  <rcc rId="12765" sId="23" numFmtId="4">
    <oc r="T71">
      <v>0</v>
    </oc>
    <nc r="T71">
      <f>T73+T74+T72+T76</f>
    </nc>
  </rcc>
  <rcc rId="12766" sId="23" numFmtId="4">
    <oc r="U71">
      <v>0</v>
    </oc>
    <nc r="U71">
      <f>U73+U74+U72+U76</f>
    </nc>
  </rcc>
  <rcc rId="12767" sId="23" numFmtId="4">
    <oc r="V71">
      <v>0</v>
    </oc>
    <nc r="V71">
      <f>V73+V74+V72+V76</f>
    </nc>
  </rcc>
  <rcc rId="12768" sId="23" numFmtId="4">
    <oc r="W71">
      <v>0</v>
    </oc>
    <nc r="W71">
      <f>W73+W74+W72+W76</f>
    </nc>
  </rcc>
  <rcc rId="12769" sId="23" numFmtId="4">
    <oc r="X71">
      <v>0</v>
    </oc>
    <nc r="X71">
      <f>X73+X74+X72+X76</f>
    </nc>
  </rcc>
  <rcc rId="12770" sId="23" numFmtId="4">
    <oc r="Y71">
      <v>0</v>
    </oc>
    <nc r="Y71">
      <f>Y73+Y74+Y72+Y76</f>
    </nc>
  </rcc>
  <rcc rId="12771" sId="23" numFmtId="4">
    <oc r="Z71">
      <v>992.2</v>
    </oc>
    <nc r="Z71">
      <f>Z73+Z74+Z72+Z76</f>
    </nc>
  </rcc>
  <rcc rId="12772" sId="23" numFmtId="4">
    <oc r="AA71">
      <v>0</v>
    </oc>
    <nc r="AA71">
      <f>AA73+AA74+AA72+AA76</f>
    </nc>
  </rcc>
  <rcc rId="12773" sId="23" numFmtId="4">
    <oc r="AB71">
      <v>0</v>
    </oc>
    <nc r="AB71">
      <f>AB73+AB74+AB72+AB76</f>
    </nc>
  </rcc>
  <rcc rId="12774" sId="23" numFmtId="4">
    <oc r="AC71">
      <v>0</v>
    </oc>
    <nc r="AC71">
      <f>AC73+AC74+AC72+AC76</f>
    </nc>
  </rcc>
  <rcc rId="12775" sId="23" numFmtId="4">
    <oc r="AD71">
      <v>0</v>
    </oc>
    <nc r="AD71">
      <f>AD73+AD74+AD72+AD76</f>
    </nc>
  </rcc>
  <rcc rId="12776" sId="23" numFmtId="4">
    <oc r="AE71">
      <v>0</v>
    </oc>
    <nc r="AE71">
      <f>AE73+AE74+AE72+AE76</f>
    </nc>
  </rcc>
  <rcc rId="12777" sId="23" odxf="1" dxf="1">
    <oc r="AG71">
      <f>C71-E71</f>
    </oc>
    <nc r="AG71"/>
    <odxf>
      <font>
        <color auto="1"/>
      </font>
      <numFmt numFmtId="4" formatCode="#,##0.00"/>
    </odxf>
    <ndxf>
      <font>
        <sz val="12"/>
        <color auto="1"/>
        <name val="Times New Roman"/>
        <scheme val="none"/>
      </font>
      <numFmt numFmtId="0" formatCode="General"/>
    </ndxf>
  </rcc>
  <rcc rId="12778" sId="23" numFmtId="4">
    <oc r="B72">
      <v>0</v>
    </oc>
    <nc r="B72">
      <f>H72+J72+L72+N72+P72+R72+T72+V72+X72+Z72+AB72+AD72</f>
    </nc>
  </rcc>
  <rcc rId="12779" sId="23" numFmtId="4">
    <oc r="C72">
      <v>0</v>
    </oc>
    <nc r="C72">
      <f>T72+R72+H72+J72+L72+N72+P72</f>
    </nc>
  </rcc>
  <rcc rId="12780" sId="23" numFmtId="4">
    <oc r="D72">
      <v>0</v>
    </oc>
    <nc r="D72">
      <f>E72</f>
    </nc>
  </rcc>
  <rcc rId="12781" sId="23" numFmtId="4">
    <oc r="E72">
      <v>0</v>
    </oc>
    <nc r="E72">
      <f>I72+K72+M72+O72+Q72+S72+U72+W72+Y72+AA72+AC72+AE72</f>
    </nc>
  </rcc>
  <rcc rId="12782" sId="23" odxf="1" s="1" dxf="1" numFmtId="4">
    <oc r="F72">
      <v>0</v>
    </oc>
    <nc r="F72">
      <f>IFERROR(E72/B72%,0)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783" sId="23" odxf="1" s="1" dxf="1" numFmtId="4">
    <oc r="G72">
      <v>0</v>
    </oc>
    <nc r="G72">
      <f>IFERROR(E72/C72%,0)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784" sId="23" odxf="1" dxf="1">
    <oc r="AG72">
      <f>C72-E72</f>
    </oc>
    <nc r="AG72"/>
    <odxf>
      <font>
        <color auto="1"/>
      </font>
      <numFmt numFmtId="4" formatCode="#,##0.00"/>
    </odxf>
    <ndxf>
      <font>
        <sz val="12"/>
        <color auto="1"/>
        <name val="Times New Roman"/>
        <scheme val="none"/>
      </font>
      <numFmt numFmtId="0" formatCode="General"/>
    </ndxf>
  </rcc>
  <rcc rId="12785" sId="23" numFmtId="34">
    <oc r="B73">
      <v>992.2</v>
    </oc>
    <nc r="B73">
      <f>H73+J73+L73+N73+P73+R73+T73+V73+X73+Z73+AB73+AD73</f>
    </nc>
  </rcc>
  <rcc rId="12786" sId="23" numFmtId="4">
    <oc r="C73">
      <v>0</v>
    </oc>
    <nc r="C73">
      <f>T73+R73+H73+J73+L73+N73+P73</f>
    </nc>
  </rcc>
  <rcc rId="12787" sId="23" numFmtId="4">
    <oc r="D73">
      <v>0</v>
    </oc>
    <nc r="D73">
      <f>E73</f>
    </nc>
  </rcc>
  <rcc rId="12788" sId="23" numFmtId="4">
    <oc r="E73">
      <v>0</v>
    </oc>
    <nc r="E73">
      <f>I73+K73+M73+O73+Q73+S73+U73+W73+Y73+AA73+AC73+AE73</f>
    </nc>
  </rcc>
  <rcc rId="12789" sId="23" odxf="1" s="1" dxf="1" numFmtId="4">
    <oc r="F73">
      <v>0</v>
    </oc>
    <nc r="F73">
      <f>IFERROR(E73/B73%,0)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790" sId="23" odxf="1" s="1" dxf="1" numFmtId="4">
    <oc r="G73">
      <v>0</v>
    </oc>
    <nc r="G73">
      <f>IFERROR(E73/C73%,0)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791" sId="23" numFmtId="34">
    <oc r="Z73">
      <v>992.2</v>
    </oc>
    <nc r="Z73">
      <f>'D:\user\Documents\Программы\Сетевые графики\Отчет на 01.08.2024\[Сетевой график за июль.xlsx]УКС'!Z61</f>
    </nc>
  </rcc>
  <rcc rId="12792" sId="23" numFmtId="34">
    <oc r="AA73">
      <v>0</v>
    </oc>
    <nc r="AA73">
      <f>'D:\user\Documents\Программы\Сетевые графики\Отчет на 01.08.2024\[Сетевой график за июль.xlsx]УКС'!AA61</f>
    </nc>
  </rcc>
  <rcc rId="12793" sId="23" numFmtId="34">
    <oc r="AB73">
      <v>0</v>
    </oc>
    <nc r="AB73">
      <f>'D:\user\Documents\Программы\Сетевые графики\Отчет на 01.08.2024\[Сетевой график за июль.xlsx]УКС'!AB61</f>
    </nc>
  </rcc>
  <rcc rId="12794" sId="23" numFmtId="34">
    <oc r="AC73">
      <v>0</v>
    </oc>
    <nc r="AC73">
      <f>'D:\user\Documents\Программы\Сетевые графики\Отчет на 01.08.2024\[Сетевой график за июль.xlsx]УКС'!AC61</f>
    </nc>
  </rcc>
  <rcc rId="12795" sId="23" numFmtId="34">
    <oc r="AD73">
      <v>0</v>
    </oc>
    <nc r="AD73">
      <f>'D:\user\Documents\Программы\Сетевые графики\Отчет на 01.08.2024\[Сетевой график за июль.xlsx]УКС'!AD61</f>
    </nc>
  </rcc>
  <rcc rId="12796" sId="23" numFmtId="34">
    <oc r="AE73">
      <v>0</v>
    </oc>
    <nc r="AE73">
      <f>'D:\user\Documents\Программы\Сетевые графики\Отчет на 01.08.2024\[Сетевой график за июль.xlsx]УКС'!AE61</f>
    </nc>
  </rcc>
  <rcc rId="12797" sId="23" odxf="1" s="1" dxf="1">
    <oc r="AG73">
      <f>C73-E73</f>
    </oc>
    <nc r="AG73"/>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2798" sId="23" numFmtId="4">
    <oc r="B74">
      <v>0</v>
    </oc>
    <nc r="B74">
      <f>H74+J74+L74+N74+P74+R74+T74+V74+X74+Z74+AB74+AD74</f>
    </nc>
  </rcc>
  <rcc rId="12799" sId="23" numFmtId="4">
    <oc r="C74">
      <v>0</v>
    </oc>
    <nc r="C74">
      <f>T74+R74+H74+J74+L74+N74+P74</f>
    </nc>
  </rcc>
  <rcc rId="12800" sId="23" numFmtId="4">
    <oc r="D74">
      <v>0</v>
    </oc>
    <nc r="D74">
      <f>E74</f>
    </nc>
  </rcc>
  <rcc rId="12801" sId="23" numFmtId="4">
    <oc r="E74">
      <v>0</v>
    </oc>
    <nc r="E74">
      <f>I74+K74+M74+O74+Q74+S74+U74+W74+Y74+AA74+AC74+AE74</f>
    </nc>
  </rcc>
  <rcc rId="12802" sId="23" odxf="1" s="1" dxf="1" numFmtId="4">
    <oc r="F74">
      <v>0</v>
    </oc>
    <nc r="F74">
      <f>IFERROR(E74/B74%,0)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03" sId="23" odxf="1" s="1" dxf="1" numFmtId="4">
    <oc r="G74">
      <v>0</v>
    </oc>
    <nc r="G74">
      <f>IFERROR(E74/C74%,0)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04" sId="23" odxf="1" dxf="1">
    <oc r="AG74">
      <f>C74-E74</f>
    </oc>
    <nc r="AG74"/>
    <odxf>
      <font>
        <color auto="1"/>
      </font>
      <numFmt numFmtId="4" formatCode="#,##0.00"/>
    </odxf>
    <ndxf>
      <font>
        <sz val="12"/>
        <color auto="1"/>
        <name val="Times New Roman"/>
        <scheme val="none"/>
      </font>
      <numFmt numFmtId="0" formatCode="General"/>
    </ndxf>
  </rcc>
  <rcc rId="12805" sId="23" numFmtId="4">
    <oc r="B75">
      <v>0</v>
    </oc>
    <nc r="B75">
      <f>H75+J75+L75+N75+P75+R75+T75+V75+X75+Z75+AB75+AD75</f>
    </nc>
  </rcc>
  <rcc rId="12806" sId="23" numFmtId="4">
    <oc r="C75">
      <v>0</v>
    </oc>
    <nc r="C75">
      <f>T75+R75+H75+J75+L75+N75+P75</f>
    </nc>
  </rcc>
  <rcc rId="12807" sId="23" numFmtId="4">
    <oc r="D75">
      <v>0</v>
    </oc>
    <nc r="D75">
      <f>E75</f>
    </nc>
  </rcc>
  <rcc rId="12808" sId="23" numFmtId="4">
    <oc r="E75">
      <v>0</v>
    </oc>
    <nc r="E75">
      <f>I75+K75+M75+O75+Q75+S75+U75+W75+Y75+AA75+AC75+AE75</f>
    </nc>
  </rcc>
  <rcc rId="12809" sId="23" odxf="1" s="1" dxf="1" numFmtId="4">
    <oc r="F75">
      <v>0</v>
    </oc>
    <nc r="F75">
      <f>IFERROR(E75/B75%,0)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10" sId="23" odxf="1" s="1" dxf="1" numFmtId="4">
    <oc r="G75">
      <v>0</v>
    </oc>
    <nc r="G75">
      <f>IFERROR(E75/C75%,0)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11" sId="23" odxf="1" dxf="1">
    <oc r="AG75">
      <f>C75-E75</f>
    </oc>
    <nc r="AG75"/>
    <odxf>
      <font>
        <color auto="1"/>
      </font>
      <numFmt numFmtId="4" formatCode="#,##0.00"/>
    </odxf>
    <ndxf>
      <font>
        <sz val="12"/>
        <color auto="1"/>
        <name val="Times New Roman"/>
        <scheme val="none"/>
      </font>
      <numFmt numFmtId="0" formatCode="General"/>
    </ndxf>
  </rcc>
  <rcc rId="12812" sId="23" numFmtId="4">
    <oc r="B76">
      <v>0</v>
    </oc>
    <nc r="B76">
      <f>H76+J76+L76+N76+P76+R76+T76+V76+X76+Z76+AB76+AD76</f>
    </nc>
  </rcc>
  <rcc rId="12813" sId="23" numFmtId="4">
    <oc r="C76">
      <v>0</v>
    </oc>
    <nc r="C76">
      <f>T76+R76+H76+J76+L76+N76+P76</f>
    </nc>
  </rcc>
  <rcc rId="12814" sId="23" numFmtId="4">
    <oc r="D76">
      <v>0</v>
    </oc>
    <nc r="D76">
      <f>E76</f>
    </nc>
  </rcc>
  <rcc rId="12815" sId="23" numFmtId="4">
    <oc r="E76">
      <v>0</v>
    </oc>
    <nc r="E76">
      <f>I76+K76+M76+O76+Q76+S76+U76+W76+Y76+AA76+AC76+AE76</f>
    </nc>
  </rcc>
  <rcc rId="12816" sId="23" odxf="1" s="1" dxf="1" numFmtId="4">
    <oc r="F76">
      <v>0</v>
    </oc>
    <nc r="F76">
      <f>IFERROR(E76/B76%,0)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17" sId="23" odxf="1" s="1" dxf="1" numFmtId="4">
    <oc r="G76">
      <v>0</v>
    </oc>
    <nc r="G76">
      <f>IFERROR(E76/C76%,0)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18" sId="23" odxf="1" dxf="1">
    <oc r="AG76">
      <f>C76-E76</f>
    </oc>
    <nc r="AG76"/>
    <odxf>
      <font>
        <color auto="1"/>
      </font>
      <numFmt numFmtId="4" formatCode="#,##0.00"/>
    </odxf>
    <ndxf>
      <font>
        <sz val="12"/>
        <color auto="1"/>
        <name val="Times New Roman"/>
        <scheme val="none"/>
      </font>
      <numFmt numFmtId="0" formatCode="General"/>
    </ndxf>
  </rcc>
  <rfmt sheetId="23" sqref="A77" start="0" length="0">
    <dxf>
      <alignment vertical="top" wrapText="1" readingOrder="0"/>
    </dxf>
  </rfmt>
  <rcc rId="12819" sId="23" odxf="1" dxf="1">
    <oc r="AG77">
      <f>C77-E77</f>
    </oc>
    <nc r="AG77"/>
    <odxf>
      <font>
        <color auto="1"/>
      </font>
      <numFmt numFmtId="4" formatCode="#,##0.00"/>
    </odxf>
    <ndxf>
      <font>
        <sz val="12"/>
        <color auto="1"/>
        <name val="Times New Roman"/>
        <scheme val="none"/>
      </font>
      <numFmt numFmtId="0" formatCode="General"/>
    </ndxf>
  </rcc>
  <rcc rId="12820" sId="23" numFmtId="4">
    <oc r="B78">
      <v>8022.7</v>
    </oc>
    <nc r="B78">
      <f>B80+B81+B79+B83</f>
    </nc>
  </rcc>
  <rcc rId="12821" sId="23" numFmtId="4">
    <oc r="C78">
      <v>4003.0199999999995</v>
    </oc>
    <nc r="C78">
      <f>C80+C81+C79+C83</f>
    </nc>
  </rcc>
  <rcc rId="12822" sId="23" numFmtId="4">
    <oc r="D78">
      <v>1789.62</v>
    </oc>
    <nc r="D78">
      <f>D80+D81+D79+D83</f>
    </nc>
  </rcc>
  <rcc rId="12823" sId="23" numFmtId="4">
    <oc r="E78">
      <v>1789.62</v>
    </oc>
    <nc r="E78">
      <f>E80+E81+E79+E83</f>
    </nc>
  </rcc>
  <rcc rId="12824" sId="23" numFmtId="4">
    <oc r="F78">
      <v>22.306954017973997</v>
    </oc>
    <nc r="F78">
      <f>IFERROR(E78/B78%,0)</f>
    </nc>
  </rcc>
  <rcc rId="12825" sId="23" numFmtId="4">
    <oc r="G78">
      <v>44.706746406463125</v>
    </oc>
    <nc r="G78">
      <f>IFERROR(E78/C78%,0)</f>
    </nc>
  </rcc>
  <rcc rId="12826" sId="23" numFmtId="4">
    <oc r="H78">
      <v>526.79999999999995</v>
    </oc>
    <nc r="H78">
      <f>H80+H81+H79+H83</f>
    </nc>
  </rcc>
  <rcc rId="12827" sId="23" numFmtId="4">
    <oc r="I78">
      <v>248.69</v>
    </oc>
    <nc r="I78">
      <f>I80+I81+I79+I83</f>
    </nc>
  </rcc>
  <rcc rId="12828" sId="23" numFmtId="4">
    <oc r="J78">
      <v>956.85</v>
    </oc>
    <nc r="J78">
      <f>J80+J81+J79+J83</f>
    </nc>
  </rcc>
  <rcc rId="12829" sId="23" numFmtId="4">
    <oc r="K78">
      <v>457.34000000000003</v>
    </oc>
    <nc r="K78">
      <f>K80+K81+K79+K83</f>
    </nc>
  </rcc>
  <rcc rId="12830" sId="23" numFmtId="4">
    <oc r="L78">
      <v>1234.31</v>
    </oc>
    <nc r="L78">
      <f>L80+L81+L79+L83</f>
    </nc>
  </rcc>
  <rcc rId="12831" sId="23" numFmtId="4">
    <oc r="M78">
      <v>327.39999999999998</v>
    </oc>
    <nc r="M78">
      <f>M80+M81+M79+M83</f>
    </nc>
  </rcc>
  <rcc rId="12832" sId="23" numFmtId="4">
    <oc r="N78">
      <v>774.46999999999991</v>
    </oc>
    <nc r="N78">
      <f>N80+N81+N79+N83</f>
    </nc>
  </rcc>
  <rcc rId="12833" sId="23" numFmtId="4">
    <oc r="O78">
      <v>699.64</v>
    </oc>
    <nc r="O78">
      <f>O80+O81+O79+O83</f>
    </nc>
  </rcc>
  <rcc rId="12834" sId="23" numFmtId="4">
    <oc r="P78">
      <v>510.59</v>
    </oc>
    <nc r="P78">
      <f>P80+P81+P79+P83</f>
    </nc>
  </rcc>
  <rcc rId="12835" sId="23" numFmtId="4">
    <oc r="Q78">
      <v>56.55</v>
    </oc>
    <nc r="Q78">
      <f>Q80+Q81+Q79+Q83</f>
    </nc>
  </rcc>
  <rcc rId="12836" sId="23" numFmtId="4">
    <oc r="R78">
      <v>576.46</v>
    </oc>
    <nc r="R78">
      <f>R80+R81+R79+R83</f>
    </nc>
  </rcc>
  <rcc rId="12837" sId="23" numFmtId="4">
    <oc r="S78">
      <v>0</v>
    </oc>
    <nc r="S78">
      <f>S80+S81+S79+S83</f>
    </nc>
  </rcc>
  <rcc rId="12838" sId="23" numFmtId="4">
    <oc r="T78">
      <v>576.45000000000005</v>
    </oc>
    <nc r="T78">
      <f>T80+T81+T79+T83</f>
    </nc>
  </rcc>
  <rcc rId="12839" sId="23" numFmtId="4">
    <oc r="U78">
      <v>0</v>
    </oc>
    <nc r="U78">
      <f>U80+U81+U79+U83</f>
    </nc>
  </rcc>
  <rcc rId="12840" sId="23" numFmtId="4">
    <oc r="V78">
      <v>576.46</v>
    </oc>
    <nc r="V78">
      <f>V80+V81+V79+V83</f>
    </nc>
  </rcc>
  <rcc rId="12841" sId="23" numFmtId="4">
    <oc r="W78">
      <v>0</v>
    </oc>
    <nc r="W78">
      <f>W80+W81+W79+W83</f>
    </nc>
  </rcc>
  <rcc rId="12842" sId="23" numFmtId="4">
    <oc r="X78">
      <v>576.45000000000005</v>
    </oc>
    <nc r="X78">
      <f>X80+X81+X79+X83</f>
    </nc>
  </rcc>
  <rcc rId="12843" sId="23" numFmtId="4">
    <oc r="Y78">
      <v>0</v>
    </oc>
    <nc r="Y78">
      <f>Y80+Y81+Y79+Y83</f>
    </nc>
  </rcc>
  <rcc rId="12844" sId="23" numFmtId="4">
    <oc r="Z78">
      <v>576.46</v>
    </oc>
    <nc r="Z78">
      <f>Z80+Z81+Z79+Z83</f>
    </nc>
  </rcc>
  <rcc rId="12845" sId="23" numFmtId="4">
    <oc r="AA78">
      <v>0</v>
    </oc>
    <nc r="AA78">
      <f>AA80+AA81+AA79+AA83</f>
    </nc>
  </rcc>
  <rcc rId="12846" sId="23" numFmtId="4">
    <oc r="AB78">
      <v>576.45000000000005</v>
    </oc>
    <nc r="AB78">
      <f>AB80+AB81+AB79+AB83</f>
    </nc>
  </rcc>
  <rcc rId="12847" sId="23" numFmtId="4">
    <oc r="AC78">
      <v>0</v>
    </oc>
    <nc r="AC78">
      <f>AC80+AC81+AC79+AC83</f>
    </nc>
  </rcc>
  <rcc rId="12848" sId="23" numFmtId="4">
    <oc r="AD78">
      <v>560.95000000000005</v>
    </oc>
    <nc r="AD78">
      <f>AD80+AD81+AD79+AD83</f>
    </nc>
  </rcc>
  <rcc rId="12849" sId="23" numFmtId="4">
    <oc r="AE78">
      <v>0</v>
    </oc>
    <nc r="AE78">
      <f>AE80+AE81+AE79+AE83</f>
    </nc>
  </rcc>
  <rcc rId="12850" sId="23" odxf="1" dxf="1">
    <oc r="AG78">
      <f>C78-E78</f>
    </oc>
    <nc r="AG78"/>
    <odxf>
      <font>
        <color auto="1"/>
      </font>
      <numFmt numFmtId="4" formatCode="#,##0.00"/>
    </odxf>
    <ndxf>
      <font>
        <sz val="12"/>
        <color auto="1"/>
        <name val="Times New Roman"/>
        <scheme val="none"/>
      </font>
      <numFmt numFmtId="0" formatCode="General"/>
    </ndxf>
  </rcc>
  <rcc rId="12851" sId="23" numFmtId="4">
    <oc r="B79">
      <v>0</v>
    </oc>
    <nc r="B79">
      <f>H79+J79+L79+N79+P79+R79+T79+V79+X79+Z79+AB79+AD79</f>
    </nc>
  </rcc>
  <rcc rId="12852" sId="23" numFmtId="4">
    <oc r="C79">
      <v>0</v>
    </oc>
    <nc r="C79">
      <f>T79+R79+H79+J79+L79+N79+P79</f>
    </nc>
  </rcc>
  <rcc rId="12853" sId="23" numFmtId="4">
    <oc r="D79">
      <v>0</v>
    </oc>
    <nc r="D79">
      <f>E79</f>
    </nc>
  </rcc>
  <rcc rId="12854" sId="23" numFmtId="4">
    <oc r="E79">
      <v>0</v>
    </oc>
    <nc r="E79">
      <f>I79+K79+M79+O79+Q79+S79+U79+W79+Y79+AA79+AC79+AE79</f>
    </nc>
  </rcc>
  <rcc rId="12855" sId="23" odxf="1" s="1" dxf="1" numFmtId="4">
    <oc r="F79">
      <v>0</v>
    </oc>
    <nc r="F79">
      <f>IFERROR(E79/B79%,0)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56" sId="23" odxf="1" s="1" dxf="1" numFmtId="4">
    <oc r="G79">
      <v>0</v>
    </oc>
    <nc r="G79">
      <f>IFERROR(E79/C79%,0)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857" sId="23" odxf="1" dxf="1">
    <oc r="AG79">
      <f>C79-E79</f>
    </oc>
    <nc r="AG79"/>
    <odxf>
      <font>
        <color auto="1"/>
      </font>
      <numFmt numFmtId="4" formatCode="#,##0.00"/>
    </odxf>
    <ndxf>
      <font>
        <sz val="12"/>
        <color auto="1"/>
        <name val="Times New Roman"/>
        <scheme val="none"/>
      </font>
      <numFmt numFmtId="0" formatCode="General"/>
    </ndxf>
  </rcc>
  <rcc rId="12858" sId="23" numFmtId="34">
    <oc r="B80">
      <v>595.29999999999995</v>
    </oc>
    <nc r="B80">
      <f>H80+J80+L80+N80+P80+R80+T80+V80+X80+Z80+AB80+AD80</f>
    </nc>
  </rcc>
  <rcc rId="12859" sId="23" numFmtId="4">
    <oc r="C80">
      <v>595.29999999999995</v>
    </oc>
    <nc r="C80">
      <f>T80+R80+H80+J80+L80+N80+P80</f>
    </nc>
  </rcc>
  <rcc rId="12860" sId="23" numFmtId="34">
    <oc r="D80">
      <v>378.12</v>
    </oc>
    <nc r="D80">
      <f>E80</f>
    </nc>
  </rcc>
  <rcc rId="12861" sId="23" numFmtId="34">
    <oc r="E80">
      <v>378.12</v>
    </oc>
    <nc r="E80">
      <f>I80+K80+M80+O80+Q80+S80+U80+W80+Y80+AA80+AC80+AE80</f>
    </nc>
  </rcc>
  <rcc rId="12862" sId="23" numFmtId="34">
    <oc r="F80">
      <v>63.517554174365877</v>
    </oc>
    <nc r="F80">
      <f>E80/B80*100</f>
    </nc>
  </rcc>
  <rcc rId="12863" sId="23" numFmtId="34">
    <oc r="G80">
      <v>63.517554174365877</v>
    </oc>
    <nc r="G80">
      <f>E80/C80*100</f>
    </nc>
  </rcc>
  <rcc rId="12864" sId="23" numFmtId="34">
    <oc r="H80">
      <v>526.79999999999995</v>
    </oc>
    <nc r="H80">
      <f>'D:\user\Documents\Программы\Сетевые графики\Отчет на 01.08.2024\[Сетевой график за июль.xlsx]УКС'!H66</f>
    </nc>
  </rcc>
  <rcc rId="12865" sId="23" numFmtId="34">
    <oc r="I80">
      <v>248.69</v>
    </oc>
    <nc r="I80">
      <f>'D:\user\Documents\Программы\Сетевые графики\Отчет на 01.08.2024\[Сетевой график за июль.xlsx]УКС'!I66</f>
    </nc>
  </rcc>
  <rcc rId="12866" sId="23" numFmtId="34">
    <oc r="J80">
      <v>68.5</v>
    </oc>
    <nc r="J80">
      <f>'D:\user\Documents\Программы\Сетевые графики\Отчет на 01.08.2024\[Сетевой график за июль.xlsx]УКС'!J66</f>
    </nc>
  </rcc>
  <rcc rId="12867" sId="23" odxf="1" s="1" dxf="1" numFmtId="34">
    <oc r="K80">
      <v>129.43</v>
    </oc>
    <nc r="K80">
      <f>'D:\user\Documents\Программы\Сетевые графики\Отчет на 01.08.2024\[Сетевой график за июль.xlsx]УКС'!K66</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70" formatCode="_(* #,##0.00_);_(* \(#,##0.00\);_(* &quot;-&quot;??_);_(@_)"/>
    </ndxf>
  </rcc>
  <rcc rId="12868" sId="23" odxf="1" dxf="1">
    <nc r="L80">
      <f>'D:\user\Documents\Программы\Сетевые графики\Отчет на 01.08.2024\[Сетевой график за июль.xlsx]УКС'!L66</f>
    </nc>
    <odxf>
      <font>
        <b/>
        <sz val="12"/>
        <name val="Times New Roman"/>
        <scheme val="none"/>
      </font>
    </odxf>
    <ndxf>
      <font>
        <b val="0"/>
        <sz val="12"/>
        <name val="Times New Roman"/>
        <scheme val="none"/>
      </font>
    </ndxf>
  </rcc>
  <rcc rId="12869" sId="23" odxf="1" s="1" dxf="1">
    <nc r="M80">
      <f>'D:\user\Documents\Программы\Сетевые графики\Отчет на 01.08.2024\[Сетевой график за июль.xlsx]УКС'!M66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0" sId="23" odxf="1" dxf="1">
    <nc r="N80">
      <f>'D:\user\Documents\Программы\Сетевые графики\Отчет на 01.08.2024\[Сетевой график за июль.xlsx]УКС'!N66</f>
    </nc>
    <odxf>
      <font>
        <b/>
        <sz val="12"/>
        <name val="Times New Roman"/>
        <scheme val="none"/>
      </font>
    </odxf>
    <ndxf>
      <font>
        <b val="0"/>
        <sz val="12"/>
        <name val="Times New Roman"/>
        <scheme val="none"/>
      </font>
    </ndxf>
  </rcc>
  <rcc rId="12871" sId="23" odxf="1" s="1" dxf="1">
    <nc r="O80">
      <f>'D:\user\Documents\Программы\Сетевые графики\Отчет на 01.08.2024\[Сетевой график за июль.xlsx]УКС'!O66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2" sId="23" odxf="1" dxf="1">
    <nc r="P80">
      <f>'D:\user\Documents\Программы\Сетевые графики\Отчет на 01.08.2024\[Сетевой график за июль.xlsx]УКС'!P66</f>
    </nc>
    <odxf>
      <font>
        <b/>
        <sz val="12"/>
        <name val="Times New Roman"/>
        <scheme val="none"/>
      </font>
    </odxf>
    <ndxf>
      <font>
        <b val="0"/>
        <sz val="12"/>
        <name val="Times New Roman"/>
        <scheme val="none"/>
      </font>
    </ndxf>
  </rcc>
  <rcc rId="12873" sId="23" odxf="1" s="1" dxf="1">
    <nc r="Q80">
      <f>'D:\user\Documents\Программы\Сетевые графики\Отчет на 01.08.2024\[Сетевой график за июль.xlsx]УКС'!Q66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4" sId="23" odxf="1" dxf="1">
    <nc r="R80">
      <f>'D:\user\Documents\Программы\Сетевые графики\Отчет на 01.08.2024\[Сетевой график за июль.xlsx]УКС'!R66</f>
    </nc>
    <odxf>
      <font>
        <b/>
        <sz val="12"/>
        <name val="Times New Roman"/>
        <scheme val="none"/>
      </font>
    </odxf>
    <ndxf>
      <font>
        <b val="0"/>
        <sz val="12"/>
        <name val="Times New Roman"/>
        <scheme val="none"/>
      </font>
    </ndxf>
  </rcc>
  <rcc rId="12875" sId="23" odxf="1" s="1" dxf="1">
    <nc r="S80">
      <f>'D:\user\Documents\Программы\Сетевые графики\Отчет на 01.08.2024\[Сетевой график за июль.xlsx]УКС'!S66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6" sId="23" odxf="1" s="1" dxf="1">
    <nc r="T80">
      <f>'D:\user\Documents\Программы\Сетевые графики\Отчет на 01.08.2024\[Сетевой график за июль.xlsx]УКС'!T66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7" sId="23" odxf="1" s="1" dxf="1">
    <nc r="U80">
      <f>'D:\user\Documents\Программы\Сетевые графики\Отчет на 01.08.2024\[Сетевой график за июль.xlsx]УКС'!U66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8" sId="23" odxf="1" s="1" dxf="1">
    <nc r="V80">
      <f>'D:\user\Documents\Программы\Сетевые графики\Отчет на 01.08.2024\[Сетевой график за июль.xlsx]УКС'!V66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79" sId="23" odxf="1" s="1" dxf="1">
    <nc r="W80">
      <f>'D:\user\Documents\Программы\Сетевые графики\Отчет на 01.08.2024\[Сетевой график за июль.xlsx]УКС'!W66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80" sId="23" odxf="1" s="1" dxf="1">
    <nc r="X80">
      <f>'D:\user\Documents\Программы\Сетевые графики\Отчет на 01.08.2024\[Сетевой график за июль.xlsx]УКС'!X66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81" sId="23" odxf="1" s="1" dxf="1">
    <nc r="Y80">
      <f>'D:\user\Documents\Программы\Сетевые графики\Отчет на 01.08.2024\[Сетевой график за июль.xlsx]УКС'!Y66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ndxf>
  </rcc>
  <rcc rId="12882" sId="23" odxf="1" s="1" dxf="1">
    <nc r="Z80">
      <f>'D:\user\Documents\Программы\Сетевые графики\Отчет на 01.08.2024\[Сетевой график за июль.xlsx]УКС'!Z66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alignment horizontal="center" readingOrder="0"/>
    </ndxf>
  </rcc>
  <rcc rId="12883" sId="23" odxf="1" s="1" dxf="1">
    <nc r="AA80">
      <f>'D:\user\Documents\Программы\Сетевые графики\Отчет на 01.08.2024\[Сетевой график за июль.xlsx]УКС'!AA66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alignment horizontal="center" readingOrder="0"/>
    </ndxf>
  </rcc>
  <rcc rId="12884" sId="23" odxf="1" s="1" dxf="1">
    <nc r="AB80">
      <f>'D:\user\Documents\Программы\Сетевые графики\Отчет на 01.08.2024\[Сетевой график за июль.xlsx]УКС'!AB66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alignment horizontal="center" readingOrder="0"/>
    </ndxf>
  </rcc>
  <rcc rId="12885" sId="23" odxf="1" s="1" dxf="1">
    <nc r="AC80">
      <f>'D:\user\Documents\Программы\Сетевые графики\Отчет на 01.08.2024\[Сетевой график за июль.xlsx]УКС'!AC66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alignment horizontal="center" readingOrder="0"/>
    </ndxf>
  </rcc>
  <rcc rId="12886" sId="23" odxf="1" s="1" dxf="1">
    <nc r="AD80">
      <f>'D:\user\Documents\Программы\Сетевые графики\Отчет на 01.08.2024\[Сетевой график за июль.xlsx]УКС'!AD66</f>
    </nc>
    <odxf>
      <font>
        <b/>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alignment horizontal="center" readingOrder="0"/>
    </ndxf>
  </rcc>
  <rcc rId="12887" sId="23" odxf="1" s="1" dxf="1">
    <nc r="AE80">
      <f>'D:\user\Documents\Программы\Сетевые графики\Отчет на 01.08.2024\[Сетевой график за июль.xlsx]УКС'!AE66</f>
    </nc>
    <odxf>
      <font>
        <b/>
        <i val="0"/>
        <strike val="0"/>
        <condense val="0"/>
        <extend val="0"/>
        <outline val="0"/>
        <shadow val="0"/>
        <u val="none"/>
        <vertAlign val="baseline"/>
        <sz val="12"/>
        <color auto="1"/>
        <name val="Times New Roman"/>
        <scheme val="none"/>
      </font>
      <numFmt numFmtId="165" formatCode="#,##0.0_ ;[Red]\-#,##0.0\ "/>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numFmt numFmtId="170" formatCode="_(* #,##0.00_);_(* \(#,##0.00\);_(* &quot;-&quot;??_);_(@_)"/>
      <alignment horizontal="center" readingOrder="0"/>
    </ndxf>
  </rcc>
  <rcc rId="12888" sId="23" odxf="1" s="1" dxf="1">
    <oc r="AG80">
      <f>C80-E80</f>
    </oc>
    <nc r="AG80"/>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2889" sId="23" numFmtId="34">
    <oc r="B81">
      <v>7427.4</v>
    </oc>
    <nc r="B81">
      <f>H81+J81+L81+N81+P81+R81+T81+V81+X81+Z81+AB81+AD81</f>
    </nc>
  </rcc>
  <rcc rId="12890" sId="23" numFmtId="4">
    <oc r="C81">
      <v>3407.72</v>
    </oc>
    <nc r="C81">
      <f>T81+R81+H81+J81+L81+N81+P81</f>
    </nc>
  </rcc>
  <rcc rId="12891" sId="23" numFmtId="34">
    <oc r="D81">
      <v>1411.4999999999998</v>
    </oc>
    <nc r="D81">
      <f>E81</f>
    </nc>
  </rcc>
  <rcc rId="12892" sId="23" numFmtId="34">
    <oc r="E81">
      <v>1411.4999999999998</v>
    </oc>
    <nc r="E81">
      <f>I81+K81+M81+O81+Q81+S81+U81+W81+Y81+AA81+AC81+AE81</f>
    </nc>
  </rcc>
  <rcc rId="12893" sId="23" numFmtId="34">
    <oc r="F81">
      <v>19.003958316503756</v>
    </oc>
    <nc r="F81">
      <f>E81/B81*100</f>
    </nc>
  </rcc>
  <rcc rId="12894" sId="23" odxf="1" s="1" dxf="1">
    <nc r="H81">
      <f>'D:\user\Documents\Программы\Сетевые графики\Отчет на 01.08.2024\[Сетевой график за июль.xlsx]УКС'!H67</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70" formatCode="_(* #,##0.00_);_(* \(#,##0.00\);_(* &quot;-&quot;??_);_(@_)"/>
    </ndxf>
  </rcc>
  <rcc rId="12895" sId="23" odxf="1" s="1" dxf="1">
    <nc r="I81">
      <f>'D:\user\Documents\Программы\Сетевые графики\Отчет на 01.08.2024\[Сетевой график за июль.xlsx]УКС'!I67</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70" formatCode="_(* #,##0.00_);_(* \(#,##0.00\);_(* &quot;-&quot;??_);_(@_)"/>
    </ndxf>
  </rcc>
  <rcc rId="12896" sId="23" numFmtId="34">
    <oc r="J81">
      <v>888.35</v>
    </oc>
    <nc r="J81">
      <f>'D:\user\Documents\Программы\Сетевые графики\Отчет на 01.08.2024\[Сетевой график за июль.xlsx]УКС'!J67</f>
    </nc>
  </rcc>
  <rcc rId="12897" sId="23" odxf="1" s="1" dxf="1" numFmtId="34">
    <oc r="K81">
      <v>327.91</v>
    </oc>
    <nc r="K81">
      <f>'D:\user\Documents\Программы\Сетевые графики\Отчет на 01.08.2024\[Сетевой график за июль.xlsx]УКС'!K67</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numFmt numFmtId="170" formatCode="_(* #,##0.00_);_(* \(#,##0.00\);_(* &quot;-&quot;??_);_(@_)"/>
    </ndxf>
  </rcc>
  <rcc rId="12898" sId="23" numFmtId="34">
    <oc r="L81">
      <v>1234.31</v>
    </oc>
    <nc r="L81">
      <f>'D:\user\Documents\Программы\Сетевые графики\Отчет на 01.08.2024\[Сетевой график за июль.xlsx]УКС'!L67</f>
    </nc>
  </rcc>
  <rcc rId="12899" sId="23" numFmtId="34">
    <oc r="M81">
      <v>327.39999999999998</v>
    </oc>
    <nc r="M81">
      <f>'D:\user\Documents\Программы\Сетевые графики\Отчет на 01.08.2024\[Сетевой график за июль.xlsx]УКС'!M67</f>
    </nc>
  </rcc>
  <rcc rId="12900" sId="23" numFmtId="34">
    <oc r="N81">
      <v>774.46999999999991</v>
    </oc>
    <nc r="N81">
      <f>'D:\user\Documents\Программы\Сетевые графики\Отчет на 01.08.2024\[Сетевой график за июль.xlsx]УКС'!N67</f>
    </nc>
  </rcc>
  <rcc rId="12901" sId="23" numFmtId="34">
    <oc r="O81">
      <v>699.64</v>
    </oc>
    <nc r="O81">
      <f>'D:\user\Documents\Программы\Сетевые графики\Отчет на 01.08.2024\[Сетевой график за июль.xlsx]УКС'!O67</f>
    </nc>
  </rcc>
  <rcc rId="12902" sId="23" numFmtId="34">
    <oc r="P81">
      <v>510.59</v>
    </oc>
    <nc r="P81">
      <f>'D:\user\Documents\Программы\Сетевые графики\Отчет на 01.08.2024\[Сетевой график за июль.xlsx]УКС'!P67</f>
    </nc>
  </rcc>
  <rcc rId="12903" sId="23" numFmtId="34">
    <oc r="Q81">
      <v>56.55</v>
    </oc>
    <nc r="Q81">
      <f>'D:\user\Documents\Программы\Сетевые графики\Отчет на 01.08.2024\[Сетевой график за июль.xlsx]УКС'!Q67</f>
    </nc>
  </rcc>
  <rcc rId="12904" sId="23" numFmtId="34">
    <oc r="R81">
      <v>576.46</v>
    </oc>
    <nc r="R81">
      <f>'D:\user\Documents\Программы\Сетевые графики\Отчет на 01.08.2024\[Сетевой график за июль.xlsx]УКС'!R67</f>
    </nc>
  </rcc>
  <rcc rId="12905" sId="23" numFmtId="34">
    <oc r="S81">
      <v>0</v>
    </oc>
    <nc r="S81">
      <f>'D:\user\Documents\Программы\Сетевые графики\Отчет на 01.08.2024\[Сетевой график за июль.xlsx]УКС'!S67</f>
    </nc>
  </rcc>
  <rcc rId="12906" sId="23" numFmtId="34">
    <oc r="T81">
      <v>576.45000000000005</v>
    </oc>
    <nc r="T81">
      <f>'D:\user\Documents\Программы\Сетевые графики\Отчет на 01.08.2024\[Сетевой график за июль.xlsx]УКС'!T67</f>
    </nc>
  </rcc>
  <rcc rId="12907" sId="23" numFmtId="34">
    <oc r="U81">
      <v>0</v>
    </oc>
    <nc r="U81">
      <f>'D:\user\Documents\Программы\Сетевые графики\Отчет на 01.08.2024\[Сетевой график за июль.xlsx]УКС'!U67</f>
    </nc>
  </rcc>
  <rcc rId="12908" sId="23" numFmtId="34">
    <oc r="V81">
      <v>576.46</v>
    </oc>
    <nc r="V81">
      <f>'D:\user\Documents\Программы\Сетевые графики\Отчет на 01.08.2024\[Сетевой график за июль.xlsx]УКС'!V67</f>
    </nc>
  </rcc>
  <rcc rId="12909" sId="23" numFmtId="34">
    <oc r="W81">
      <v>0</v>
    </oc>
    <nc r="W81">
      <f>'D:\user\Documents\Программы\Сетевые графики\Отчет на 01.08.2024\[Сетевой график за июль.xlsx]УКС'!W67</f>
    </nc>
  </rcc>
  <rcc rId="12910" sId="23" numFmtId="34">
    <oc r="X81">
      <v>576.45000000000005</v>
    </oc>
    <nc r="X81">
      <f>'D:\user\Documents\Программы\Сетевые графики\Отчет на 01.08.2024\[Сетевой график за июль.xlsx]УКС'!X67</f>
    </nc>
  </rcc>
  <rcc rId="12911" sId="23" numFmtId="34">
    <oc r="Y81">
      <v>0</v>
    </oc>
    <nc r="Y81">
      <f>'D:\user\Documents\Программы\Сетевые графики\Отчет на 01.08.2024\[Сетевой график за июль.xlsx]УКС'!Y67</f>
    </nc>
  </rcc>
  <rcc rId="12912" sId="23" numFmtId="34">
    <oc r="Z81">
      <v>576.46</v>
    </oc>
    <nc r="Z81">
      <f>'D:\user\Documents\Программы\Сетевые графики\Отчет на 01.08.2024\[Сетевой график за июль.xlsx]УКС'!Z67</f>
    </nc>
  </rcc>
  <rcc rId="12913" sId="23" numFmtId="34">
    <oc r="AA81">
      <v>0</v>
    </oc>
    <nc r="AA81">
      <f>'D:\user\Documents\Программы\Сетевые графики\Отчет на 01.08.2024\[Сетевой график за июль.xlsx]УКС'!AA67</f>
    </nc>
  </rcc>
  <rcc rId="12914" sId="23" numFmtId="34">
    <oc r="AB81">
      <v>576.45000000000005</v>
    </oc>
    <nc r="AB81">
      <f>'D:\user\Documents\Программы\Сетевые графики\Отчет на 01.08.2024\[Сетевой график за июль.xlsx]УКС'!AB67</f>
    </nc>
  </rcc>
  <rcc rId="12915" sId="23" numFmtId="34">
    <oc r="AC81">
      <v>0</v>
    </oc>
    <nc r="AC81">
      <f>'D:\user\Documents\Программы\Сетевые графики\Отчет на 01.08.2024\[Сетевой график за июль.xlsx]УКС'!AC67</f>
    </nc>
  </rcc>
  <rcc rId="12916" sId="23" numFmtId="34">
    <oc r="AD81">
      <v>560.95000000000005</v>
    </oc>
    <nc r="AD81">
      <f>'D:\user\Documents\Программы\Сетевые графики\Отчет на 01.08.2024\[Сетевой график за июль.xlsx]УКС'!AD67</f>
    </nc>
  </rcc>
  <rcc rId="12917" sId="23" numFmtId="34">
    <oc r="AE81">
      <v>0</v>
    </oc>
    <nc r="AE81">
      <f>'D:\user\Documents\Программы\Сетевые графики\Отчет на 01.08.2024\[Сетевой график за июль.xlsx]УКС'!AE67</f>
    </nc>
  </rcc>
  <rcc rId="12918" sId="23" odxf="1" s="1" dxf="1">
    <oc r="AG81">
      <f>C81-E81</f>
    </oc>
    <nc r="AG81"/>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2919" sId="23" numFmtId="4">
    <oc r="B82">
      <v>0</v>
    </oc>
    <nc r="B82">
      <f>H82+J82+L82+N82+P82+R82+T82+V82+X82+Z82+AB82+AD82</f>
    </nc>
  </rcc>
  <rcc rId="12920" sId="23" numFmtId="4">
    <oc r="C82">
      <v>0</v>
    </oc>
    <nc r="C82">
      <f>T82+R82+H82+J82+L82+N82+P82</f>
    </nc>
  </rcc>
  <rcc rId="12921" sId="23" numFmtId="4">
    <oc r="D82">
      <v>0</v>
    </oc>
    <nc r="D82">
      <f>E82</f>
    </nc>
  </rcc>
  <rcc rId="12922" sId="23" numFmtId="4">
    <oc r="E82">
      <v>0</v>
    </oc>
    <nc r="E82">
      <f>I82+K82+M82+O82+Q82+S82+U82+W82+Y82+AA82+AC82+AE82</f>
    </nc>
  </rcc>
  <rcc rId="12923" sId="23" odxf="1" s="1" dxf="1" numFmtId="4">
    <oc r="F82">
      <v>0</v>
    </oc>
    <nc r="F82">
      <f>IFERROR(E82/B82%,0)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24" sId="23" odxf="1" s="1" dxf="1" numFmtId="4">
    <oc r="G82">
      <v>0</v>
    </oc>
    <nc r="G82">
      <f>IFERROR(E82/C82%,0)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25" sId="23" odxf="1" dxf="1">
    <oc r="AG82">
      <f>C82-E82</f>
    </oc>
    <nc r="AG82"/>
    <odxf>
      <font>
        <color auto="1"/>
      </font>
      <numFmt numFmtId="4" formatCode="#,##0.00"/>
    </odxf>
    <ndxf>
      <font>
        <sz val="12"/>
        <color auto="1"/>
        <name val="Times New Roman"/>
        <scheme val="none"/>
      </font>
      <numFmt numFmtId="0" formatCode="General"/>
    </ndxf>
  </rcc>
  <rcc rId="12926" sId="23" numFmtId="4">
    <oc r="B83">
      <v>0</v>
    </oc>
    <nc r="B83">
      <f>H83+J83+L83+N83+P83+R83+T83+V83+X83+Z83+AB83+AD83</f>
    </nc>
  </rcc>
  <rcc rId="12927" sId="23" numFmtId="4">
    <oc r="C83">
      <v>0</v>
    </oc>
    <nc r="C83">
      <f>T83+R83+H83+J83+L83+N83+P83</f>
    </nc>
  </rcc>
  <rcc rId="12928" sId="23" numFmtId="4">
    <oc r="D83">
      <v>0</v>
    </oc>
    <nc r="D83">
      <f>E83</f>
    </nc>
  </rcc>
  <rcc rId="12929" sId="23" numFmtId="4">
    <oc r="E83">
      <v>0</v>
    </oc>
    <nc r="E83">
      <f>I83+K83+M83+O83+Q83+S83+U83+W83+Y83+AA83+AC83+AE83</f>
    </nc>
  </rcc>
  <rcc rId="12930" sId="23" odxf="1" s="1" dxf="1" numFmtId="4">
    <oc r="F83">
      <v>0</v>
    </oc>
    <nc r="F83">
      <f>IFERROR(E83/B83%,0)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31" sId="23" odxf="1" s="1" dxf="1" numFmtId="4">
    <oc r="G83">
      <v>0</v>
    </oc>
    <nc r="G83">
      <f>IFERROR(E83/C83%,0)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32" sId="23" odxf="1" dxf="1">
    <oc r="AG83">
      <f>C83-E83</f>
    </oc>
    <nc r="AG83"/>
    <odxf>
      <font>
        <color auto="1"/>
      </font>
      <numFmt numFmtId="4" formatCode="#,##0.00"/>
    </odxf>
    <ndxf>
      <font>
        <sz val="12"/>
        <color auto="1"/>
        <name val="Times New Roman"/>
        <scheme val="none"/>
      </font>
      <numFmt numFmtId="0" formatCode="General"/>
    </ndxf>
  </rcc>
  <rfmt sheetId="23" sqref="A84" start="0" length="0">
    <dxf>
      <alignment vertical="top" wrapText="1" readingOrder="0"/>
    </dxf>
  </rfmt>
  <rcc rId="12933" sId="23" odxf="1" dxf="1">
    <oc r="AG84">
      <f>C84-E84</f>
    </oc>
    <nc r="AG84"/>
    <odxf>
      <font>
        <color auto="1"/>
      </font>
      <numFmt numFmtId="4" formatCode="#,##0.00"/>
    </odxf>
    <ndxf>
      <font>
        <sz val="12"/>
        <color auto="1"/>
        <name val="Times New Roman"/>
        <scheme val="none"/>
      </font>
      <numFmt numFmtId="0" formatCode="General"/>
    </ndxf>
  </rcc>
  <rcc rId="12934" sId="23" numFmtId="4">
    <oc r="B85">
      <v>3922.77</v>
    </oc>
    <nc r="B85">
      <f>B87+B88+B86+B90</f>
    </nc>
  </rcc>
  <rcc rId="12935" sId="23" numFmtId="4">
    <oc r="C85">
      <v>3922.77</v>
    </oc>
    <nc r="C85">
      <f>C87+C88+C86+C90</f>
    </nc>
  </rcc>
  <rcc rId="12936" sId="23" numFmtId="4">
    <oc r="D85">
      <v>3922.73</v>
    </oc>
    <nc r="D85">
      <f>D87+D88+D86+D90</f>
    </nc>
  </rcc>
  <rcc rId="12937" sId="23" numFmtId="4">
    <oc r="E85">
      <v>3922.73</v>
    </oc>
    <nc r="E85">
      <f>E87+E88+E86+E90</f>
    </nc>
  </rcc>
  <rcc rId="12938" sId="23" numFmtId="4">
    <oc r="F85">
      <v>99.998980312381306</v>
    </oc>
    <nc r="F85">
      <f>IFERROR(E85/B85%,0)</f>
    </nc>
  </rcc>
  <rcc rId="12939" sId="23" numFmtId="4">
    <oc r="G85">
      <v>99.998980312381306</v>
    </oc>
    <nc r="G85">
      <f>IFERROR(E85/C85%,0)</f>
    </nc>
  </rcc>
  <rcc rId="12940" sId="23" numFmtId="4">
    <oc r="H85">
      <v>0</v>
    </oc>
    <nc r="H85">
      <f>H87+H88+H86+H90</f>
    </nc>
  </rcc>
  <rcc rId="12941" sId="23" numFmtId="4">
    <oc r="I85">
      <v>0</v>
    </oc>
    <nc r="I85">
      <f>I87+I88+I86+I90</f>
    </nc>
  </rcc>
  <rcc rId="12942" sId="23" numFmtId="4">
    <oc r="J85">
      <v>3592.47</v>
    </oc>
    <nc r="J85">
      <f>J87+J88+J86+J90</f>
    </nc>
  </rcc>
  <rcc rId="12943" sId="23" numFmtId="4">
    <oc r="K85">
      <v>3460.92</v>
    </oc>
    <nc r="K85">
      <f>K87+K88+K86+K90</f>
    </nc>
  </rcc>
  <rcc rId="12944" sId="23" numFmtId="4">
    <oc r="L85">
      <v>0</v>
    </oc>
    <nc r="L85">
      <f>L87+L88+L86+L90</f>
    </nc>
  </rcc>
  <rcc rId="12945" sId="23" numFmtId="4">
    <oc r="M85">
      <v>0</v>
    </oc>
    <nc r="M85">
      <f>M87+M88+M86+M90</f>
    </nc>
  </rcc>
  <rcc rId="12946" sId="23" numFmtId="4">
    <oc r="N85">
      <v>330.3</v>
    </oc>
    <nc r="N85">
      <f>N87+N88+N86+N90</f>
    </nc>
  </rcc>
  <rcc rId="12947" sId="23" numFmtId="4">
    <oc r="O85">
      <v>461.81</v>
    </oc>
    <nc r="O85">
      <f>O87+O88+O86+O90</f>
    </nc>
  </rcc>
  <rcc rId="12948" sId="23" numFmtId="4">
    <oc r="P85">
      <v>0</v>
    </oc>
    <nc r="P85">
      <f>P87+P88+P86+P90</f>
    </nc>
  </rcc>
  <rcc rId="12949" sId="23" numFmtId="4">
    <oc r="Q85">
      <v>0</v>
    </oc>
    <nc r="Q85">
      <f>Q87+Q88+Q86+Q90</f>
    </nc>
  </rcc>
  <rcc rId="12950" sId="23" numFmtId="4">
    <oc r="R85">
      <v>0</v>
    </oc>
    <nc r="R85">
      <f>R87+R88+R86+R90</f>
    </nc>
  </rcc>
  <rcc rId="12951" sId="23" numFmtId="4">
    <oc r="S85">
      <v>0</v>
    </oc>
    <nc r="S85">
      <f>S87+S88+S86+S90</f>
    </nc>
  </rcc>
  <rcc rId="12952" sId="23" numFmtId="4">
    <oc r="T85">
      <v>0</v>
    </oc>
    <nc r="T85">
      <f>T87+T88+T86+T90</f>
    </nc>
  </rcc>
  <rcc rId="12953" sId="23" numFmtId="4">
    <oc r="U85">
      <v>0</v>
    </oc>
    <nc r="U85">
      <f>U87+U88+U86+U90</f>
    </nc>
  </rcc>
  <rcc rId="12954" sId="23" numFmtId="4">
    <oc r="V85">
      <v>0</v>
    </oc>
    <nc r="V85">
      <f>V87+V88+V86+V90</f>
    </nc>
  </rcc>
  <rcc rId="12955" sId="23" numFmtId="4">
    <oc r="W85">
      <v>0</v>
    </oc>
    <nc r="W85">
      <f>W87+W88+W86+W90</f>
    </nc>
  </rcc>
  <rcc rId="12956" sId="23" numFmtId="4">
    <oc r="X85">
      <v>0</v>
    </oc>
    <nc r="X85">
      <f>X87+X88+X86+X90</f>
    </nc>
  </rcc>
  <rcc rId="12957" sId="23" numFmtId="4">
    <oc r="Y85">
      <v>0</v>
    </oc>
    <nc r="Y85">
      <f>Y87+Y88+Y86+Y90</f>
    </nc>
  </rcc>
  <rcc rId="12958" sId="23" numFmtId="4">
    <oc r="Z85">
      <v>0</v>
    </oc>
    <nc r="Z85">
      <f>Z87+Z88+Z86+Z90</f>
    </nc>
  </rcc>
  <rcc rId="12959" sId="23" numFmtId="4">
    <oc r="AA85">
      <v>0</v>
    </oc>
    <nc r="AA85">
      <f>AA87+AA88+AA86+AA90</f>
    </nc>
  </rcc>
  <rcc rId="12960" sId="23" numFmtId="4">
    <oc r="AB85">
      <v>0</v>
    </oc>
    <nc r="AB85">
      <f>AB87+AB88+AB86+AB90</f>
    </nc>
  </rcc>
  <rcc rId="12961" sId="23" numFmtId="4">
    <oc r="AC85">
      <v>0</v>
    </oc>
    <nc r="AC85">
      <f>AC87+AC88+AC86+AC90</f>
    </nc>
  </rcc>
  <rcc rId="12962" sId="23" numFmtId="4">
    <oc r="AD85">
      <v>0</v>
    </oc>
    <nc r="AD85">
      <f>AD87+AD88+AD86+AD90</f>
    </nc>
  </rcc>
  <rcc rId="12963" sId="23" numFmtId="4">
    <oc r="AE85">
      <v>0</v>
    </oc>
    <nc r="AE85">
      <f>AE87+AE88+AE86+AE90</f>
    </nc>
  </rcc>
  <rcc rId="12964" sId="23" odxf="1" dxf="1">
    <oc r="AG85">
      <f>C85-E85</f>
    </oc>
    <nc r="AG85"/>
    <odxf>
      <font>
        <color auto="1"/>
      </font>
      <numFmt numFmtId="4" formatCode="#,##0.00"/>
    </odxf>
    <ndxf>
      <font>
        <sz val="12"/>
        <color auto="1"/>
        <name val="Times New Roman"/>
        <scheme val="none"/>
      </font>
      <numFmt numFmtId="0" formatCode="General"/>
    </ndxf>
  </rcc>
  <rcc rId="12965" sId="23" numFmtId="4">
    <oc r="B86">
      <v>0</v>
    </oc>
    <nc r="B86">
      <f>H86+J86+L86+N86+P86+R86+T86+V86+X86+Z86+AB86+AD86</f>
    </nc>
  </rcc>
  <rcc rId="12966" sId="23" numFmtId="4">
    <oc r="C86">
      <v>0</v>
    </oc>
    <nc r="C86">
      <f>T86+R86+H86+J86+L86+N86+P86</f>
    </nc>
  </rcc>
  <rcc rId="12967" sId="23" numFmtId="4">
    <oc r="D86">
      <v>0</v>
    </oc>
    <nc r="D86">
      <f>E86</f>
    </nc>
  </rcc>
  <rcc rId="12968" sId="23" numFmtId="4">
    <oc r="E86">
      <v>0</v>
    </oc>
    <nc r="E86">
      <f>I86+K86+M86+O86+Q86+S86+U86+W86+Y86+AA86+AC86+AE86</f>
    </nc>
  </rcc>
  <rcc rId="12969" sId="23" odxf="1" s="1" dxf="1" numFmtId="4">
    <oc r="F86">
      <v>0</v>
    </oc>
    <nc r="F86">
      <f>IFERROR(E86/B86%,0)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70" sId="23" odxf="1" s="1" dxf="1" numFmtId="4">
    <oc r="G86">
      <v>0</v>
    </oc>
    <nc r="G86">
      <f>IFERROR(E86/C86%,0)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71" sId="23" odxf="1" dxf="1">
    <oc r="AG86">
      <f>C86-E86</f>
    </oc>
    <nc r="AG86"/>
    <odxf>
      <font>
        <color auto="1"/>
      </font>
      <numFmt numFmtId="4" formatCode="#,##0.00"/>
    </odxf>
    <ndxf>
      <font>
        <sz val="12"/>
        <color auto="1"/>
        <name val="Times New Roman"/>
        <scheme val="none"/>
      </font>
      <numFmt numFmtId="0" formatCode="General"/>
    </ndxf>
  </rcc>
  <rcc rId="12972" sId="23" numFmtId="4">
    <oc r="B87">
      <v>0</v>
    </oc>
    <nc r="B87">
      <f>H87+J87+L87+N87+P87+R87+T87+V87+X87+Z87+AB87+AD87</f>
    </nc>
  </rcc>
  <rcc rId="12973" sId="23" numFmtId="4">
    <oc r="C87">
      <v>0</v>
    </oc>
    <nc r="C87">
      <f>T87+R87+H87+J87+L87+N87+P87</f>
    </nc>
  </rcc>
  <rcc rId="12974" sId="23" numFmtId="4">
    <oc r="D87">
      <v>0</v>
    </oc>
    <nc r="D87">
      <f>E87</f>
    </nc>
  </rcc>
  <rcc rId="12975" sId="23" numFmtId="4">
    <oc r="E87">
      <v>0</v>
    </oc>
    <nc r="E87">
      <f>I87+K87+M87+O87+Q87+S87+U87+W87+Y87+AA87+AC87+AE87</f>
    </nc>
  </rcc>
  <rcc rId="12976" sId="23" odxf="1" s="1" dxf="1" numFmtId="4">
    <oc r="F87">
      <v>0</v>
    </oc>
    <nc r="F87">
      <f>IFERROR(E87/B87%,0)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77" sId="23" odxf="1" s="1" dxf="1" numFmtId="4">
    <oc r="G87">
      <v>0</v>
    </oc>
    <nc r="G87">
      <f>IFERROR(E87/C87%,0)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78" sId="23" odxf="1" dxf="1">
    <oc r="AG87">
      <f>C87-E87</f>
    </oc>
    <nc r="AG87"/>
    <odxf>
      <font>
        <color auto="1"/>
      </font>
      <numFmt numFmtId="4" formatCode="#,##0.00"/>
    </odxf>
    <ndxf>
      <font>
        <sz val="12"/>
        <color auto="1"/>
        <name val="Times New Roman"/>
        <scheme val="none"/>
      </font>
      <numFmt numFmtId="0" formatCode="General"/>
    </ndxf>
  </rcc>
  <rcc rId="12979" sId="23" numFmtId="34">
    <oc r="B88">
      <v>3922.77</v>
    </oc>
    <nc r="B88">
      <f>H88+J88+L88+N88+P88+R88+T88+V88+X88+Z88+AB88+AD88</f>
    </nc>
  </rcc>
  <rcc rId="12980" sId="23" numFmtId="4">
    <oc r="C88">
      <v>3922.77</v>
    </oc>
    <nc r="C88">
      <f>T88+R88+H88+J88+L88+N88+P88</f>
    </nc>
  </rcc>
  <rcc rId="12981" sId="23" numFmtId="34">
    <oc r="D88">
      <v>3922.73</v>
    </oc>
    <nc r="D88">
      <f>E88</f>
    </nc>
  </rcc>
  <rcc rId="12982" sId="23" numFmtId="34">
    <oc r="E88">
      <v>3922.73</v>
    </oc>
    <nc r="E88">
      <f>I88+K88+M88+O88+Q88+S88+U88+W88+Y88+AA88+AC88+AE88</f>
    </nc>
  </rcc>
  <rcc rId="12983" sId="23" odxf="1" s="1" dxf="1" numFmtId="34">
    <oc r="F88">
      <v>99.998980312381306</v>
    </oc>
    <nc r="F88">
      <f>E88/B88*100</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84" sId="23" odxf="1" s="1" dxf="1" numFmtId="34">
    <oc r="G88">
      <v>99.998980312381306</v>
    </oc>
    <nc r="G88">
      <f>E88/C88*100</f>
    </nc>
    <odxf>
      <font>
        <b val="0"/>
        <i val="0"/>
        <strike val="0"/>
        <condense val="0"/>
        <extend val="0"/>
        <outline val="0"/>
        <shadow val="0"/>
        <u val="none"/>
        <vertAlign val="baseline"/>
        <sz val="12"/>
        <color auto="1"/>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2985" sId="23" numFmtId="34">
    <oc r="L88">
      <v>0</v>
    </oc>
    <nc r="L88">
      <f>'D:\user\Documents\Программы\Сетевые графики\Отчет на 01.08.2024\[Сетевой график за июль.xlsx]УКС'!L73</f>
    </nc>
  </rcc>
  <rcc rId="12986" sId="23" numFmtId="34">
    <oc r="M88">
      <v>0</v>
    </oc>
    <nc r="M88">
      <f>'D:\user\Documents\Программы\Сетевые графики\Отчет на 01.08.2024\[Сетевой график за июль.xlsx]УКС'!M73</f>
    </nc>
  </rcc>
  <rcc rId="12987" sId="23" numFmtId="34">
    <oc r="N88">
      <v>330.3</v>
    </oc>
    <nc r="N88">
      <f>'D:\user\Documents\Программы\Сетевые графики\Отчет на 01.08.2024\[Сетевой график за июль.xlsx]УКС'!N73</f>
    </nc>
  </rcc>
  <rcc rId="12988" sId="23" numFmtId="34">
    <oc r="O88">
      <v>461.81</v>
    </oc>
    <nc r="O88">
      <f>'D:\user\Documents\Программы\Сетевые графики\Отчет на 01.08.2024\[Сетевой график за июль.xlsx]УКС'!O73</f>
    </nc>
  </rcc>
  <rcc rId="12989" sId="23" numFmtId="34">
    <oc r="P88">
      <v>0</v>
    </oc>
    <nc r="P88">
      <f>'D:\user\Documents\Программы\Сетевые графики\Отчет на 01.08.2024\[Сетевой график за июль.xlsx]УКС'!P73</f>
    </nc>
  </rcc>
  <rcc rId="12990" sId="23" numFmtId="34">
    <oc r="Q88">
      <v>0</v>
    </oc>
    <nc r="Q88">
      <f>'D:\user\Documents\Программы\Сетевые графики\Отчет на 01.08.2024\[Сетевой график за июль.xlsx]УКС'!Q73</f>
    </nc>
  </rcc>
  <rcc rId="12991" sId="23" numFmtId="34">
    <oc r="R88">
      <v>0</v>
    </oc>
    <nc r="R88">
      <f>'D:\user\Documents\Программы\Сетевые графики\Отчет на 01.08.2024\[Сетевой график за июль.xlsx]УКС'!R73</f>
    </nc>
  </rcc>
  <rcc rId="12992" sId="23" numFmtId="34">
    <oc r="S88">
      <v>0</v>
    </oc>
    <nc r="S88">
      <f>'D:\user\Documents\Программы\Сетевые графики\Отчет на 01.08.2024\[Сетевой график за июль.xlsx]УКС'!S73</f>
    </nc>
  </rcc>
  <rcc rId="12993" sId="23" numFmtId="34">
    <oc r="T88">
      <v>0</v>
    </oc>
    <nc r="T88">
      <f>'D:\user\Documents\Программы\Сетевые графики\Отчет на 01.08.2024\[Сетевой график за июль.xlsx]УКС'!T73</f>
    </nc>
  </rcc>
  <rcc rId="12994" sId="23" numFmtId="34">
    <oc r="U88">
      <v>0</v>
    </oc>
    <nc r="U88">
      <f>'D:\user\Documents\Программы\Сетевые графики\Отчет на 01.08.2024\[Сетевой график за июль.xlsx]УКС'!U73</f>
    </nc>
  </rcc>
  <rcc rId="12995" sId="23" numFmtId="34">
    <oc r="V88">
      <v>0</v>
    </oc>
    <nc r="V88">
      <f>'D:\user\Documents\Программы\Сетевые графики\Отчет на 01.08.2024\[Сетевой график за июль.xlsx]УКС'!V73</f>
    </nc>
  </rcc>
  <rcc rId="12996" sId="23" numFmtId="34">
    <oc r="W88">
      <v>0</v>
    </oc>
    <nc r="W88">
      <f>'D:\user\Documents\Программы\Сетевые графики\Отчет на 01.08.2024\[Сетевой график за июль.xlsx]УКС'!W73</f>
    </nc>
  </rcc>
  <rcc rId="12997" sId="23" numFmtId="34">
    <oc r="X88">
      <v>0</v>
    </oc>
    <nc r="X88">
      <f>'D:\user\Documents\Программы\Сетевые графики\Отчет на 01.08.2024\[Сетевой график за июль.xlsx]УКС'!X73</f>
    </nc>
  </rcc>
  <rcc rId="12998" sId="23" numFmtId="34">
    <oc r="Y88">
      <v>0</v>
    </oc>
    <nc r="Y88">
      <f>'D:\user\Documents\Программы\Сетевые графики\Отчет на 01.08.2024\[Сетевой график за июль.xlsx]УКС'!Y73</f>
    </nc>
  </rcc>
  <rcc rId="12999" sId="23" numFmtId="34">
    <oc r="Z88">
      <v>0</v>
    </oc>
    <nc r="Z88">
      <f>'D:\user\Documents\Программы\Сетевые графики\Отчет на 01.08.2024\[Сетевой график за июль.xlsx]УКС'!Z73</f>
    </nc>
  </rcc>
  <rcc rId="13000" sId="23" numFmtId="34">
    <oc r="AA88">
      <v>0</v>
    </oc>
    <nc r="AA88">
      <f>'D:\user\Documents\Программы\Сетевые графики\Отчет на 01.08.2024\[Сетевой график за июль.xlsx]УКС'!AA73</f>
    </nc>
  </rcc>
  <rcc rId="13001" sId="23" numFmtId="34">
    <oc r="AB88">
      <v>0</v>
    </oc>
    <nc r="AB88">
      <f>'D:\user\Documents\Программы\Сетевые графики\Отчет на 01.08.2024\[Сетевой график за июль.xlsx]УКС'!AB73</f>
    </nc>
  </rcc>
  <rcc rId="13002" sId="23" numFmtId="34">
    <oc r="AC88">
      <v>0</v>
    </oc>
    <nc r="AC88">
      <f>'D:\user\Documents\Программы\Сетевые графики\Отчет на 01.08.2024\[Сетевой график за июль.xlsx]УКС'!AC73</f>
    </nc>
  </rcc>
  <rcc rId="13003" sId="23" numFmtId="34">
    <oc r="AD88">
      <v>0</v>
    </oc>
    <nc r="AD88">
      <f>'D:\user\Documents\Программы\Сетевые графики\Отчет на 01.08.2024\[Сетевой график за июль.xlsx]УКС'!AD73</f>
    </nc>
  </rcc>
  <rcc rId="13004" sId="23" numFmtId="34">
    <oc r="AE88">
      <v>0</v>
    </oc>
    <nc r="AE88">
      <f>'D:\user\Documents\Программы\Сетевые графики\Отчет на 01.08.2024\[Сетевой график за июль.xlsx]УКС'!AE73</f>
    </nc>
  </rcc>
  <rcc rId="13005" sId="23" odxf="1" s="1" dxf="1">
    <oc r="AG88">
      <f>C88-E88</f>
    </oc>
    <nc r="AG88"/>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3006" sId="23" numFmtId="4">
    <oc r="B89">
      <v>0</v>
    </oc>
    <nc r="B89">
      <f>H89+J89+L89+N89+P89+R89+T89+V89+X89+Z89+AB89+AD89</f>
    </nc>
  </rcc>
  <rcc rId="13007" sId="23" numFmtId="4">
    <oc r="C89">
      <v>0</v>
    </oc>
    <nc r="C89">
      <f>T89+R89+H89+J89+L89+N89+P89</f>
    </nc>
  </rcc>
  <rcc rId="13008" sId="23" numFmtId="4">
    <oc r="D89">
      <v>0</v>
    </oc>
    <nc r="D89">
      <f>E89</f>
    </nc>
  </rcc>
  <rcc rId="13009" sId="23" numFmtId="4">
    <oc r="E89">
      <v>0</v>
    </oc>
    <nc r="E89">
      <f>I89+K89+M89+O89+Q89+S89+U89+W89+Y89+AA89+AC89+AE89</f>
    </nc>
  </rcc>
  <rcc rId="13010" sId="23" odxf="1" s="1" dxf="1" numFmtId="4">
    <oc r="F89">
      <v>0</v>
    </oc>
    <nc r="F89">
      <f>IFERROR(E89/B89%,0)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11" sId="23" odxf="1" s="1" dxf="1" numFmtId="4">
    <oc r="G89">
      <v>0</v>
    </oc>
    <nc r="G89">
      <f>IFERROR(E89/C89%,0)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12" sId="23" odxf="1" dxf="1">
    <oc r="AG89">
      <f>C89-E89</f>
    </oc>
    <nc r="AG89"/>
    <odxf>
      <font>
        <color auto="1"/>
      </font>
      <numFmt numFmtId="4" formatCode="#,##0.00"/>
    </odxf>
    <ndxf>
      <font>
        <sz val="12"/>
        <color auto="1"/>
        <name val="Times New Roman"/>
        <scheme val="none"/>
      </font>
      <numFmt numFmtId="0" formatCode="General"/>
    </ndxf>
  </rcc>
  <rcc rId="13013" sId="23" numFmtId="4">
    <oc r="B90">
      <v>0</v>
    </oc>
    <nc r="B90">
      <f>H90+J90+L90+N90+P90+R90+T90+V90+X90+Z90+AB90+AD90</f>
    </nc>
  </rcc>
  <rcc rId="13014" sId="23" numFmtId="4">
    <oc r="C90">
      <v>0</v>
    </oc>
    <nc r="C90">
      <f>T90+R90+H90+J90+L90+N90+P90</f>
    </nc>
  </rcc>
  <rcc rId="13015" sId="23" numFmtId="4">
    <oc r="D90">
      <v>0</v>
    </oc>
    <nc r="D90">
      <f>E90</f>
    </nc>
  </rcc>
  <rcc rId="13016" sId="23" numFmtId="4">
    <oc r="E90">
      <v>0</v>
    </oc>
    <nc r="E90">
      <f>I90+K90+M90+O90+Q90+S90+U90+W90+Y90+AA90+AC90+AE90</f>
    </nc>
  </rcc>
  <rcc rId="13017" sId="23" odxf="1" s="1" dxf="1" numFmtId="4">
    <oc r="F90">
      <v>0</v>
    </oc>
    <nc r="F90">
      <f>IFERROR(E90/B90%,0)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18" sId="23" odxf="1" s="1" dxf="1" numFmtId="4">
    <oc r="G90">
      <v>0</v>
    </oc>
    <nc r="G90">
      <f>IFERROR(E90/C90%,0)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19" sId="23" odxf="1" dxf="1">
    <oc r="AG90">
      <f>C90-E90</f>
    </oc>
    <nc r="AG90"/>
    <odxf>
      <font>
        <color auto="1"/>
      </font>
      <numFmt numFmtId="4" formatCode="#,##0.00"/>
    </odxf>
    <ndxf>
      <font>
        <sz val="12"/>
        <color auto="1"/>
        <name val="Times New Roman"/>
        <scheme val="none"/>
      </font>
      <numFmt numFmtId="0" formatCode="General"/>
    </ndxf>
  </rcc>
  <rfmt sheetId="23" sqref="A91" start="0" length="0">
    <dxf>
      <alignment vertical="top" wrapText="1" readingOrder="0"/>
    </dxf>
  </rfmt>
  <rcc rId="13020" sId="23" odxf="1" dxf="1">
    <oc r="AG91">
      <f>C91-E91</f>
    </oc>
    <nc r="AG91"/>
    <odxf>
      <font>
        <color auto="1"/>
      </font>
      <numFmt numFmtId="4" formatCode="#,##0.00"/>
    </odxf>
    <ndxf>
      <font>
        <sz val="12"/>
        <color auto="1"/>
        <name val="Times New Roman"/>
        <scheme val="none"/>
      </font>
      <numFmt numFmtId="0" formatCode="General"/>
    </ndxf>
  </rcc>
  <rcc rId="13021" sId="23" numFmtId="4">
    <oc r="B92">
      <v>6871.9</v>
    </oc>
    <nc r="B92">
      <f>B93+B94+B95+B96+B97</f>
    </nc>
  </rcc>
  <rcc rId="13022" sId="23" numFmtId="4">
    <oc r="C92">
      <v>0</v>
    </oc>
    <nc r="C92">
      <f>C93+C94+C95+C96+C97</f>
    </nc>
  </rcc>
  <rcc rId="13023" sId="23" numFmtId="4">
    <oc r="D92">
      <v>0</v>
    </oc>
    <nc r="D92">
      <f>D93+D94+D95+D96+D97</f>
    </nc>
  </rcc>
  <rcc rId="13024" sId="23" numFmtId="4">
    <oc r="E92">
      <v>0</v>
    </oc>
    <nc r="E92">
      <f>E93+E94+E95+E96+E97</f>
    </nc>
  </rcc>
  <rcc rId="13025" sId="23" numFmtId="4">
    <oc r="F92">
      <v>0</v>
    </oc>
    <nc r="F92">
      <f>IFERROR(E92/B92%,0)</f>
    </nc>
  </rcc>
  <rcc rId="13026" sId="23" numFmtId="4">
    <oc r="G92">
      <v>0</v>
    </oc>
    <nc r="G92">
      <f>IFERROR(E92/C92%,0)</f>
    </nc>
  </rcc>
  <rcc rId="13027" sId="23" numFmtId="4">
    <oc r="H92">
      <v>0</v>
    </oc>
    <nc r="H92">
      <f>H95</f>
    </nc>
  </rcc>
  <rcc rId="13028" sId="23" numFmtId="4">
    <oc r="I92">
      <v>0</v>
    </oc>
    <nc r="I92">
      <f>I95</f>
    </nc>
  </rcc>
  <rcc rId="13029" sId="23" numFmtId="4">
    <oc r="J92">
      <v>0</v>
    </oc>
    <nc r="J92">
      <f>J95</f>
    </nc>
  </rcc>
  <rcc rId="13030" sId="23" numFmtId="4">
    <oc r="K92">
      <v>0</v>
    </oc>
    <nc r="K92">
      <f>K95</f>
    </nc>
  </rcc>
  <rcc rId="13031" sId="23" numFmtId="4">
    <oc r="L92">
      <v>0</v>
    </oc>
    <nc r="L92">
      <f>L95</f>
    </nc>
  </rcc>
  <rcc rId="13032" sId="23" numFmtId="4">
    <oc r="M92">
      <v>0</v>
    </oc>
    <nc r="M92">
      <f>M95</f>
    </nc>
  </rcc>
  <rcc rId="13033" sId="23" numFmtId="4">
    <oc r="N92">
      <v>0</v>
    </oc>
    <nc r="N92">
      <f>N95</f>
    </nc>
  </rcc>
  <rcc rId="13034" sId="23" numFmtId="4">
    <oc r="O92">
      <v>0</v>
    </oc>
    <nc r="O92">
      <f>O95</f>
    </nc>
  </rcc>
  <rcc rId="13035" sId="23" numFmtId="4">
    <oc r="P92">
      <v>0</v>
    </oc>
    <nc r="P92">
      <f>P95</f>
    </nc>
  </rcc>
  <rcc rId="13036" sId="23" numFmtId="4">
    <oc r="Q92">
      <v>0</v>
    </oc>
    <nc r="Q92">
      <f>Q95</f>
    </nc>
  </rcc>
  <rcc rId="13037" sId="23" numFmtId="4">
    <oc r="R92">
      <v>0</v>
    </oc>
    <nc r="R92">
      <f>R95</f>
    </nc>
  </rcc>
  <rcc rId="13038" sId="23" numFmtId="4">
    <oc r="S92">
      <v>0</v>
    </oc>
    <nc r="S92">
      <f>S95</f>
    </nc>
  </rcc>
  <rcc rId="13039" sId="23" numFmtId="4">
    <oc r="T92">
      <v>0</v>
    </oc>
    <nc r="T92">
      <f>T95</f>
    </nc>
  </rcc>
  <rcc rId="13040" sId="23" numFmtId="4">
    <oc r="U92">
      <v>0</v>
    </oc>
    <nc r="U92">
      <f>U95</f>
    </nc>
  </rcc>
  <rcc rId="13041" sId="23" numFmtId="4">
    <oc r="V92">
      <v>0</v>
    </oc>
    <nc r="V92">
      <f>V95</f>
    </nc>
  </rcc>
  <rcc rId="13042" sId="23" numFmtId="4">
    <oc r="W92">
      <v>0</v>
    </oc>
    <nc r="W92">
      <f>W95</f>
    </nc>
  </rcc>
  <rcc rId="13043" sId="23" numFmtId="4">
    <oc r="X92">
      <v>0</v>
    </oc>
    <nc r="X92">
      <f>X95</f>
    </nc>
  </rcc>
  <rcc rId="13044" sId="23" numFmtId="4">
    <oc r="Y92">
      <v>0</v>
    </oc>
    <nc r="Y92">
      <f>Y95</f>
    </nc>
  </rcc>
  <rcc rId="13045" sId="23" numFmtId="4">
    <oc r="Z92">
      <v>6871.9</v>
    </oc>
    <nc r="Z92">
      <f>Z95</f>
    </nc>
  </rcc>
  <rcc rId="13046" sId="23" numFmtId="4">
    <oc r="AA92">
      <v>0</v>
    </oc>
    <nc r="AA92">
      <f>AA95</f>
    </nc>
  </rcc>
  <rcc rId="13047" sId="23" numFmtId="4">
    <oc r="AB92">
      <v>0</v>
    </oc>
    <nc r="AB92">
      <f>AB95</f>
    </nc>
  </rcc>
  <rcc rId="13048" sId="23" numFmtId="4">
    <oc r="AC92">
      <v>0</v>
    </oc>
    <nc r="AC92">
      <f>AC95</f>
    </nc>
  </rcc>
  <rcc rId="13049" sId="23" numFmtId="4">
    <oc r="AD92">
      <v>0</v>
    </oc>
    <nc r="AD92">
      <f>AD95</f>
    </nc>
  </rcc>
  <rcc rId="13050" sId="23" numFmtId="4">
    <oc r="AE92">
      <v>0</v>
    </oc>
    <nc r="AE92">
      <f>AE95</f>
    </nc>
  </rcc>
  <rfmt sheetId="23" sqref="AF92" start="0" length="0">
    <dxf>
      <font>
        <b val="0"/>
        <sz val="12"/>
        <color auto="1"/>
        <name val="Times New Roman"/>
        <scheme val="none"/>
      </font>
    </dxf>
  </rfmt>
  <rcc rId="13051" sId="23" odxf="1" dxf="1">
    <oc r="AG92">
      <f>C92-E92</f>
    </oc>
    <nc r="AG92"/>
    <odxf>
      <font>
        <color auto="1"/>
      </font>
      <numFmt numFmtId="4" formatCode="#,##0.00"/>
    </odxf>
    <ndxf>
      <font>
        <sz val="12"/>
        <color auto="1"/>
        <name val="Times New Roman"/>
        <scheme val="none"/>
      </font>
      <numFmt numFmtId="0" formatCode="General"/>
    </ndxf>
  </rcc>
  <rcc rId="13052" sId="23" numFmtId="4">
    <oc r="B93">
      <v>0</v>
    </oc>
    <nc r="B93">
      <f>H93+J93+L93+N93+P93+R93+T93+V93+X93+Z93+AB93+AD93</f>
    </nc>
  </rcc>
  <rcc rId="13053" sId="23" numFmtId="4">
    <oc r="C93">
      <v>0</v>
    </oc>
    <nc r="C93">
      <f>T93+R93+H93+J93+L93+N93+P93</f>
    </nc>
  </rcc>
  <rcc rId="13054" sId="23" numFmtId="4">
    <oc r="D93">
      <v>0</v>
    </oc>
    <nc r="D93">
      <f>E93</f>
    </nc>
  </rcc>
  <rcc rId="13055" sId="23" numFmtId="4">
    <oc r="E93">
      <v>0</v>
    </oc>
    <nc r="E93">
      <f>I93+K93+M93+O93+Q93+S93+U93+W93+Y93+AA93+AC93+AE93</f>
    </nc>
  </rcc>
  <rcc rId="13056" sId="23" odxf="1" s="1" dxf="1" numFmtId="4">
    <oc r="F93">
      <v>0</v>
    </oc>
    <nc r="F93">
      <f>IFERROR(E93/B93%,0)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57" sId="23" odxf="1" s="1" dxf="1" numFmtId="4">
    <oc r="G93">
      <v>0</v>
    </oc>
    <nc r="G93">
      <f>IFERROR(E93/C93%,0)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58" sId="23" odxf="1" dxf="1">
    <oc r="AG93">
      <f>C93-E93</f>
    </oc>
    <nc r="AG93"/>
    <odxf>
      <font>
        <color auto="1"/>
      </font>
      <numFmt numFmtId="4" formatCode="#,##0.00"/>
    </odxf>
    <ndxf>
      <font>
        <sz val="12"/>
        <color auto="1"/>
        <name val="Times New Roman"/>
        <scheme val="none"/>
      </font>
      <numFmt numFmtId="0" formatCode="General"/>
    </ndxf>
  </rcc>
  <rcc rId="13059" sId="23" numFmtId="4">
    <oc r="B94">
      <v>0</v>
    </oc>
    <nc r="B94">
      <f>H94+J94+L94+N94+P94+R94+T94+V94+X94+Z94+AB94+AD94</f>
    </nc>
  </rcc>
  <rcc rId="13060" sId="23" numFmtId="4">
    <oc r="C94">
      <v>0</v>
    </oc>
    <nc r="C94">
      <f>T94+R94+H94+J94+L94+N94+P94</f>
    </nc>
  </rcc>
  <rcc rId="13061" sId="23" numFmtId="4">
    <oc r="D94">
      <v>0</v>
    </oc>
    <nc r="D94">
      <f>E94</f>
    </nc>
  </rcc>
  <rcc rId="13062" sId="23" numFmtId="4">
    <oc r="E94">
      <v>0</v>
    </oc>
    <nc r="E94">
      <f>I94+K94+M94+O94+Q94+S94+U94+W94+Y94+AA94+AC94+AE94</f>
    </nc>
  </rcc>
  <rcc rId="13063" sId="23" odxf="1" s="1" dxf="1" numFmtId="4">
    <oc r="F94">
      <v>0</v>
    </oc>
    <nc r="F94">
      <f>IFERROR(E94/B94%,0)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64" sId="23" odxf="1" s="1" dxf="1" numFmtId="4">
    <oc r="G94">
      <v>0</v>
    </oc>
    <nc r="G94">
      <f>IFERROR(E94/C94%,0)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65" sId="23" odxf="1" dxf="1">
    <oc r="AG94">
      <f>C94-E94</f>
    </oc>
    <nc r="AG94"/>
    <odxf>
      <font>
        <color auto="1"/>
      </font>
      <numFmt numFmtId="4" formatCode="#,##0.00"/>
    </odxf>
    <ndxf>
      <font>
        <sz val="12"/>
        <color auto="1"/>
        <name val="Times New Roman"/>
        <scheme val="none"/>
      </font>
      <numFmt numFmtId="0" formatCode="General"/>
    </ndxf>
  </rcc>
  <rcc rId="13066" sId="23" numFmtId="34">
    <oc r="B95">
      <v>6871.9</v>
    </oc>
    <nc r="B95">
      <f>H95+J95+L95+N95+P95+R95+T95+V95+X95+Z95+AB95+AD95</f>
    </nc>
  </rcc>
  <rcc rId="13067" sId="23" numFmtId="4">
    <oc r="C95">
      <v>0</v>
    </oc>
    <nc r="C95">
      <f>T95+R95+H95+J95+L95+N95+P95</f>
    </nc>
  </rcc>
  <rcc rId="13068" sId="23" numFmtId="34">
    <oc r="D95">
      <v>0</v>
    </oc>
    <nc r="D95">
      <f>E95</f>
    </nc>
  </rcc>
  <rcc rId="13069" sId="23" numFmtId="34">
    <oc r="E95">
      <v>0</v>
    </oc>
    <nc r="E95">
      <f>I95+K95+M95+O95+Q95+S95+U95+W95+Y95+AA95+AC95+AE95</f>
    </nc>
  </rcc>
  <rcc rId="13070" sId="23" numFmtId="34">
    <oc r="F95">
      <v>0</v>
    </oc>
    <nc r="F95">
      <f>E95/B95*100</f>
    </nc>
  </rcc>
  <rcc rId="13071" sId="23" odxf="1" s="1" dxf="1">
    <oc r="G95" t="e">
      <v>#DIV/0!</v>
    </oc>
    <nc r="G95">
      <f>E95/C95*100</f>
    </nc>
    <odxf>
      <font>
        <b val="0"/>
        <i val="0"/>
        <strike val="0"/>
        <condense val="0"/>
        <extend val="0"/>
        <outline val="0"/>
        <shadow val="0"/>
        <u val="none"/>
        <vertAlign val="baseline"/>
        <sz val="12"/>
        <color theme="0"/>
        <name val="Times New Roman"/>
        <scheme val="none"/>
      </font>
      <numFmt numFmtId="35" formatCode="_-* #,##0.00_-;\-* #,##0.00_-;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72" sId="23" numFmtId="34">
    <oc r="L95">
      <v>0</v>
    </oc>
    <nc r="L95">
      <f>'D:\user\Documents\Программы\Сетевые графики\Отчет на 01.08.2024\[Сетевой график за июль.xlsx]УКС'!L79</f>
    </nc>
  </rcc>
  <rcc rId="13073" sId="23" numFmtId="34">
    <oc r="M95">
      <v>0</v>
    </oc>
    <nc r="M95">
      <f>'D:\user\Documents\Программы\Сетевые графики\Отчет на 01.08.2024\[Сетевой график за июль.xlsx]УКС'!M79</f>
    </nc>
  </rcc>
  <rcc rId="13074" sId="23" numFmtId="34">
    <oc r="N95">
      <v>0</v>
    </oc>
    <nc r="N95">
      <f>'D:\user\Documents\Программы\Сетевые графики\Отчет на 01.08.2024\[Сетевой график за июль.xlsx]УКС'!N79</f>
    </nc>
  </rcc>
  <rcc rId="13075" sId="23" numFmtId="34">
    <oc r="O95">
      <v>0</v>
    </oc>
    <nc r="O95">
      <f>'D:\user\Documents\Программы\Сетевые графики\Отчет на 01.08.2024\[Сетевой график за июль.xlsx]УКС'!O79</f>
    </nc>
  </rcc>
  <rcc rId="13076" sId="23" numFmtId="34">
    <oc r="P95">
      <v>0</v>
    </oc>
    <nc r="P95">
      <f>'D:\user\Documents\Программы\Сетевые графики\Отчет на 01.08.2024\[Сетевой график за июль.xlsx]УКС'!P79</f>
    </nc>
  </rcc>
  <rcc rId="13077" sId="23" numFmtId="34">
    <oc r="Q95">
      <v>0</v>
    </oc>
    <nc r="Q95">
      <f>'D:\user\Documents\Программы\Сетевые графики\Отчет на 01.08.2024\[Сетевой график за июль.xlsx]УКС'!Q79</f>
    </nc>
  </rcc>
  <rcc rId="13078" sId="23" numFmtId="34">
    <oc r="R95">
      <v>0</v>
    </oc>
    <nc r="R95">
      <f>'D:\user\Documents\Программы\Сетевые графики\Отчет на 01.08.2024\[Сетевой график за июль.xlsx]УКС'!R79</f>
    </nc>
  </rcc>
  <rcc rId="13079" sId="23" numFmtId="34">
    <oc r="S95">
      <v>0</v>
    </oc>
    <nc r="S95">
      <f>'D:\user\Documents\Программы\Сетевые графики\Отчет на 01.08.2024\[Сетевой график за июль.xlsx]УКС'!S79</f>
    </nc>
  </rcc>
  <rcc rId="13080" sId="23" numFmtId="34">
    <oc r="T95">
      <v>0</v>
    </oc>
    <nc r="T95">
      <f>'D:\user\Documents\Программы\Сетевые графики\Отчет на 01.08.2024\[Сетевой график за июль.xlsx]УКС'!T79</f>
    </nc>
  </rcc>
  <rcc rId="13081" sId="23" numFmtId="34">
    <oc r="U95">
      <v>0</v>
    </oc>
    <nc r="U95">
      <f>'D:\user\Documents\Программы\Сетевые графики\Отчет на 01.08.2024\[Сетевой график за июль.xlsx]УКС'!U79</f>
    </nc>
  </rcc>
  <rcc rId="13082" sId="23" numFmtId="34">
    <oc r="V95">
      <v>0</v>
    </oc>
    <nc r="V95">
      <f>'D:\user\Documents\Программы\Сетевые графики\Отчет на 01.08.2024\[Сетевой график за июль.xlsx]УКС'!V79</f>
    </nc>
  </rcc>
  <rcc rId="13083" sId="23" numFmtId="34">
    <oc r="W95">
      <v>0</v>
    </oc>
    <nc r="W95">
      <f>'D:\user\Documents\Программы\Сетевые графики\Отчет на 01.08.2024\[Сетевой график за июль.xlsx]УКС'!W79</f>
    </nc>
  </rcc>
  <rcc rId="13084" sId="23" numFmtId="34">
    <oc r="X95">
      <v>0</v>
    </oc>
    <nc r="X95">
      <f>'D:\user\Documents\Программы\Сетевые графики\Отчет на 01.08.2024\[Сетевой график за июль.xlsx]УКС'!X79</f>
    </nc>
  </rcc>
  <rcc rId="13085" sId="23" numFmtId="34">
    <oc r="Y95">
      <v>0</v>
    </oc>
    <nc r="Y95">
      <f>'D:\user\Documents\Программы\Сетевые графики\Отчет на 01.08.2024\[Сетевой график за июль.xlsx]УКС'!Y79</f>
    </nc>
  </rcc>
  <rcc rId="13086" sId="23" numFmtId="34">
    <oc r="Z95">
      <v>6871.9</v>
    </oc>
    <nc r="Z95">
      <f>'D:\user\Documents\Программы\Сетевые графики\Отчет на 01.08.2024\[Сетевой график за июль.xlsx]УКС'!Z79</f>
    </nc>
  </rcc>
  <rcc rId="13087" sId="23" numFmtId="34">
    <oc r="AA95">
      <v>0</v>
    </oc>
    <nc r="AA95">
      <f>'D:\user\Documents\Программы\Сетевые графики\Отчет на 01.08.2024\[Сетевой график за июль.xlsx]УКС'!AA79</f>
    </nc>
  </rcc>
  <rcc rId="13088" sId="23" numFmtId="34">
    <oc r="AB95">
      <v>0</v>
    </oc>
    <nc r="AB95">
      <f>'D:\user\Documents\Программы\Сетевые графики\Отчет на 01.08.2024\[Сетевой график за июль.xlsx]УКС'!AB79</f>
    </nc>
  </rcc>
  <rcc rId="13089" sId="23" numFmtId="34">
    <oc r="AC95">
      <v>0</v>
    </oc>
    <nc r="AC95">
      <f>'D:\user\Documents\Программы\Сетевые графики\Отчет на 01.08.2024\[Сетевой график за июль.xlsx]УКС'!AC79</f>
    </nc>
  </rcc>
  <rcc rId="13090" sId="23" numFmtId="34">
    <oc r="AD95">
      <v>0</v>
    </oc>
    <nc r="AD95">
      <f>'D:\user\Documents\Программы\Сетевые графики\Отчет на 01.08.2024\[Сетевой график за июль.xlsx]УКС'!AD79</f>
    </nc>
  </rcc>
  <rcc rId="13091" sId="23" numFmtId="34">
    <oc r="AE95">
      <v>0</v>
    </oc>
    <nc r="AE95">
      <f>'D:\user\Documents\Программы\Сетевые графики\Отчет на 01.08.2024\[Сетевой график за июль.xlsx]УКС'!AE79</f>
    </nc>
  </rcc>
  <rcc rId="13092" sId="23" odxf="1" s="1" dxf="1">
    <oc r="AG95">
      <f>C95-E95</f>
    </oc>
    <nc r="AG95"/>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cc rId="13093" sId="23" numFmtId="4">
    <oc r="B96">
      <v>0</v>
    </oc>
    <nc r="B96">
      <f>H96+J96+L96+N96+P96+R96+T96+V96+X96+Z96+AB96+AD96</f>
    </nc>
  </rcc>
  <rcc rId="13094" sId="23" numFmtId="4">
    <oc r="C96">
      <v>0</v>
    </oc>
    <nc r="C96">
      <f>T96+R96+H96+J96+L96+N96+P96</f>
    </nc>
  </rcc>
  <rcc rId="13095" sId="23" numFmtId="4">
    <oc r="D96">
      <v>0</v>
    </oc>
    <nc r="D96">
      <f>E96</f>
    </nc>
  </rcc>
  <rcc rId="13096" sId="23" numFmtId="4">
    <oc r="E96">
      <v>0</v>
    </oc>
    <nc r="E96">
      <f>I96+K96+M96+O96+Q96+S96+U96+W96+Y96+AA96+AC96+AE96</f>
    </nc>
  </rcc>
  <rcc rId="13097" sId="23" odxf="1" s="1" dxf="1" numFmtId="4">
    <oc r="F96">
      <v>0</v>
    </oc>
    <nc r="F96">
      <f>IFERROR(E96/B96%,0)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98" sId="23" odxf="1" s="1" dxf="1" numFmtId="4">
    <oc r="G96">
      <v>0</v>
    </oc>
    <nc r="G96">
      <f>IFERROR(E96/C96%,0)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099" sId="23" odxf="1" dxf="1">
    <oc r="AG96">
      <f>C96-E96</f>
    </oc>
    <nc r="AG96"/>
    <odxf>
      <font>
        <color auto="1"/>
      </font>
      <numFmt numFmtId="4" formatCode="#,##0.00"/>
    </odxf>
    <ndxf>
      <font>
        <sz val="12"/>
        <color auto="1"/>
        <name val="Times New Roman"/>
        <scheme val="none"/>
      </font>
      <numFmt numFmtId="0" formatCode="General"/>
    </ndxf>
  </rcc>
  <rcc rId="13100" sId="23" numFmtId="4">
    <oc r="B97">
      <v>0</v>
    </oc>
    <nc r="B97">
      <f>H97+J97+L97+N97+P97+R97+T97+V97+X97+Z97+AB97+AD97</f>
    </nc>
  </rcc>
  <rcc rId="13101" sId="23" numFmtId="4">
    <oc r="C97">
      <v>0</v>
    </oc>
    <nc r="C97">
      <f>T97+R97+H97+J97+L97+N97+P97</f>
    </nc>
  </rcc>
  <rcc rId="13102" sId="23" numFmtId="4">
    <oc r="D97">
      <v>0</v>
    </oc>
    <nc r="D97">
      <f>E97</f>
    </nc>
  </rcc>
  <rcc rId="13103" sId="23" numFmtId="4">
    <oc r="E97">
      <v>0</v>
    </oc>
    <nc r="E97">
      <f>I97+K97+M97+O97+Q97+S97+U97+W97+Y97+AA97+AC97+AE97</f>
    </nc>
  </rcc>
  <rcc rId="13104" sId="23" odxf="1" s="1" dxf="1" numFmtId="4">
    <oc r="F97">
      <v>0</v>
    </oc>
    <nc r="F97">
      <f>IFERROR(E97/B97%,0)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105" sId="23" odxf="1" s="1" dxf="1" numFmtId="4">
    <oc r="G97">
      <v>0</v>
    </oc>
    <nc r="G97">
      <f>IFERROR(E97/C97%,0)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rcc>
  <rcc rId="13106" sId="23" odxf="1" dxf="1">
    <oc r="AG97">
      <f>C97-E97</f>
    </oc>
    <nc r="AG97"/>
    <odxf>
      <font>
        <color auto="1"/>
      </font>
      <numFmt numFmtId="4" formatCode="#,##0.00"/>
    </odxf>
    <ndxf>
      <font>
        <sz val="12"/>
        <color auto="1"/>
        <name val="Times New Roman"/>
        <scheme val="none"/>
      </font>
      <numFmt numFmtId="0" formatCode="General"/>
    </ndxf>
  </rcc>
  <rfmt sheetId="23" sqref="A98" start="0" length="0">
    <dxf>
      <font>
        <b val="0"/>
        <sz val="12"/>
        <color auto="1"/>
        <name val="Times New Roman"/>
        <scheme val="none"/>
      </font>
      <fill>
        <patternFill patternType="none">
          <bgColor indexed="65"/>
        </patternFill>
      </fill>
      <alignment wrapText="1" readingOrder="0"/>
      <border outline="0">
        <right/>
      </border>
    </dxf>
  </rfmt>
  <rfmt sheetId="23" sqref="AF98" start="0" length="0">
    <dxf>
      <font>
        <b val="0"/>
        <sz val="12"/>
        <color auto="1"/>
        <name val="Times New Roman"/>
        <scheme val="none"/>
      </font>
      <alignment horizontal="left" vertical="center" wrapText="1" readingOrder="0"/>
    </dxf>
  </rfmt>
  <rcc rId="13107" sId="23" odxf="1" dxf="1">
    <oc r="AG98">
      <f>C98-E98</f>
    </oc>
    <nc r="AG98"/>
    <odxf>
      <font>
        <color auto="1"/>
      </font>
      <numFmt numFmtId="4" formatCode="#,##0.00"/>
    </odxf>
    <ndxf>
      <font>
        <sz val="12"/>
        <color auto="1"/>
        <name val="Times New Roman"/>
        <scheme val="none"/>
      </font>
      <numFmt numFmtId="0" formatCode="General"/>
    </ndxf>
  </rcc>
  <rcc rId="13108" sId="23" odxf="1" s="1" dxf="1">
    <oc r="A99" t="inlineStr">
      <is>
        <t>федеральный бюджет</t>
      </is>
    </oc>
    <nc r="A99" t="inlineStr">
      <is>
        <t>Всего</t>
      </is>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alignment horizontal="general" wrapText="1" readingOrder="0"/>
    </ndxf>
  </rcc>
  <rcc rId="13109" sId="23" numFmtId="4">
    <oc r="B99">
      <v>0</v>
    </oc>
    <nc r="B99">
      <f>B101+B102+B100+B104</f>
    </nc>
  </rcc>
  <rcc rId="13110" sId="23" numFmtId="4">
    <oc r="C99">
      <v>0</v>
    </oc>
    <nc r="C99">
      <f>C100+C101+C102+C104</f>
    </nc>
  </rcc>
  <rcc rId="13111" sId="23" odxf="1" s="1" dxf="1" numFmtId="34">
    <oc r="D99">
      <v>0</v>
    </oc>
    <nc r="D99">
      <f>E99</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12" sId="23" odxf="1" s="1" dxf="1" numFmtId="34">
    <oc r="E99">
      <v>0</v>
    </oc>
    <nc r="E99">
      <f>I99+K99+M99+O99+Q99+S99+U99+W99+Y99+AA99+AC99+AE99</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justify" readingOrder="0"/>
    </ndxf>
  </rcc>
  <rcc rId="13113" sId="23" odxf="1" s="1" dxf="1" numFmtId="34">
    <oc r="F99">
      <v>0</v>
    </oc>
    <nc r="F99">
      <f>E99/B99*100</f>
    </nc>
    <odxf>
      <font>
        <b val="0"/>
        <i val="0"/>
        <strike val="0"/>
        <condense val="0"/>
        <extend val="0"/>
        <outline val="0"/>
        <shadow val="0"/>
        <u val="none"/>
        <vertAlign val="baseline"/>
        <sz val="12"/>
        <color auto="1"/>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theme="0"/>
        <name val="Times New Roman"/>
        <scheme val="none"/>
      </font>
      <numFmt numFmtId="170" formatCode="_(* #,##0.00_);_(* \(#,##0.00\);_(* &quot;-&quot;??_);_(@_)"/>
      <fill>
        <patternFill patternType="none">
          <bgColor indexed="65"/>
        </patternFill>
      </fill>
      <alignment horizontal="general" readingOrder="0"/>
    </ndxf>
  </rcc>
  <rcc rId="13114" sId="23" odxf="1" s="1" dxf="1" numFmtId="34">
    <oc r="G99">
      <v>0</v>
    </oc>
    <nc r="G99">
      <f>E99/C99*100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theme="0"/>
        <name val="Times New Roman"/>
        <scheme val="none"/>
      </font>
      <numFmt numFmtId="170" formatCode="_(* #,##0.00_);_(* \(#,##0.00\);_(* &quot;-&quot;??_);_(@_)"/>
      <alignment horizontal="general" readingOrder="0"/>
    </ndxf>
  </rcc>
  <rcc rId="13115" sId="23" odxf="1" s="1" dxf="1" numFmtId="34">
    <oc r="H99">
      <v>0</v>
    </oc>
    <nc r="H99">
      <f>SUM(H100:H104)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16" sId="23" odxf="1" s="1" dxf="1" numFmtId="34">
    <oc r="I99">
      <v>0</v>
    </oc>
    <nc r="I99"/>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17" sId="23" odxf="1" s="1" dxf="1" numFmtId="34">
    <oc r="J99">
      <v>0</v>
    </oc>
    <nc r="J99">
      <f>J100+J101+J102+J104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18" sId="23" odxf="1" s="1" dxf="1" numFmtId="34">
    <oc r="K99">
      <v>0</v>
    </oc>
    <nc r="K99">
      <f>K100+K101+K102+K104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19" sId="23" odxf="1" s="1" dxf="1" numFmtId="34">
    <oc r="L99">
      <v>0</v>
    </oc>
    <nc r="L99">
      <f>L100+L101+L102+L104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0" sId="23" odxf="1" s="1" dxf="1" numFmtId="34">
    <oc r="M99">
      <v>0</v>
    </oc>
    <nc r="M99">
      <f>M100+M101+M102+M104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1" sId="23" odxf="1" s="1" dxf="1" numFmtId="34">
    <oc r="N99">
      <v>0</v>
    </oc>
    <nc r="N99">
      <f>N100+N101+N102+N104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2" sId="23" odxf="1" s="1" dxf="1" numFmtId="34">
    <oc r="O99">
      <v>0</v>
    </oc>
    <nc r="O99">
      <f>O100+O101+O102+O104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3" sId="23" odxf="1" s="1" dxf="1" numFmtId="34">
    <oc r="P99">
      <v>0</v>
    </oc>
    <nc r="P99">
      <f>P100+P101+P102+P104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4" sId="23" odxf="1" s="1" dxf="1" numFmtId="34">
    <oc r="Q99">
      <v>0</v>
    </oc>
    <nc r="Q99">
      <f>Q100+Q101+Q102+Q104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5" sId="23" odxf="1" s="1" dxf="1" numFmtId="34">
    <oc r="R99">
      <v>0</v>
    </oc>
    <nc r="R99">
      <f>R100+R101+R102+R104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6" sId="23" odxf="1" s="1" dxf="1" numFmtId="34">
    <oc r="S99">
      <v>0</v>
    </oc>
    <nc r="S99">
      <f>S100+S101+S102+S104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27" sId="23" odxf="1" dxf="1" numFmtId="34">
    <oc r="T99">
      <v>0</v>
    </oc>
    <nc r="T99">
      <f>T100+T101+T102+T104</f>
    </nc>
    <odxf>
      <numFmt numFmtId="4" formatCode="#,##0.00"/>
    </odxf>
    <ndxf>
      <numFmt numFmtId="35" formatCode="_-* #,##0.00_-;\-* #,##0.00_-;_-* &quot;-&quot;??_-;_-@_-"/>
    </ndxf>
  </rcc>
  <rcc rId="13128" sId="23" odxf="1" dxf="1" numFmtId="34">
    <oc r="U99">
      <v>0</v>
    </oc>
    <nc r="U99">
      <f>U100+U101+U102+U104</f>
    </nc>
    <odxf>
      <numFmt numFmtId="4" formatCode="#,##0.00"/>
    </odxf>
    <ndxf>
      <numFmt numFmtId="35" formatCode="_-* #,##0.00_-;\-* #,##0.00_-;_-* &quot;-&quot;??_-;_-@_-"/>
    </ndxf>
  </rcc>
  <rcc rId="13129" sId="23" odxf="1" dxf="1" numFmtId="34">
    <oc r="V99">
      <v>0</v>
    </oc>
    <nc r="V99">
      <f>V100+V101+V102+V104</f>
    </nc>
    <odxf>
      <numFmt numFmtId="4" formatCode="#,##0.00"/>
    </odxf>
    <ndxf>
      <numFmt numFmtId="35" formatCode="_-* #,##0.00_-;\-* #,##0.00_-;_-* &quot;-&quot;??_-;_-@_-"/>
    </ndxf>
  </rcc>
  <rcc rId="13130" sId="23" odxf="1" dxf="1" numFmtId="34">
    <oc r="W99">
      <v>0</v>
    </oc>
    <nc r="W99">
      <f>W100+W101+W102+W104</f>
    </nc>
    <odxf>
      <numFmt numFmtId="4" formatCode="#,##0.00"/>
    </odxf>
    <ndxf>
      <numFmt numFmtId="35" formatCode="_-* #,##0.00_-;\-* #,##0.00_-;_-* &quot;-&quot;??_-;_-@_-"/>
    </ndxf>
  </rcc>
  <rcc rId="13131" sId="23" odxf="1" dxf="1" numFmtId="4">
    <oc r="X99">
      <v>0</v>
    </oc>
    <nc r="X99">
      <f>X100+X101+X102+X104</f>
    </nc>
    <odxf>
      <numFmt numFmtId="4" formatCode="#,##0.00"/>
    </odxf>
    <ndxf>
      <numFmt numFmtId="172" formatCode="#,##0.00_р_."/>
    </ndxf>
  </rcc>
  <rcc rId="13132" sId="23" odxf="1" s="1" dxf="1" numFmtId="34">
    <oc r="Y99">
      <v>0</v>
    </oc>
    <nc r="Y99">
      <f>Y100+Y101+Y102+Y104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3" sId="23" odxf="1" s="1" dxf="1" numFmtId="34">
    <oc r="Z99">
      <v>0</v>
    </oc>
    <nc r="Z99">
      <f>Z100+Z101+Z102+Z104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4" sId="23" odxf="1" s="1" dxf="1" numFmtId="34">
    <oc r="AA99">
      <v>0</v>
    </oc>
    <nc r="AA99">
      <f>AA100+AA101+AA102+AA104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5" sId="23" odxf="1" s="1" dxf="1" numFmtId="34">
    <oc r="AB99">
      <v>0</v>
    </oc>
    <nc r="AB99">
      <f>AB100+AB101+AB102+AB104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6" sId="23" odxf="1" s="1" dxf="1" numFmtId="34">
    <oc r="AC99">
      <v>0</v>
    </oc>
    <nc r="AC99">
      <f>AC100+AC101+AC102+AC104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7" sId="23" odxf="1" s="1" dxf="1" numFmtId="34">
    <oc r="AD99">
      <v>0</v>
    </oc>
    <nc r="AD99">
      <f>AD100+AD101+AD102+AD104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8" sId="23" odxf="1" s="1" dxf="1" numFmtId="34">
    <oc r="AE99">
      <v>0</v>
    </oc>
    <nc r="AE99">
      <f>AE100+AE101+AE102+AE104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39" sId="23" odxf="1" s="1" dxf="1">
    <oc r="AG99">
      <f>C99-E99</f>
    </oc>
    <nc r="AG99"/>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fmt sheetId="23" s="1" sqref="A99:XFD99" start="0" length="0">
    <dxf>
      <font>
        <b/>
        <sz val="12"/>
        <color auto="1"/>
        <name val="Times New Roman"/>
        <scheme val="none"/>
      </font>
      <alignment vertical="center" wrapText="1" readingOrder="0"/>
    </dxf>
  </rfmt>
  <rcc rId="13140" sId="23" odxf="1" s="1" dxf="1">
    <oc r="A100" t="inlineStr">
      <is>
        <t>бюджет автономного округа</t>
      </is>
    </oc>
    <nc r="A100" t="inlineStr">
      <is>
        <t>федеральный бюджет</t>
      </is>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alignment vertical="center" readingOrder="0"/>
    </ndxf>
  </rcc>
  <rcc rId="13141" sId="23" odxf="1" dxf="1" numFmtId="4">
    <oc r="B100">
      <v>1587.5</v>
    </oc>
    <nc r="B100">
      <f>H100+J100+L100+N100+P100+R100+T100+V100+X100+Z100+AB100+AD100</f>
    </nc>
    <odxf>
      <border outline="0">
        <right style="thin">
          <color indexed="64"/>
        </right>
      </border>
    </odxf>
    <ndxf>
      <border outline="0">
        <right/>
      </border>
    </ndxf>
  </rcc>
  <rcc rId="13142" sId="23" odxf="1" dxf="1" numFmtId="4">
    <oc r="C100">
      <v>595.29999999999995</v>
    </oc>
    <nc r="C100">
      <f>T100+R100+H100+J100+L100+N100+P100</f>
    </nc>
    <odxf>
      <border outline="0">
        <right style="thin">
          <color indexed="64"/>
        </right>
      </border>
    </odxf>
    <ndxf>
      <border outline="0">
        <right/>
      </border>
    </ndxf>
  </rcc>
  <rcc rId="13143" sId="23" odxf="1" dxf="1" numFmtId="4">
    <oc r="D100">
      <v>378.12</v>
    </oc>
    <nc r="D100">
      <f>E100</f>
    </nc>
    <odxf>
      <fill>
        <patternFill patternType="none">
          <bgColor indexed="65"/>
        </patternFill>
      </fill>
      <border outline="0">
        <right style="thin">
          <color indexed="64"/>
        </right>
      </border>
    </odxf>
    <ndxf>
      <fill>
        <patternFill patternType="solid">
          <bgColor theme="0"/>
        </patternFill>
      </fill>
      <border outline="0">
        <right/>
      </border>
    </ndxf>
  </rcc>
  <rcc rId="13144" sId="23" odxf="1" dxf="1" numFmtId="4">
    <oc r="E100">
      <v>378.12</v>
    </oc>
    <nc r="E100">
      <f>I100+K100+M100+O100+Q100+S100+U100+W100+Y100+AA100+AC100+AE100</f>
    </nc>
    <odxf>
      <fill>
        <patternFill patternType="none">
          <bgColor indexed="65"/>
        </patternFill>
      </fill>
      <border outline="0">
        <right style="thin">
          <color indexed="64"/>
        </right>
      </border>
    </odxf>
    <ndxf>
      <fill>
        <patternFill patternType="solid">
          <bgColor theme="0"/>
        </patternFill>
      </fill>
      <border outline="0">
        <right/>
      </border>
    </ndxf>
  </rcc>
  <rcc rId="13145" sId="23" odxf="1" s="1" dxf="1" numFmtId="4">
    <oc r="F100">
      <v>23.818582677165352</v>
    </oc>
    <nc r="F100">
      <f>IFERROR(E100/B100%,0)</f>
    </nc>
    <odxf>
      <font>
        <b val="0"/>
        <i val="0"/>
        <strike val="0"/>
        <condense val="0"/>
        <extend val="0"/>
        <outline val="0"/>
        <shadow val="0"/>
        <u val="none"/>
        <vertAlign val="baseline"/>
        <sz val="12"/>
        <color auto="1"/>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patternType="none">
          <bgColor indexed="65"/>
        </patternFill>
      </fill>
      <alignment wrapText="0" readingOrder="0"/>
    </ndxf>
  </rcc>
  <rcc rId="13146" sId="23" odxf="1" s="1" dxf="1" numFmtId="4">
    <oc r="G100">
      <v>63.517554174365877</v>
    </oc>
    <nc r="G100">
      <f>IFERROR(E100/C100%,0)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alignment wrapText="0" readingOrder="0"/>
    </ndxf>
  </rcc>
  <rcc rId="13147" sId="23" odxf="1" s="1" dxf="1" numFmtId="34">
    <oc r="H100">
      <v>526.79999999999995</v>
    </oc>
    <nc r="H100">
      <f>'D:\user\Documents\Программы\Сетевые графики\Отчет на 01.08.2024\[Сетевой график за июль.xlsx]УКС'!H83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48" sId="23" odxf="1" s="1" dxf="1" numFmtId="34">
    <oc r="I100">
      <v>248.69</v>
    </oc>
    <nc r="I100">
      <f>'D:\user\Documents\Программы\Сетевые графики\Отчет на 01.08.2024\[Сетевой график за июль.xlsx]УКС'!I83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49" sId="23" odxf="1" s="1" dxf="1" numFmtId="34">
    <oc r="J100">
      <v>68.5</v>
    </oc>
    <nc r="J100">
      <f>'D:\user\Documents\Программы\Сетевые графики\Отчет на 01.08.2024\[Сетевой график за июль.xlsx]УКС'!J83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0" sId="23" odxf="1" s="1" dxf="1" numFmtId="34">
    <oc r="K100">
      <v>129.43</v>
    </oc>
    <nc r="K100">
      <f>'D:\user\Documents\Программы\Сетевые графики\Отчет на 01.08.2024\[Сетевой график за июль.xlsx]УКС'!K83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1" sId="23" odxf="1" s="1" dxf="1" numFmtId="34">
    <oc r="L100">
      <v>0</v>
    </oc>
    <nc r="L100">
      <f>'D:\user\Documents\Программы\Сетевые графики\Отчет на 01.08.2024\[Сетевой график за июль.xlsx]УКС'!L83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2" sId="23" odxf="1" s="1" dxf="1" numFmtId="34">
    <oc r="M100">
      <v>0</v>
    </oc>
    <nc r="M100">
      <f>'D:\user\Documents\Программы\Сетевые графики\Отчет на 01.08.2024\[Сетевой график за июль.xlsx]УКС'!M83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3" sId="23" odxf="1" s="1" dxf="1" numFmtId="34">
    <oc r="N100">
      <v>0</v>
    </oc>
    <nc r="N100">
      <f>'D:\user\Documents\Программы\Сетевые графики\Отчет на 01.08.2024\[Сетевой график за июль.xlsx]УКС'!N83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4" sId="23" odxf="1" s="1" dxf="1" numFmtId="34">
    <oc r="O100">
      <v>0</v>
    </oc>
    <nc r="O100">
      <f>'D:\user\Documents\Программы\Сетевые графики\Отчет на 01.08.2024\[Сетевой график за июль.xlsx]УКС'!O83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5" sId="23" odxf="1" s="1" dxf="1" numFmtId="34">
    <oc r="P100">
      <v>0</v>
    </oc>
    <nc r="P100">
      <f>'D:\user\Documents\Программы\Сетевые графики\Отчет на 01.08.2024\[Сетевой график за июль.xlsx]УКС'!P83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6" sId="23" odxf="1" s="1" dxf="1" numFmtId="34">
    <oc r="Q100">
      <v>0</v>
    </oc>
    <nc r="Q100">
      <f>'D:\user\Documents\Программы\Сетевые графики\Отчет на 01.08.2024\[Сетевой график за июль.xlsx]УКС'!Q83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7" sId="23" odxf="1" s="1" dxf="1" numFmtId="34">
    <oc r="R100">
      <v>0</v>
    </oc>
    <nc r="R100">
      <f>'D:\user\Documents\Программы\Сетевые графики\Отчет на 01.08.2024\[Сетевой график за июль.xlsx]УКС'!R83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8" sId="23" odxf="1" s="1" dxf="1" numFmtId="34">
    <oc r="S100">
      <v>0</v>
    </oc>
    <nc r="S100">
      <f>'D:\user\Documents\Программы\Сетевые графики\Отчет на 01.08.2024\[Сетевой график за июль.xlsx]УКС'!S83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59" sId="23" odxf="1" dxf="1" numFmtId="34">
    <oc r="T100">
      <v>0</v>
    </oc>
    <nc r="T100">
      <f>'D:\user\Documents\Программы\Сетевые графики\Отчет на 01.08.2024\[Сетевой график за июль.xlsx]УКС'!T83</f>
    </nc>
    <odxf>
      <numFmt numFmtId="4" formatCode="#,##0.00"/>
    </odxf>
    <ndxf>
      <numFmt numFmtId="35" formatCode="_-* #,##0.00_-;\-* #,##0.00_-;_-* &quot;-&quot;??_-;_-@_-"/>
    </ndxf>
  </rcc>
  <rcc rId="13160" sId="23" odxf="1" dxf="1" numFmtId="34">
    <oc r="U100">
      <v>0</v>
    </oc>
    <nc r="U100">
      <f>'D:\user\Documents\Программы\Сетевые графики\Отчет на 01.08.2024\[Сетевой график за июль.xlsx]УКС'!U83</f>
    </nc>
    <odxf>
      <numFmt numFmtId="4" formatCode="#,##0.00"/>
    </odxf>
    <ndxf>
      <numFmt numFmtId="35" formatCode="_-* #,##0.00_-;\-* #,##0.00_-;_-* &quot;-&quot;??_-;_-@_-"/>
    </ndxf>
  </rcc>
  <rcc rId="13161" sId="23" odxf="1" dxf="1" numFmtId="34">
    <oc r="V100">
      <v>0</v>
    </oc>
    <nc r="V100">
      <f>'D:\user\Documents\Программы\Сетевые графики\Отчет на 01.08.2024\[Сетевой график за июль.xlsx]УКС'!V83</f>
    </nc>
    <odxf>
      <numFmt numFmtId="4" formatCode="#,##0.00"/>
    </odxf>
    <ndxf>
      <numFmt numFmtId="35" formatCode="_-* #,##0.00_-;\-* #,##0.00_-;_-* &quot;-&quot;??_-;_-@_-"/>
    </ndxf>
  </rcc>
  <rcc rId="13162" sId="23" odxf="1" dxf="1" numFmtId="34">
    <oc r="W100">
      <v>0</v>
    </oc>
    <nc r="W100">
      <f>'D:\user\Documents\Программы\Сетевые графики\Отчет на 01.08.2024\[Сетевой график за июль.xlsx]УКС'!W83</f>
    </nc>
    <odxf>
      <numFmt numFmtId="4" formatCode="#,##0.00"/>
    </odxf>
    <ndxf>
      <numFmt numFmtId="35" formatCode="_-* #,##0.00_-;\-* #,##0.00_-;_-* &quot;-&quot;??_-;_-@_-"/>
    </ndxf>
  </rcc>
  <rcc rId="13163" sId="23" odxf="1" s="1" dxf="1" numFmtId="34">
    <oc r="X100">
      <v>0</v>
    </oc>
    <nc r="X100">
      <f>'D:\user\Documents\Программы\Сетевые графики\Отчет на 01.08.2024\[Сетевой график за июль.xlsx]УКС'!X83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64" sId="23" odxf="1" s="1" dxf="1" numFmtId="34">
    <oc r="Y100">
      <v>0</v>
    </oc>
    <nc r="Y100">
      <f>'D:\user\Documents\Программы\Сетевые графики\Отчет на 01.08.2024\[Сетевой график за июль.xlsx]УКС'!Y83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65" sId="23" odxf="1" s="1" dxf="1" numFmtId="34">
    <oc r="Z100">
      <v>992.2</v>
    </oc>
    <nc r="Z100">
      <f>'D:\user\Documents\Программы\Сетевые графики\Отчет на 01.08.2024\[Сетевой график за июль.xlsx]УКС'!Z83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66" sId="23" odxf="1" s="1" dxf="1" numFmtId="34">
    <oc r="AA100">
      <v>0</v>
    </oc>
    <nc r="AA100">
      <f>'D:\user\Documents\Программы\Сетевые графики\Отчет на 01.08.2024\[Сетевой график за июль.xlsx]УКС'!AA83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67" sId="23" odxf="1" s="1" dxf="1" numFmtId="34">
    <oc r="AB100">
      <v>0</v>
    </oc>
    <nc r="AB100">
      <f>'D:\user\Documents\Программы\Сетевые графики\Отчет на 01.08.2024\[Сетевой график за июль.xlsx]УКС'!AB83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68" sId="23" odxf="1" s="1" dxf="1" numFmtId="34">
    <oc r="AC100">
      <v>0</v>
    </oc>
    <nc r="AC100">
      <f>'D:\user\Documents\Программы\Сетевые графики\Отчет на 01.08.2024\[Сетевой график за июль.xlsx]УКС'!AC83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69" sId="23" odxf="1" s="1" dxf="1" numFmtId="34">
    <oc r="AD100">
      <v>0</v>
    </oc>
    <nc r="AD100">
      <f>'D:\user\Documents\Программы\Сетевые графики\Отчет на 01.08.2024\[Сетевой график за июль.xlsx]УКС'!AD83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70" sId="23" odxf="1" s="1" dxf="1" numFmtId="34">
    <oc r="AE100">
      <v>0</v>
    </oc>
    <nc r="AE100">
      <f>'D:\user\Documents\Программы\Сетевые графики\Отчет на 01.08.2024\[Сетевой график за июль.xlsx]УКС'!AE83</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71" sId="23" odxf="1" s="1" dxf="1">
    <oc r="AG100">
      <f>C100-E100</f>
    </oc>
    <nc r="AG100"/>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fmt sheetId="23" s="1" sqref="A100:XFD100" start="0" length="0">
    <dxf>
      <font>
        <b/>
        <sz val="12"/>
        <color auto="1"/>
        <name val="Times New Roman"/>
        <scheme val="none"/>
      </font>
      <alignment vertical="center" wrapText="1" readingOrder="0"/>
    </dxf>
  </rfmt>
  <rcc rId="13172" sId="23" odxf="1" s="1" dxf="1">
    <oc r="A101" t="inlineStr">
      <is>
        <t>бюджет города Когалыма</t>
      </is>
    </oc>
    <nc r="A101" t="inlineStr">
      <is>
        <t>бюджет автономного округа</t>
      </is>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alignment vertical="center" readingOrder="0"/>
    </ndxf>
  </rcc>
  <rcc rId="13173" sId="23" odxf="1" dxf="1" numFmtId="4">
    <oc r="B101">
      <v>224603.68</v>
    </oc>
    <nc r="B101">
      <f>H101+J101+L101+N101+P101+R101+T101+V101+X101+Z101+AB101+AD101</f>
    </nc>
    <odxf>
      <border outline="0">
        <right style="thin">
          <color indexed="64"/>
        </right>
      </border>
    </odxf>
    <ndxf>
      <border outline="0">
        <right/>
      </border>
    </ndxf>
  </rcc>
  <rcc rId="13174" sId="23" odxf="1" dxf="1" numFmtId="4">
    <oc r="C101">
      <v>107438.30999999998</v>
    </oc>
    <nc r="C101">
      <f>T101+R101+H101+J101+L101+N101+P101</f>
    </nc>
    <odxf>
      <border outline="0">
        <right style="thin">
          <color indexed="64"/>
        </right>
      </border>
    </odxf>
    <ndxf>
      <border outline="0">
        <right/>
      </border>
    </ndxf>
  </rcc>
  <rcc rId="13175" sId="23" odxf="1" dxf="1" numFmtId="4">
    <oc r="D101">
      <v>88288.909</v>
    </oc>
    <nc r="D101">
      <f>E101</f>
    </nc>
    <odxf>
      <fill>
        <patternFill patternType="none">
          <bgColor indexed="65"/>
        </patternFill>
      </fill>
      <border outline="0">
        <right style="thin">
          <color indexed="64"/>
        </right>
      </border>
    </odxf>
    <ndxf>
      <fill>
        <patternFill patternType="solid">
          <bgColor theme="0"/>
        </patternFill>
      </fill>
      <border outline="0">
        <right/>
      </border>
    </ndxf>
  </rcc>
  <rcc rId="13176" sId="23" odxf="1" dxf="1" numFmtId="4">
    <oc r="E101">
      <v>88288.909</v>
    </oc>
    <nc r="E101">
      <f>I101+K101+M101+O101+Q101+S101+U101+W101+Y101+AA101+AC101+AE101</f>
    </nc>
    <odxf>
      <fill>
        <patternFill patternType="none">
          <bgColor indexed="65"/>
        </patternFill>
      </fill>
      <border outline="0">
        <right style="thin">
          <color indexed="64"/>
        </right>
      </border>
    </odxf>
    <ndxf>
      <fill>
        <patternFill patternType="solid">
          <bgColor theme="0"/>
        </patternFill>
      </fill>
      <border outline="0">
        <right/>
      </border>
    </ndxf>
  </rcc>
  <rcc rId="13177" sId="23" odxf="1" s="1" dxf="1" numFmtId="4">
    <oc r="F101">
      <v>39.308754424682625</v>
    </oc>
    <nc r="F101">
      <f>IFERROR(E101/B101%,0)</f>
    </nc>
    <odxf>
      <font>
        <b val="0"/>
        <i val="0"/>
        <strike val="0"/>
        <condense val="0"/>
        <extend val="0"/>
        <outline val="0"/>
        <shadow val="0"/>
        <u val="none"/>
        <vertAlign val="baseline"/>
        <sz val="12"/>
        <color auto="1"/>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patternType="none">
          <bgColor indexed="65"/>
        </patternFill>
      </fill>
      <alignment wrapText="0" readingOrder="0"/>
    </ndxf>
  </rcc>
  <rcc rId="13178" sId="23" odxf="1" s="1" dxf="1" numFmtId="4">
    <oc r="G101">
      <v>82.176375447454461</v>
    </oc>
    <nc r="G101">
      <f>IFERROR(E101/C101%,0)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alignment wrapText="0" readingOrder="0"/>
    </ndxf>
  </rcc>
  <rcc rId="13179" sId="23" odxf="1" s="1" dxf="1" numFmtId="34">
    <oc r="H101">
      <v>10663.43</v>
    </oc>
    <nc r="H101">
      <f>'D:\user\Documents\Программы\Сетевые графики\Отчет на 01.08.2024\[Сетевой график за июль.xlsx]УКС'!H84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0" sId="23" odxf="1" s="1" dxf="1" numFmtId="34">
    <oc r="I101">
      <v>5996.53</v>
    </oc>
    <nc r="I101">
      <f>'D:\user\Documents\Программы\Сетевые графики\Отчет на 01.08.2024\[Сетевой график за июль.xlsx]УКС'!I84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1" sId="23" odxf="1" s="1" dxf="1" numFmtId="34">
    <oc r="J101">
      <v>27792.769999999997</v>
    </oc>
    <nc r="J101">
      <f>'D:\user\Documents\Программы\Сетевые графики\Отчет на 01.08.2024\[Сетевой график за июль.xlsx]УКС'!J84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2" sId="23" odxf="1" s="1" dxf="1" numFmtId="34">
    <oc r="K101">
      <v>24604.308999999994</v>
    </oc>
    <nc r="K101">
      <f>'D:\user\Documents\Программы\Сетевые графики\Отчет на 01.08.2024\[Сетевой график за июль.xlsx]УКС'!K84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3" sId="23" odxf="1" s="1" dxf="1" numFmtId="34">
    <oc r="L101">
      <v>27336.820000000003</v>
    </oc>
    <nc r="L101">
      <f>'D:\user\Documents\Программы\Сетевые графики\Отчет на 01.08.2024\[Сетевой график за июль.xlsx]УКС'!L84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4" sId="23" odxf="1" s="1" dxf="1" numFmtId="34">
    <oc r="M101">
      <v>22894.920000000002</v>
    </oc>
    <nc r="M101">
      <f>'D:\user\Documents\Программы\Сетевые графики\Отчет на 01.08.2024\[Сетевой график за июль.xlsx]УКС'!M84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5" sId="23" odxf="1" s="1" dxf="1" numFmtId="34">
    <oc r="N101">
      <v>25838.53</v>
    </oc>
    <nc r="N101">
      <f>'D:\user\Documents\Программы\Сетевые графики\Отчет на 01.08.2024\[Сетевой график за июль.xlsx]УКС'!N84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6" sId="23" odxf="1" s="1" dxf="1" numFmtId="34">
    <oc r="O101">
      <v>22247.9</v>
    </oc>
    <nc r="O101">
      <f>'D:\user\Documents\Программы\Сетевые графики\Отчет на 01.08.2024\[Сетевой график за июль.xlsx]УКС'!O84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7" sId="23" odxf="1" s="1" dxf="1" numFmtId="34">
    <oc r="P101">
      <v>15806.76</v>
    </oc>
    <nc r="P101">
      <f>'D:\user\Documents\Программы\Сетевые графики\Отчет на 01.08.2024\[Сетевой график за июль.xlsx]УКС'!P84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8" sId="23" odxf="1" s="1" dxf="1" numFmtId="34">
    <oc r="Q101">
      <v>12545.25</v>
    </oc>
    <nc r="Q101">
      <f>'D:\user\Documents\Программы\Сетевые графики\Отчет на 01.08.2024\[Сетевой график за июль.xlsx]УКС'!Q84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89" sId="23" odxf="1" s="1" dxf="1" numFmtId="34">
    <oc r="R101">
      <v>15383.699999999997</v>
    </oc>
    <nc r="R101">
      <f>'D:\user\Documents\Программы\Сетевые графики\Отчет на 01.08.2024\[Сетевой график за июль.xlsx]УКС'!R84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0" sId="23" odxf="1" s="1" dxf="1" numFmtId="34">
    <oc r="S101">
      <v>0</v>
    </oc>
    <nc r="S101">
      <f>'D:\user\Documents\Программы\Сетевые графики\Отчет на 01.08.2024\[Сетевой график за июль.xlsx]УКС'!S84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1" sId="23" odxf="1" s="1" dxf="1" numFmtId="34">
    <oc r="T101">
      <v>10834.150000000001</v>
    </oc>
    <nc r="T101">
      <f>'D:\user\Documents\Программы\Сетевые графики\Отчет на 01.08.2024\[Сетевой график за июль.xlsx]УКС'!T84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2" sId="23" odxf="1" s="1" dxf="1" numFmtId="34">
    <oc r="U101">
      <v>0</v>
    </oc>
    <nc r="U101">
      <f>'D:\user\Documents\Программы\Сетевые графики\Отчет на 01.08.2024\[Сетевой график за июль.xlsx]УКС'!U84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3" sId="23" odxf="1" s="1" dxf="1" numFmtId="34">
    <oc r="V101">
      <v>11543.419999999998</v>
    </oc>
    <nc r="V101">
      <f>'D:\user\Documents\Программы\Сетевые графики\Отчет на 01.08.2024\[Сетевой график за июль.xlsx]УКС'!V84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4" sId="23" odxf="1" s="1" dxf="1" numFmtId="34">
    <oc r="W101">
      <v>0</v>
    </oc>
    <nc r="W101">
      <f>'D:\user\Documents\Программы\Сетевые графики\Отчет на 01.08.2024\[Сетевой график за июль.xlsx]УКС'!W84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5" sId="23" odxf="1" s="1" dxf="1" numFmtId="34">
    <oc r="X101">
      <v>10463.460000000001</v>
    </oc>
    <nc r="X101">
      <f>'D:\user\Documents\Программы\Сетевые графики\Отчет на 01.08.2024\[Сетевой график за июль.xlsx]УКС'!X84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6" sId="23" odxf="1" s="1" dxf="1" numFmtId="34">
    <oc r="Y101">
      <v>0</v>
    </oc>
    <nc r="Y101">
      <f>'D:\user\Documents\Программы\Сетевые графики\Отчет на 01.08.2024\[Сетевой график за июль.xlsx]УКС'!Y84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7" sId="23" odxf="1" s="1" dxf="1" numFmtId="34">
    <oc r="Z101">
      <v>33866.769999999997</v>
    </oc>
    <nc r="Z101">
      <f>'D:\user\Documents\Программы\Сетевые графики\Отчет на 01.08.2024\[Сетевой график за июль.xlsx]УКС'!Z84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8" sId="23" odxf="1" s="1" dxf="1" numFmtId="34">
    <oc r="AA101">
      <v>0</v>
    </oc>
    <nc r="AA101">
      <f>'D:\user\Documents\Программы\Сетевые графики\Отчет на 01.08.2024\[Сетевой график за июль.xlsx]УКС'!AA84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199" sId="23" odxf="1" s="1" dxf="1" numFmtId="34">
    <oc r="AB101">
      <v>22038.080000000002</v>
    </oc>
    <nc r="AB101">
      <f>'D:\user\Documents\Программы\Сетевые графики\Отчет на 01.08.2024\[Сетевой график за июль.xlsx]УКС'!AB84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00" sId="23" odxf="1" s="1" dxf="1" numFmtId="34">
    <oc r="AC101">
      <v>0</v>
    </oc>
    <nc r="AC101">
      <f>'D:\user\Documents\Программы\Сетевые графики\Отчет на 01.08.2024\[Сетевой график за июль.xlsx]УКС'!AC84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01" sId="23" odxf="1" s="1" dxf="1" numFmtId="34">
    <oc r="AD101">
      <v>13035.79</v>
    </oc>
    <nc r="AD101">
      <f>'D:\user\Documents\Программы\Сетевые графики\Отчет на 01.08.2024\[Сетевой график за июль.xlsx]УКС'!AD84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02" sId="23" odxf="1" s="1" dxf="1" numFmtId="34">
    <oc r="AE101">
      <v>0</v>
    </oc>
    <nc r="AE101">
      <f>'D:\user\Documents\Программы\Сетевые графики\Отчет на 01.08.2024\[Сетевой график за июль.xlsx]УКС'!AE84</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03" sId="23" odxf="1" s="1" dxf="1">
    <oc r="AG101">
      <f>C101-E101</f>
    </oc>
    <nc r="AG101"/>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fmt sheetId="23" s="1" sqref="A101:XFD101" start="0" length="0">
    <dxf>
      <font>
        <b/>
        <sz val="12"/>
        <color auto="1"/>
        <name val="Times New Roman"/>
        <scheme val="none"/>
      </font>
      <alignment vertical="center" wrapText="1" readingOrder="0"/>
    </dxf>
  </rfmt>
  <rcc rId="13204" sId="23" odxf="1" s="1" dxf="1">
    <oc r="A102" t="inlineStr">
      <is>
        <t>в т.ч. бюджет города Когалыма в части софинансирования</t>
      </is>
    </oc>
    <nc r="A102" t="inlineStr">
      <is>
        <t>бюджет города Когалыма</t>
      </is>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alignment horizontal="left" readingOrder="0"/>
    </ndxf>
  </rcc>
  <rcc rId="13205" sId="23" odxf="1" dxf="1" numFmtId="4">
    <oc r="B102">
      <v>0</v>
    </oc>
    <nc r="B102">
      <f>H102+J102+L102+N102+P102+R102+T102+V102+X102+Z102+AB102+AD102</f>
    </nc>
    <odxf>
      <border outline="0">
        <right style="thin">
          <color indexed="64"/>
        </right>
      </border>
    </odxf>
    <ndxf>
      <border outline="0">
        <right/>
      </border>
    </ndxf>
  </rcc>
  <rcc rId="13206" sId="23" odxf="1" dxf="1" numFmtId="4">
    <oc r="C102">
      <v>0</v>
    </oc>
    <nc r="C102">
      <f>T102+R102+H102+J102+L102+N102+P102</f>
    </nc>
    <odxf>
      <border outline="0">
        <right style="thin">
          <color indexed="64"/>
        </right>
      </border>
    </odxf>
    <ndxf>
      <border outline="0">
        <right/>
      </border>
    </ndxf>
  </rcc>
  <rcc rId="13207" sId="23" odxf="1" dxf="1" numFmtId="34">
    <oc r="D102">
      <v>0</v>
    </oc>
    <nc r="D102">
      <f>E102</f>
    </nc>
    <odxf>
      <numFmt numFmtId="4" formatCode="#,##0.00"/>
    </odxf>
    <ndxf>
      <numFmt numFmtId="35" formatCode="_-* #,##0.00_-;\-* #,##0.00_-;_-* &quot;-&quot;??_-;_-@_-"/>
    </ndxf>
  </rcc>
  <rcc rId="13208" sId="23" odxf="1" dxf="1" numFmtId="34">
    <oc r="E102">
      <v>0</v>
    </oc>
    <nc r="E102">
      <f>I102+K102+M102+O102+Q102+S102+U102+W102+Y102+AA102+AC102+AE102</f>
    </nc>
    <odxf>
      <numFmt numFmtId="4" formatCode="#,##0.00"/>
    </odxf>
    <ndxf>
      <numFmt numFmtId="35" formatCode="_-* #,##0.00_-;\-* #,##0.00_-;_-* &quot;-&quot;??_-;_-@_-"/>
    </ndxf>
  </rcc>
  <rcc rId="13209" sId="23" odxf="1" s="1" dxf="1" numFmtId="34">
    <oc r="F102">
      <v>0</v>
    </oc>
    <nc r="F102">
      <f>E102/B102*100</f>
    </nc>
    <odxf>
      <font>
        <b val="0"/>
        <i val="0"/>
        <strike val="0"/>
        <condense val="0"/>
        <extend val="0"/>
        <outline val="0"/>
        <shadow val="0"/>
        <u val="none"/>
        <vertAlign val="baseline"/>
        <sz val="12"/>
        <color auto="1"/>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2"/>
        <color theme="0"/>
        <name val="Times New Roman"/>
        <scheme val="none"/>
      </font>
      <numFmt numFmtId="170" formatCode="_(* #,##0.00_);_(* \(#,##0.00\);_(* &quot;-&quot;??_);_(@_)"/>
      <fill>
        <patternFill patternType="none">
          <bgColor indexed="65"/>
        </patternFill>
      </fill>
    </ndxf>
  </rcc>
  <rcc rId="13210" sId="23" odxf="1" s="1" dxf="1" numFmtId="34">
    <oc r="G102">
      <v>0</v>
    </oc>
    <nc r="G102">
      <f>E102/C102*100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2"/>
        <color theme="0"/>
        <name val="Times New Roman"/>
        <scheme val="none"/>
      </font>
      <numFmt numFmtId="35" formatCode="_-* #,##0.00_-;\-* #,##0.00_-;_-* &quot;-&quot;??_-;_-@_-"/>
    </ndxf>
  </rcc>
  <rcc rId="13211" sId="23" odxf="1" s="1" dxf="1" numFmtId="34">
    <oc r="H102">
      <v>0</v>
    </oc>
    <nc r="H102">
      <f>'D:\user\Documents\Программы\Сетевые графики\Отчет на 01.08.2024\[Сетевой график за июль.xlsx]УКС'!H85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2" sId="23" odxf="1" s="1" dxf="1" numFmtId="34">
    <oc r="I102">
      <v>0</v>
    </oc>
    <nc r="I102">
      <f>'D:\user\Documents\Программы\Сетевые графики\Отчет на 01.08.2024\[Сетевой график за июль.xlsx]УКС'!I85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3" sId="23" odxf="1" s="1" dxf="1" numFmtId="34">
    <oc r="J102">
      <v>0</v>
    </oc>
    <nc r="J102">
      <f>'D:\user\Documents\Программы\Сетевые графики\Отчет на 01.08.2024\[Сетевой график за июль.xlsx]УКС'!J85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4" sId="23" odxf="1" s="1" dxf="1" numFmtId="34">
    <oc r="K102">
      <v>0</v>
    </oc>
    <nc r="K102">
      <f>'D:\user\Documents\Программы\Сетевые графики\Отчет на 01.08.2024\[Сетевой график за июль.xlsx]УКС'!K85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5" sId="23" odxf="1" s="1" dxf="1" numFmtId="34">
    <oc r="L102">
      <v>0</v>
    </oc>
    <nc r="L102">
      <f>'D:\user\Documents\Программы\Сетевые графики\Отчет на 01.08.2024\[Сетевой график за июль.xlsx]УКС'!L85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6" sId="23" odxf="1" s="1" dxf="1" numFmtId="34">
    <oc r="M102">
      <v>0</v>
    </oc>
    <nc r="M102">
      <f>'D:\user\Documents\Программы\Сетевые графики\Отчет на 01.08.2024\[Сетевой график за июль.xlsx]УКС'!M85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7" sId="23" odxf="1" s="1" dxf="1" numFmtId="34">
    <oc r="N102">
      <v>0</v>
    </oc>
    <nc r="N102">
      <f>'D:\user\Documents\Программы\Сетевые графики\Отчет на 01.08.2024\[Сетевой график за июль.xlsx]УКС'!N85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8" sId="23" odxf="1" s="1" dxf="1" numFmtId="34">
    <oc r="O102">
      <v>0</v>
    </oc>
    <nc r="O102">
      <f>'D:\user\Documents\Программы\Сетевые графики\Отчет на 01.08.2024\[Сетевой график за июль.xlsx]УКС'!O85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19" sId="23" odxf="1" s="1" dxf="1" numFmtId="34">
    <oc r="P102">
      <v>0</v>
    </oc>
    <nc r="P102">
      <f>'D:\user\Documents\Программы\Сетевые графики\Отчет на 01.08.2024\[Сетевой график за июль.xlsx]УКС'!P85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0" sId="23" odxf="1" s="1" dxf="1" numFmtId="34">
    <oc r="Q102">
      <v>0</v>
    </oc>
    <nc r="Q102">
      <f>'D:\user\Documents\Программы\Сетевые графики\Отчет на 01.08.2024\[Сетевой график за июль.xlsx]УКС'!Q85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1" sId="23" odxf="1" s="1" dxf="1" numFmtId="34">
    <oc r="R102">
      <v>0</v>
    </oc>
    <nc r="R102">
      <f>'D:\user\Documents\Программы\Сетевые графики\Отчет на 01.08.2024\[Сетевой график за июль.xlsx]УКС'!R85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2" sId="23" odxf="1" s="1" dxf="1" numFmtId="34">
    <oc r="S102">
      <v>0</v>
    </oc>
    <nc r="S102">
      <f>'D:\user\Documents\Программы\Сетевые графики\Отчет на 01.08.2024\[Сетевой график за июль.xlsx]УКС'!S85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3" sId="23" odxf="1" dxf="1" numFmtId="34">
    <oc r="T102">
      <v>0</v>
    </oc>
    <nc r="T102">
      <f>'D:\user\Documents\Программы\Сетевые графики\Отчет на 01.08.2024\[Сетевой график за июль.xlsx]УКС'!T85</f>
    </nc>
    <odxf>
      <numFmt numFmtId="4" formatCode="#,##0.00"/>
    </odxf>
    <ndxf>
      <numFmt numFmtId="35" formatCode="_-* #,##0.00_-;\-* #,##0.00_-;_-* &quot;-&quot;??_-;_-@_-"/>
    </ndxf>
  </rcc>
  <rcc rId="13224" sId="23" odxf="1" dxf="1" numFmtId="34">
    <oc r="U102">
      <v>0</v>
    </oc>
    <nc r="U102">
      <f>'D:\user\Documents\Программы\Сетевые графики\Отчет на 01.08.2024\[Сетевой график за июль.xlsx]УКС'!U85</f>
    </nc>
    <odxf>
      <numFmt numFmtId="4" formatCode="#,##0.00"/>
    </odxf>
    <ndxf>
      <numFmt numFmtId="35" formatCode="_-* #,##0.00_-;\-* #,##0.00_-;_-* &quot;-&quot;??_-;_-@_-"/>
    </ndxf>
  </rcc>
  <rcc rId="13225" sId="23" odxf="1" dxf="1" numFmtId="34">
    <oc r="V102">
      <v>0</v>
    </oc>
    <nc r="V102">
      <f>'D:\user\Documents\Программы\Сетевые графики\Отчет на 01.08.2024\[Сетевой график за июль.xlsx]УКС'!V85</f>
    </nc>
    <odxf>
      <numFmt numFmtId="4" formatCode="#,##0.00"/>
    </odxf>
    <ndxf>
      <numFmt numFmtId="35" formatCode="_-* #,##0.00_-;\-* #,##0.00_-;_-* &quot;-&quot;??_-;_-@_-"/>
    </ndxf>
  </rcc>
  <rcc rId="13226" sId="23" odxf="1" s="1" dxf="1" numFmtId="34">
    <oc r="W102">
      <v>0</v>
    </oc>
    <nc r="W102">
      <f>'D:\user\Documents\Программы\Сетевые графики\Отчет на 01.08.2024\[Сетевой график за июль.xlsx]УКС'!W85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7" sId="23" odxf="1" s="1" dxf="1" numFmtId="34">
    <oc r="X102">
      <v>0</v>
    </oc>
    <nc r="X102">
      <f>'D:\user\Documents\Программы\Сетевые графики\Отчет на 01.08.2024\[Сетевой график за июль.xlsx]УКС'!X85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8" sId="23" odxf="1" s="1" dxf="1" numFmtId="34">
    <oc r="Y102">
      <v>0</v>
    </oc>
    <nc r="Y102">
      <f>'D:\user\Documents\Программы\Сетевые графики\Отчет на 01.08.2024\[Сетевой график за июль.xlsx]УКС'!Y85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29" sId="23" odxf="1" s="1" dxf="1" numFmtId="34">
    <oc r="Z102">
      <v>0</v>
    </oc>
    <nc r="Z102">
      <f>'D:\user\Documents\Программы\Сетевые графики\Отчет на 01.08.2024\[Сетевой график за июль.xlsx]УКС'!Z85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30" sId="23" odxf="1" s="1" dxf="1" numFmtId="34">
    <oc r="AA102">
      <v>0</v>
    </oc>
    <nc r="AA102">
      <f>'D:\user\Documents\Программы\Сетевые графики\Отчет на 01.08.2024\[Сетевой график за июль.xlsx]УКС'!AA85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31" sId="23" odxf="1" s="1" dxf="1" numFmtId="34">
    <oc r="AB102">
      <v>0</v>
    </oc>
    <nc r="AB102">
      <f>'D:\user\Documents\Программы\Сетевые графики\Отчет на 01.08.2024\[Сетевой график за июль.xlsx]УКС'!AB85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32" sId="23" odxf="1" s="1" dxf="1" numFmtId="34">
    <oc r="AC102">
      <v>0</v>
    </oc>
    <nc r="AC102">
      <f>'D:\user\Documents\Программы\Сетевые графики\Отчет на 01.08.2024\[Сетевой график за июль.xlsx]УКС'!AC85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33" sId="23" odxf="1" s="1" dxf="1" numFmtId="34">
    <oc r="AD102">
      <v>0</v>
    </oc>
    <nc r="AD102">
      <f>'D:\user\Documents\Программы\Сетевые графики\Отчет на 01.08.2024\[Сетевой график за июль.xlsx]УКС'!AD85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34" sId="23" odxf="1" s="1" dxf="1" numFmtId="34">
    <oc r="AE102">
      <v>0</v>
    </oc>
    <nc r="AE102">
      <f>'D:\user\Documents\Программы\Сетевые графики\Отчет на 01.08.2024\[Сетевой график за июль.xlsx]УКС'!AE85</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sz val="14"/>
        <color auto="1"/>
        <name val="Times New Roman"/>
        <scheme val="none"/>
      </font>
      <numFmt numFmtId="170" formatCode="_(* #,##0.00_);_(* \(#,##0.00\);_(* &quot;-&quot;??_);_(@_)"/>
      <alignment horizontal="general" readingOrder="0"/>
    </ndxf>
  </rcc>
  <rcc rId="13235" sId="23" odxf="1" s="1" dxf="1">
    <oc r="AG102">
      <f>C102-E102</f>
    </oc>
    <nc r="AG102"/>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fmt sheetId="23" s="1" sqref="A102:XFD102" start="0" length="0">
    <dxf>
      <font>
        <b/>
        <sz val="12"/>
        <color auto="1"/>
        <name val="Times New Roman"/>
        <scheme val="none"/>
      </font>
      <alignment vertical="center" wrapText="1" readingOrder="0"/>
    </dxf>
  </rfmt>
  <rcc rId="13236" sId="23" odxf="1" dxf="1">
    <oc r="A103" t="inlineStr">
      <is>
        <t>иные внебюджетные источники</t>
      </is>
    </oc>
    <nc r="A103" t="inlineStr">
      <is>
        <t>в т.ч. бюджет города Когалыма в части софинансирования</t>
      </is>
    </nc>
    <odxf>
      <alignment horizontal="left" readingOrder="0"/>
    </odxf>
    <ndxf>
      <alignment horizontal="right" readingOrder="0"/>
    </ndxf>
  </rcc>
  <rcc rId="13237" sId="23" odxf="1" dxf="1" numFmtId="4">
    <oc r="B103">
      <v>0</v>
    </oc>
    <nc r="B103">
      <f>H103+J103+L103+N103+P103+R103+T103+V103+X103+Z103+AB103+AD103</f>
    </nc>
    <odxf>
      <border outline="0">
        <right style="thin">
          <color indexed="64"/>
        </right>
      </border>
    </odxf>
    <ndxf>
      <border outline="0">
        <right/>
      </border>
    </ndxf>
  </rcc>
  <rcc rId="13238" sId="23" odxf="1" dxf="1" numFmtId="4">
    <oc r="C103">
      <v>0</v>
    </oc>
    <nc r="C103">
      <f>T103+R103+H103+J103+L103+N103+P103</f>
    </nc>
    <odxf>
      <border outline="0">
        <right style="thin">
          <color indexed="64"/>
        </right>
      </border>
    </odxf>
    <ndxf>
      <border outline="0">
        <right/>
      </border>
    </ndxf>
  </rcc>
  <rcc rId="13239" sId="23" odxf="1" dxf="1" numFmtId="4">
    <oc r="D103">
      <v>0</v>
    </oc>
    <nc r="D103">
      <f>E103</f>
    </nc>
    <odxf>
      <fill>
        <patternFill patternType="none">
          <bgColor indexed="65"/>
        </patternFill>
      </fill>
      <border outline="0">
        <right style="thin">
          <color indexed="64"/>
        </right>
      </border>
    </odxf>
    <ndxf>
      <fill>
        <patternFill patternType="solid">
          <bgColor theme="0"/>
        </patternFill>
      </fill>
      <border outline="0">
        <right/>
      </border>
    </ndxf>
  </rcc>
  <rcc rId="13240" sId="23" odxf="1" dxf="1" numFmtId="4">
    <oc r="E103">
      <v>0</v>
    </oc>
    <nc r="E103">
      <f>I103+K103+M103+O103+Q103+S103+U103+W103+Y103+AA103+AC103+AE103</f>
    </nc>
    <odxf>
      <fill>
        <patternFill patternType="none">
          <bgColor indexed="65"/>
        </patternFill>
      </fill>
      <border outline="0">
        <right style="thin">
          <color indexed="64"/>
        </right>
      </border>
    </odxf>
    <ndxf>
      <fill>
        <patternFill patternType="solid">
          <bgColor theme="0"/>
        </patternFill>
      </fill>
      <border outline="0">
        <right/>
      </border>
    </ndxf>
  </rcc>
  <rcc rId="13241" sId="23" odxf="1" s="1" dxf="1" numFmtId="4">
    <oc r="F103">
      <v>0</v>
    </oc>
    <nc r="F103">
      <f>IFERROR(E103/B103%,0)</f>
    </nc>
    <odxf>
      <font>
        <b val="0"/>
        <i val="0"/>
        <strike val="0"/>
        <condense val="0"/>
        <extend val="0"/>
        <outline val="0"/>
        <shadow val="0"/>
        <u val="none"/>
        <vertAlign val="baseline"/>
        <sz val="12"/>
        <color auto="1"/>
        <name val="Times New Roman"/>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ill>
        <patternFill patternType="none">
          <bgColor indexed="65"/>
        </patternFill>
      </fill>
      <alignment wrapText="0" readingOrder="0"/>
    </ndxf>
  </rcc>
  <rcc rId="13242" sId="23" odxf="1" s="1" dxf="1" numFmtId="4">
    <oc r="G103">
      <v>0</v>
    </oc>
    <nc r="G103">
      <f>IFERROR(E103/C103%,0)</f>
    </nc>
    <odxf>
      <font>
        <b val="0"/>
        <i val="0"/>
        <strike val="0"/>
        <condense val="0"/>
        <extend val="0"/>
        <outline val="0"/>
        <shadow val="0"/>
        <u val="none"/>
        <vertAlign val="baseline"/>
        <sz val="12"/>
        <color auto="1"/>
        <name val="Times New Roman"/>
        <scheme val="none"/>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alignment wrapText="0" readingOrder="0"/>
    </ndxf>
  </rcc>
  <rfmt sheetId="23" sqref="H103" start="0" length="0">
    <dxf>
      <numFmt numFmtId="35" formatCode="_-* #,##0.00_-;\-* #,##0.00_-;_-* &quot;-&quot;??_-;_-@_-"/>
    </dxf>
  </rfmt>
  <rfmt sheetId="23" sqref="I103" start="0" length="0">
    <dxf>
      <numFmt numFmtId="35" formatCode="_-* #,##0.00_-;\-* #,##0.00_-;_-* &quot;-&quot;??_-;_-@_-"/>
    </dxf>
  </rfmt>
  <rfmt sheetId="23" sqref="J103" start="0" length="0">
    <dxf>
      <numFmt numFmtId="35" formatCode="_-* #,##0.00_-;\-* #,##0.00_-;_-* &quot;-&quot;??_-;_-@_-"/>
    </dxf>
  </rfmt>
  <rfmt sheetId="23" sqref="K103" start="0" length="0">
    <dxf>
      <numFmt numFmtId="35" formatCode="_-* #,##0.00_-;\-* #,##0.00_-;_-* &quot;-&quot;??_-;_-@_-"/>
    </dxf>
  </rfmt>
  <rfmt sheetId="23" sqref="L103" start="0" length="0">
    <dxf>
      <numFmt numFmtId="35" formatCode="_-* #,##0.00_-;\-* #,##0.00_-;_-* &quot;-&quot;??_-;_-@_-"/>
    </dxf>
  </rfmt>
  <rfmt sheetId="23" sqref="M103" start="0" length="0">
    <dxf>
      <numFmt numFmtId="35" formatCode="_-* #,##0.00_-;\-* #,##0.00_-;_-* &quot;-&quot;??_-;_-@_-"/>
    </dxf>
  </rfmt>
  <rfmt sheetId="23" sqref="N103" start="0" length="0">
    <dxf>
      <numFmt numFmtId="35" formatCode="_-* #,##0.00_-;\-* #,##0.00_-;_-* &quot;-&quot;??_-;_-@_-"/>
    </dxf>
  </rfmt>
  <rfmt sheetId="23" sqref="O103" start="0" length="0">
    <dxf>
      <numFmt numFmtId="35" formatCode="_-* #,##0.00_-;\-* #,##0.00_-;_-* &quot;-&quot;??_-;_-@_-"/>
    </dxf>
  </rfmt>
  <rfmt sheetId="23" sqref="P103" start="0" length="0">
    <dxf>
      <numFmt numFmtId="35" formatCode="_-* #,##0.00_-;\-* #,##0.00_-;_-* &quot;-&quot;??_-;_-@_-"/>
    </dxf>
  </rfmt>
  <rfmt sheetId="23" sqref="Q103" start="0" length="0">
    <dxf>
      <numFmt numFmtId="35" formatCode="_-* #,##0.00_-;\-* #,##0.00_-;_-* &quot;-&quot;??_-;_-@_-"/>
    </dxf>
  </rfmt>
  <rfmt sheetId="23" sqref="R103" start="0" length="0">
    <dxf>
      <numFmt numFmtId="35" formatCode="_-* #,##0.00_-;\-* #,##0.00_-;_-* &quot;-&quot;??_-;_-@_-"/>
    </dxf>
  </rfmt>
  <rfmt sheetId="23" sqref="S103" start="0" length="0">
    <dxf>
      <numFmt numFmtId="35" formatCode="_-* #,##0.00_-;\-* #,##0.00_-;_-* &quot;-&quot;??_-;_-@_-"/>
    </dxf>
  </rfmt>
  <rfmt sheetId="23" sqref="T103" start="0" length="0">
    <dxf>
      <numFmt numFmtId="35" formatCode="_-* #,##0.00_-;\-* #,##0.00_-;_-* &quot;-&quot;??_-;_-@_-"/>
    </dxf>
  </rfmt>
  <rfmt sheetId="23" sqref="U103" start="0" length="0">
    <dxf>
      <numFmt numFmtId="35" formatCode="_-* #,##0.00_-;\-* #,##0.00_-;_-* &quot;-&quot;??_-;_-@_-"/>
    </dxf>
  </rfmt>
  <rfmt sheetId="23" sqref="V103" start="0" length="0">
    <dxf>
      <numFmt numFmtId="35" formatCode="_-* #,##0.00_-;\-* #,##0.00_-;_-* &quot;-&quot;??_-;_-@_-"/>
    </dxf>
  </rfmt>
  <rfmt sheetId="23" sqref="W103" start="0" length="0">
    <dxf>
      <numFmt numFmtId="35" formatCode="_-* #,##0.00_-;\-* #,##0.00_-;_-* &quot;-&quot;??_-;_-@_-"/>
    </dxf>
  </rfmt>
  <rfmt sheetId="23" sqref="X103" start="0" length="0">
    <dxf>
      <numFmt numFmtId="35" formatCode="_-* #,##0.00_-;\-* #,##0.00_-;_-* &quot;-&quot;??_-;_-@_-"/>
    </dxf>
  </rfmt>
  <rfmt sheetId="23" sqref="Y103" start="0" length="0">
    <dxf>
      <numFmt numFmtId="35" formatCode="_-* #,##0.00_-;\-* #,##0.00_-;_-* &quot;-&quot;??_-;_-@_-"/>
    </dxf>
  </rfmt>
  <rfmt sheetId="23" sqref="Z103" start="0" length="0">
    <dxf>
      <numFmt numFmtId="35" formatCode="_-* #,##0.00_-;\-* #,##0.00_-;_-* &quot;-&quot;??_-;_-@_-"/>
    </dxf>
  </rfmt>
  <rfmt sheetId="23" sqref="AA103" start="0" length="0">
    <dxf>
      <numFmt numFmtId="35" formatCode="_-* #,##0.00_-;\-* #,##0.00_-;_-* &quot;-&quot;??_-;_-@_-"/>
    </dxf>
  </rfmt>
  <rfmt sheetId="23" sqref="AB103" start="0" length="0">
    <dxf>
      <numFmt numFmtId="35" formatCode="_-* #,##0.00_-;\-* #,##0.00_-;_-* &quot;-&quot;??_-;_-@_-"/>
    </dxf>
  </rfmt>
  <rfmt sheetId="23" sqref="AC103" start="0" length="0">
    <dxf>
      <numFmt numFmtId="35" formatCode="_-* #,##0.00_-;\-* #,##0.00_-;_-* &quot;-&quot;??_-;_-@_-"/>
    </dxf>
  </rfmt>
  <rfmt sheetId="23" sqref="AD103" start="0" length="0">
    <dxf>
      <numFmt numFmtId="35" formatCode="_-* #,##0.00_-;\-* #,##0.00_-;_-* &quot;-&quot;??_-;_-@_-"/>
    </dxf>
  </rfmt>
  <rfmt sheetId="23" sqref="AE103" start="0" length="0">
    <dxf>
      <numFmt numFmtId="35" formatCode="_-* #,##0.00_-;\-* #,##0.00_-;_-* &quot;-&quot;??_-;_-@_-"/>
    </dxf>
  </rfmt>
  <rcc rId="13243" sId="23" odxf="1" dxf="1">
    <oc r="AG103">
      <f>C103-E103</f>
    </oc>
    <nc r="AG103"/>
    <odxf>
      <font>
        <color auto="1"/>
      </font>
      <numFmt numFmtId="4" formatCode="#,##0.00"/>
    </odxf>
    <ndxf>
      <font>
        <sz val="12"/>
        <color auto="1"/>
        <name val="Times New Roman"/>
        <scheme val="none"/>
      </font>
      <numFmt numFmtId="0" formatCode="General"/>
    </ndxf>
  </rcc>
  <rcc rId="13244" sId="23" odxf="1" s="1" dxf="1">
    <oc r="A104" t="inlineStr">
      <is>
        <t>Процессная часть в целом по муниципальной программе</t>
      </is>
    </oc>
    <nc r="A104" t="inlineStr">
      <is>
        <t>иные источники финансирования</t>
      </is>
    </nc>
    <odxf>
      <font>
        <b/>
        <i val="0"/>
        <strike val="0"/>
        <condense val="0"/>
        <extend val="0"/>
        <outline val="0"/>
        <shadow val="0"/>
        <u val="none"/>
        <vertAlign val="baseline"/>
        <sz val="12"/>
        <color auto="1"/>
        <name val="Times New Roman"/>
        <scheme val="none"/>
      </font>
      <numFmt numFmtId="0" formatCode="General"/>
      <fill>
        <patternFill patternType="solid">
          <fgColor indexed="64"/>
          <bgColor rgb="FFABF3CC"/>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4"/>
        <color auto="1"/>
        <name val="Times New Roman"/>
        <scheme val="none"/>
      </font>
      <fill>
        <patternFill patternType="none">
          <bgColor indexed="65"/>
        </patternFill>
      </fill>
      <alignment horizontal="general" vertical="center" readingOrder="0"/>
    </ndxf>
  </rcc>
  <rcc rId="13245" sId="23" odxf="1" dxf="1" numFmtId="4">
    <oc r="B104">
      <v>226191.18</v>
    </oc>
    <nc r="B104">
      <f>H104+J104+L104+N104+P104+R104+T104+V104+X104+Z104+AB104+AD104</f>
    </nc>
    <odxf>
      <font>
        <b/>
        <sz val="12"/>
        <color auto="1"/>
        <name val="Times New Roman"/>
        <scheme val="none"/>
      </font>
      <fill>
        <patternFill patternType="solid">
          <bgColor rgb="FFABF3CC"/>
        </patternFill>
      </fill>
      <border outline="0">
        <right style="thin">
          <color indexed="64"/>
        </right>
      </border>
    </odxf>
    <ndxf>
      <font>
        <b val="0"/>
        <sz val="12"/>
        <color auto="1"/>
        <name val="Times New Roman"/>
        <scheme val="none"/>
      </font>
      <fill>
        <patternFill patternType="none">
          <bgColor indexed="65"/>
        </patternFill>
      </fill>
      <border outline="0">
        <right/>
      </border>
    </ndxf>
  </rcc>
  <rcc rId="13246" sId="23" odxf="1" dxf="1" numFmtId="4">
    <oc r="C104">
      <v>108033.60999999999</v>
    </oc>
    <nc r="C104">
      <f>T104+R104+H104+J104+L104+N104+P104</f>
    </nc>
    <odxf>
      <font>
        <b/>
        <sz val="12"/>
        <color auto="1"/>
        <name val="Times New Roman"/>
        <scheme val="none"/>
      </font>
      <fill>
        <patternFill patternType="solid">
          <bgColor rgb="FFABF3CC"/>
        </patternFill>
      </fill>
      <border outline="0">
        <right style="thin">
          <color indexed="64"/>
        </right>
      </border>
    </odxf>
    <ndxf>
      <font>
        <b val="0"/>
        <sz val="12"/>
        <color auto="1"/>
        <name val="Times New Roman"/>
        <scheme val="none"/>
      </font>
      <fill>
        <patternFill patternType="none">
          <bgColor indexed="65"/>
        </patternFill>
      </fill>
      <border outline="0">
        <right/>
      </border>
    </ndxf>
  </rcc>
  <rcc rId="13247" sId="23" odxf="1" dxf="1" numFmtId="4">
    <oc r="D104">
      <v>88667.028999999995</v>
    </oc>
    <nc r="D104">
      <f>E104</f>
    </nc>
    <odxf>
      <font>
        <b/>
        <sz val="12"/>
        <color auto="1"/>
        <name val="Times New Roman"/>
        <scheme val="none"/>
      </font>
      <fill>
        <patternFill>
          <bgColor rgb="FFABF3CC"/>
        </patternFill>
      </fill>
      <border outline="0">
        <right style="thin">
          <color indexed="64"/>
        </right>
      </border>
    </odxf>
    <ndxf>
      <font>
        <b val="0"/>
        <sz val="12"/>
        <color auto="1"/>
        <name val="Times New Roman"/>
        <scheme val="none"/>
      </font>
      <fill>
        <patternFill>
          <bgColor theme="0"/>
        </patternFill>
      </fill>
      <border outline="0">
        <right/>
      </border>
    </ndxf>
  </rcc>
  <rcc rId="13248" sId="23" odxf="1" dxf="1" numFmtId="4">
    <oc r="E104">
      <v>88667.028999999995</v>
    </oc>
    <nc r="E104">
      <f>I104+K104+M104+O104+Q104+S104+U104+W104+Y104+AA104+AC104+AE104</f>
    </nc>
    <odxf>
      <font>
        <b/>
        <sz val="12"/>
        <color auto="1"/>
        <name val="Times New Roman"/>
        <scheme val="none"/>
      </font>
      <fill>
        <patternFill>
          <bgColor rgb="FFABF3CC"/>
        </patternFill>
      </fill>
      <border outline="0">
        <right style="thin">
          <color indexed="64"/>
        </right>
      </border>
    </odxf>
    <ndxf>
      <font>
        <b val="0"/>
        <sz val="12"/>
        <color auto="1"/>
        <name val="Times New Roman"/>
        <scheme val="none"/>
      </font>
      <fill>
        <patternFill>
          <bgColor theme="0"/>
        </patternFill>
      </fill>
      <border outline="0">
        <right/>
      </border>
    </ndxf>
  </rcc>
  <rcc rId="13249" sId="23" odxf="1" s="1" dxf="1" numFmtId="4">
    <oc r="F104">
      <v>39.20003821546004</v>
    </oc>
    <nc r="F104">
      <f>IFERROR(E104/B104%,0)</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fill>
        <patternFill patternType="none">
          <bgColor indexed="65"/>
        </patternFill>
      </fill>
      <alignment wrapText="0" readingOrder="0"/>
    </ndxf>
  </rcc>
  <rcc rId="13250" sId="23" odxf="1" s="1" dxf="1" numFmtId="4">
    <oc r="G104">
      <v>82.073559330286201</v>
    </oc>
    <nc r="G104">
      <f>IFERROR(E104/C104%,0)</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b val="0"/>
        <sz val="12"/>
        <color auto="1"/>
        <name val="Times New Roman"/>
        <scheme val="none"/>
      </font>
      <fill>
        <patternFill patternType="none">
          <bgColor indexed="65"/>
        </patternFill>
      </fill>
      <alignment wrapText="0" readingOrder="0"/>
    </ndxf>
  </rcc>
  <rcc rId="13251" sId="23" odxf="1" s="1" dxf="1" numFmtId="34">
    <oc r="H104">
      <v>11190.23</v>
    </oc>
    <nc r="H104">
      <f>'D:\user\Documents\Программы\Сетевые графики\Отчет на 01.08.2024\[Сетевой график за июль.xlsx]УКС'!H86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2" sId="23" odxf="1" s="1" dxf="1" numFmtId="34">
    <oc r="I104">
      <v>6245.2199999999993</v>
    </oc>
    <nc r="I104">
      <f>'D:\user\Documents\Программы\Сетевые графики\Отчет на 01.08.2024\[Сетевой график за июль.xlsx]УКС'!I86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3" sId="23" odxf="1" s="1" dxf="1" numFmtId="34">
    <oc r="J104">
      <v>27861.269999999997</v>
    </oc>
    <nc r="J104">
      <f>'D:\user\Documents\Программы\Сетевые графики\Отчет на 01.08.2024\[Сетевой график за июль.xlsx]УКС'!J86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4" sId="23" odxf="1" s="1" dxf="1" numFmtId="34">
    <oc r="K104">
      <v>24733.738999999994</v>
    </oc>
    <nc r="K104">
      <f>'D:\user\Documents\Программы\Сетевые графики\Отчет на 01.08.2024\[Сетевой график за июль.xlsx]УКС'!K86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5" sId="23" odxf="1" s="1" dxf="1" numFmtId="34">
    <oc r="L104">
      <v>27336.820000000003</v>
    </oc>
    <nc r="L104">
      <f>'D:\user\Documents\Программы\Сетевые графики\Отчет на 01.08.2024\[Сетевой график за июль.xlsx]УКС'!L86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6" sId="23" odxf="1" s="1" dxf="1" numFmtId="34">
    <oc r="M104">
      <v>22894.920000000002</v>
    </oc>
    <nc r="M104">
      <f>'D:\user\Documents\Программы\Сетевые графики\Отчет на 01.08.2024\[Сетевой график за июль.xlsx]УКС'!M86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7" sId="23" odxf="1" s="1" dxf="1" numFmtId="34">
    <oc r="N104">
      <v>25838.53</v>
    </oc>
    <nc r="N104">
      <f>'D:\user\Documents\Программы\Сетевые графики\Отчет на 01.08.2024\[Сетевой график за июль.xlsx]УКС'!N86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8" sId="23" odxf="1" s="1" dxf="1" numFmtId="34">
    <oc r="O104">
      <v>22247.9</v>
    </oc>
    <nc r="O104">
      <f>'D:\user\Documents\Программы\Сетевые графики\Отчет на 01.08.2024\[Сетевой график за июль.xlsx]УКС'!O86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59" sId="23" odxf="1" s="1" dxf="1" numFmtId="34">
    <oc r="P104">
      <v>15806.76</v>
    </oc>
    <nc r="P104">
      <f>'D:\user\Documents\Программы\Сетевые графики\Отчет на 01.08.2024\[Сетевой график за июль.xlsx]УКС'!P86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0" sId="23" odxf="1" s="1" dxf="1" numFmtId="34">
    <oc r="Q104">
      <v>12545.25</v>
    </oc>
    <nc r="Q104">
      <f>'D:\user\Documents\Программы\Сетевые графики\Отчет на 01.08.2024\[Сетевой график за июль.xlsx]УКС'!Q86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1" sId="23" odxf="1" s="1" dxf="1" numFmtId="34">
    <oc r="R104">
      <v>15383.699999999997</v>
    </oc>
    <nc r="R104">
      <f>'D:\user\Documents\Программы\Сетевые графики\Отчет на 01.08.2024\[Сетевой график за июль.xlsx]УКС'!R86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2" sId="23" odxf="1" s="1" dxf="1" numFmtId="34">
    <oc r="S104">
      <v>0</v>
    </oc>
    <nc r="S104">
      <f>'D:\user\Documents\Программы\Сетевые графики\Отчет на 01.08.2024\[Сетевой график за июль.xlsx]УКС'!S86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3" sId="23" odxf="1" s="1" dxf="1" numFmtId="34">
    <oc r="T104">
      <v>10834.150000000001</v>
    </oc>
    <nc r="T104">
      <f>'D:\user\Documents\Программы\Сетевые графики\Отчет на 01.08.2024\[Сетевой график за июль.xlsx]УКС'!T86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4" sId="23" odxf="1" s="1" dxf="1" numFmtId="34">
    <oc r="U104">
      <v>0</v>
    </oc>
    <nc r="U104">
      <f>'D:\user\Documents\Программы\Сетевые графики\Отчет на 01.08.2024\[Сетевой график за июль.xlsx]УКС'!U86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5" sId="23" odxf="1" s="1" dxf="1" numFmtId="34">
    <oc r="V104">
      <v>11543.419999999998</v>
    </oc>
    <nc r="V104">
      <f>'D:\user\Documents\Программы\Сетевые графики\Отчет на 01.08.2024\[Сетевой график за июль.xlsx]УКС'!V86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6" sId="23" odxf="1" s="1" dxf="1" numFmtId="34">
    <oc r="W104">
      <v>0</v>
    </oc>
    <nc r="W104">
      <f>'D:\user\Documents\Программы\Сетевые графики\Отчет на 01.08.2024\[Сетевой график за июль.xlsx]УКС'!W86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7" sId="23" odxf="1" s="1" dxf="1" numFmtId="34">
    <oc r="X104">
      <v>10463.460000000001</v>
    </oc>
    <nc r="X104">
      <f>'D:\user\Documents\Программы\Сетевые графики\Отчет на 01.08.2024\[Сетевой график за июль.xlsx]УКС'!X86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8" sId="23" odxf="1" s="1" dxf="1" numFmtId="34">
    <oc r="Y104">
      <v>0</v>
    </oc>
    <nc r="Y104">
      <f>'D:\user\Documents\Программы\Сетевые графики\Отчет на 01.08.2024\[Сетевой график за июль.xlsx]УКС'!Y86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69" sId="23" odxf="1" s="1" dxf="1" numFmtId="34">
    <oc r="Z104">
      <v>34858.969999999994</v>
    </oc>
    <nc r="Z104">
      <f>'D:\user\Documents\Программы\Сетевые графики\Отчет на 01.08.2024\[Сетевой график за июль.xlsx]УКС'!Z86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70" sId="23" odxf="1" s="1" dxf="1" numFmtId="34">
    <oc r="AA104">
      <v>0</v>
    </oc>
    <nc r="AA104">
      <f>'D:\user\Documents\Программы\Сетевые графики\Отчет на 01.08.2024\[Сетевой график за июль.xlsx]УКС'!AA86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71" sId="23" odxf="1" s="1" dxf="1" numFmtId="34">
    <oc r="AB104">
      <v>22038.080000000002</v>
    </oc>
    <nc r="AB104">
      <f>'D:\user\Documents\Программы\Сетевые графики\Отчет на 01.08.2024\[Сетевой график за июль.xlsx]УКС'!AB86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72" sId="23" odxf="1" s="1" dxf="1" numFmtId="34">
    <oc r="AC104">
      <v>0</v>
    </oc>
    <nc r="AC104">
      <f>'D:\user\Documents\Программы\Сетевые графики\Отчет на 01.08.2024\[Сетевой график за июль.xlsx]УКС'!AC86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73" sId="23" odxf="1" s="1" dxf="1" numFmtId="34">
    <oc r="AD104">
      <v>13035.79</v>
    </oc>
    <nc r="AD104">
      <f>'D:\user\Documents\Программы\Сетевые графики\Отчет на 01.08.2024\[Сетевой график за июль.xlsx]УКС'!AD86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74" sId="23" odxf="1" s="1" dxf="1" numFmtId="34">
    <oc r="AE104">
      <v>0</v>
    </oc>
    <nc r="AE104">
      <f>'D:\user\Documents\Программы\Сетевые графики\Отчет на 01.08.2024\[Сетевой график за июль.xlsx]УКС'!AE86</f>
    </nc>
    <odxf>
      <font>
        <b/>
        <i val="0"/>
        <strike val="0"/>
        <condense val="0"/>
        <extend val="0"/>
        <outline val="0"/>
        <shadow val="0"/>
        <u val="none"/>
        <vertAlign val="baseline"/>
        <sz val="12"/>
        <color auto="1"/>
        <name val="Times New Roman"/>
        <scheme val="none"/>
      </font>
      <numFmt numFmtId="4" formatCode="#,##0.00"/>
      <fill>
        <patternFill patternType="solid">
          <fgColor indexed="64"/>
          <bgColor rgb="FFABF3CC"/>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odxf>
    <ndxf>
      <font>
        <sz val="14"/>
        <color auto="1"/>
        <name val="Times New Roman"/>
        <scheme val="none"/>
      </font>
      <numFmt numFmtId="170" formatCode="_(* #,##0.00_);_(* \(#,##0.00\);_(* &quot;-&quot;??_);_(@_)"/>
      <fill>
        <patternFill patternType="none">
          <bgColor indexed="65"/>
        </patternFill>
      </fill>
      <alignment horizontal="general" readingOrder="0"/>
    </ndxf>
  </rcc>
  <rcc rId="13275" sId="23" odxf="1" s="1" dxf="1">
    <oc r="AG104">
      <f>C104-E104</f>
    </oc>
    <nc r="AG104"/>
    <o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0" formatCode="General"/>
      <alignment vertical="center" wrapText="1" readingOrder="0"/>
    </ndxf>
  </rcc>
  <rfmt sheetId="23" s="1" sqref="A104:XFD104" start="0" length="0">
    <dxf>
      <font>
        <b/>
        <sz val="12"/>
        <color auto="1"/>
        <name val="Times New Roman"/>
        <scheme val="none"/>
      </font>
      <alignment vertical="center" wrapText="1" readingOrder="0"/>
    </dxf>
  </rfmt>
  <rcc rId="13276" sId="23" odxf="1" dxf="1">
    <oc r="A105" t="inlineStr">
      <is>
        <t>федеральный бюджет</t>
      </is>
    </oc>
    <nc r="A105" t="inlineStr">
      <is>
        <t>Всего по муниципальной программе:</t>
      </is>
    </nc>
    <odxf>
      <font>
        <b val="0"/>
        <sz val="12"/>
        <color auto="1"/>
        <name val="Times New Roman"/>
        <scheme val="none"/>
      </font>
      <fill>
        <patternFill patternType="none">
          <bgColor indexed="65"/>
        </patternFill>
      </fill>
      <alignment vertical="center" readingOrder="0"/>
    </odxf>
    <ndxf>
      <font>
        <b/>
        <sz val="12"/>
        <color auto="1"/>
        <name val="Times New Roman"/>
        <scheme val="none"/>
      </font>
      <fill>
        <patternFill patternType="solid">
          <bgColor theme="0" tint="-0.249977111117893"/>
        </patternFill>
      </fill>
      <alignment vertical="top" readingOrder="0"/>
    </ndxf>
  </rcc>
  <rcc rId="13277" sId="23" odxf="1" dxf="1" numFmtId="4">
    <oc r="B105">
      <v>0</v>
    </oc>
    <nc r="B105">
      <f>B107+B108+B106+B110</f>
    </nc>
    <odxf>
      <font>
        <b val="0"/>
        <sz val="12"/>
        <color auto="1"/>
        <name val="Times New Roman"/>
        <scheme val="none"/>
      </font>
      <fill>
        <patternFill patternType="solid">
          <bgColor rgb="FF92D050"/>
        </patternFill>
      </fill>
    </odxf>
    <ndxf>
      <font>
        <b/>
        <sz val="12"/>
        <color auto="1"/>
        <name val="Times New Roman"/>
        <scheme val="none"/>
      </font>
      <fill>
        <patternFill patternType="none">
          <bgColor indexed="65"/>
        </patternFill>
      </fill>
    </ndxf>
  </rcc>
  <rcc rId="13278" sId="23" odxf="1" dxf="1" numFmtId="4">
    <oc r="C105">
      <v>0</v>
    </oc>
    <nc r="C105">
      <f>C107+C108+C106+C110</f>
    </nc>
    <odxf>
      <font>
        <b val="0"/>
        <sz val="12"/>
        <color auto="1"/>
        <name val="Times New Roman"/>
        <scheme val="none"/>
      </font>
    </odxf>
    <ndxf>
      <font>
        <b/>
        <sz val="12"/>
        <color auto="1"/>
        <name val="Times New Roman"/>
        <scheme val="none"/>
      </font>
    </ndxf>
  </rcc>
  <rcc rId="13279" sId="23" odxf="1" dxf="1" numFmtId="4">
    <oc r="D105">
      <v>0</v>
    </oc>
    <nc r="D105">
      <f>D107+D108+D106+D110</f>
    </nc>
    <odxf>
      <font>
        <b val="0"/>
        <sz val="12"/>
        <color auto="1"/>
        <name val="Times New Roman"/>
        <scheme val="none"/>
      </font>
    </odxf>
    <ndxf>
      <font>
        <b/>
        <sz val="12"/>
        <color auto="1"/>
        <name val="Times New Roman"/>
        <scheme val="none"/>
      </font>
    </ndxf>
  </rcc>
  <rcc rId="13280" sId="23" odxf="1" dxf="1" numFmtId="4">
    <oc r="E105">
      <v>0</v>
    </oc>
    <nc r="E105">
      <f>E107+E108+E106+E110</f>
    </nc>
    <odxf>
      <font>
        <b val="0"/>
        <sz val="12"/>
        <color auto="1"/>
        <name val="Times New Roman"/>
        <scheme val="none"/>
      </font>
    </odxf>
    <ndxf>
      <font>
        <b/>
        <sz val="12"/>
        <color auto="1"/>
        <name val="Times New Roman"/>
        <scheme val="none"/>
      </font>
    </ndxf>
  </rcc>
  <rcc rId="13281" sId="23" odxf="1" dxf="1" numFmtId="4">
    <oc r="F105">
      <v>0</v>
    </oc>
    <nc r="F105">
      <f>E105/B105*100</f>
    </nc>
    <odxf>
      <font>
        <b val="0"/>
        <sz val="12"/>
        <color auto="1"/>
        <name val="Times New Roman"/>
        <scheme val="none"/>
      </font>
      <fill>
        <patternFill patternType="solid">
          <bgColor theme="0"/>
        </patternFill>
      </fill>
    </odxf>
    <ndxf>
      <font>
        <b/>
        <sz val="12"/>
        <color auto="1"/>
        <name val="Times New Roman"/>
        <scheme val="none"/>
      </font>
      <fill>
        <patternFill patternType="none">
          <bgColor indexed="65"/>
        </patternFill>
      </fill>
    </ndxf>
  </rcc>
  <rcc rId="13282" sId="23" odxf="1" dxf="1" numFmtId="4">
    <oc r="G105">
      <v>0</v>
    </oc>
    <nc r="G105">
      <f>E105/C105*100</f>
    </nc>
    <odxf>
      <font>
        <b val="0"/>
        <sz val="12"/>
        <color auto="1"/>
        <name val="Times New Roman"/>
        <scheme val="none"/>
      </font>
    </odxf>
    <ndxf>
      <font>
        <b/>
        <sz val="12"/>
        <color auto="1"/>
        <name val="Times New Roman"/>
        <scheme val="none"/>
      </font>
    </ndxf>
  </rcc>
  <rcc rId="13283" sId="23" odxf="1" dxf="1" numFmtId="4">
    <oc r="H105">
      <v>0</v>
    </oc>
    <nc r="H105">
      <f>H107+H108</f>
    </nc>
    <odxf>
      <font>
        <b val="0"/>
        <sz val="12"/>
        <color auto="1"/>
        <name val="Times New Roman"/>
        <scheme val="none"/>
      </font>
    </odxf>
    <ndxf>
      <font>
        <b/>
        <sz val="12"/>
        <color auto="1"/>
        <name val="Times New Roman"/>
        <scheme val="none"/>
      </font>
    </ndxf>
  </rcc>
  <rcc rId="13284" sId="23" odxf="1" dxf="1" numFmtId="4">
    <oc r="I105">
      <v>0</v>
    </oc>
    <nc r="I105">
      <f>I107+I108</f>
    </nc>
    <odxf>
      <font>
        <b val="0"/>
        <sz val="12"/>
        <color auto="1"/>
        <name val="Times New Roman"/>
        <scheme val="none"/>
      </font>
    </odxf>
    <ndxf>
      <font>
        <b/>
        <sz val="12"/>
        <color auto="1"/>
        <name val="Times New Roman"/>
        <scheme val="none"/>
      </font>
    </ndxf>
  </rcc>
  <rcc rId="13285" sId="23" odxf="1" dxf="1" numFmtId="4">
    <oc r="J105">
      <v>0</v>
    </oc>
    <nc r="J105">
      <f>J107+J108</f>
    </nc>
    <odxf>
      <font>
        <b val="0"/>
        <sz val="12"/>
        <color auto="1"/>
        <name val="Times New Roman"/>
        <scheme val="none"/>
      </font>
    </odxf>
    <ndxf>
      <font>
        <b/>
        <sz val="12"/>
        <color auto="1"/>
        <name val="Times New Roman"/>
        <scheme val="none"/>
      </font>
    </ndxf>
  </rcc>
  <rcc rId="13286" sId="23" odxf="1" dxf="1" numFmtId="4">
    <oc r="K105">
      <v>0</v>
    </oc>
    <nc r="K105">
      <f>K107+K108</f>
    </nc>
    <odxf>
      <font>
        <b val="0"/>
        <sz val="12"/>
        <color auto="1"/>
        <name val="Times New Roman"/>
        <scheme val="none"/>
      </font>
    </odxf>
    <ndxf>
      <font>
        <b/>
        <sz val="12"/>
        <color auto="1"/>
        <name val="Times New Roman"/>
        <scheme val="none"/>
      </font>
    </ndxf>
  </rcc>
  <rcc rId="13287" sId="23" odxf="1" dxf="1" numFmtId="4">
    <oc r="L105">
      <v>0</v>
    </oc>
    <nc r="L105">
      <f>L107+L108</f>
    </nc>
    <odxf>
      <font>
        <b val="0"/>
        <sz val="12"/>
        <color auto="1"/>
        <name val="Times New Roman"/>
        <scheme val="none"/>
      </font>
    </odxf>
    <ndxf>
      <font>
        <b/>
        <sz val="12"/>
        <color auto="1"/>
        <name val="Times New Roman"/>
        <scheme val="none"/>
      </font>
    </ndxf>
  </rcc>
  <rcc rId="13288" sId="23" odxf="1" dxf="1" numFmtId="4">
    <oc r="M105">
      <v>0</v>
    </oc>
    <nc r="M105">
      <f>M107+M108</f>
    </nc>
    <odxf>
      <font>
        <b val="0"/>
        <sz val="12"/>
        <color auto="1"/>
        <name val="Times New Roman"/>
        <scheme val="none"/>
      </font>
    </odxf>
    <ndxf>
      <font>
        <b/>
        <sz val="12"/>
        <color auto="1"/>
        <name val="Times New Roman"/>
        <scheme val="none"/>
      </font>
    </ndxf>
  </rcc>
  <rcc rId="13289" sId="23" odxf="1" dxf="1" numFmtId="4">
    <oc r="N105">
      <v>0</v>
    </oc>
    <nc r="N105">
      <f>N107+N108</f>
    </nc>
    <odxf>
      <font>
        <b val="0"/>
        <sz val="12"/>
        <color auto="1"/>
        <name val="Times New Roman"/>
        <scheme val="none"/>
      </font>
    </odxf>
    <ndxf>
      <font>
        <b/>
        <sz val="12"/>
        <color auto="1"/>
        <name val="Times New Roman"/>
        <scheme val="none"/>
      </font>
    </ndxf>
  </rcc>
  <rcc rId="13290" sId="23" odxf="1" dxf="1" numFmtId="4">
    <oc r="O105">
      <v>0</v>
    </oc>
    <nc r="O105">
      <f>O107+O108</f>
    </nc>
    <odxf>
      <font>
        <b val="0"/>
        <sz val="12"/>
        <color auto="1"/>
        <name val="Times New Roman"/>
        <scheme val="none"/>
      </font>
    </odxf>
    <ndxf>
      <font>
        <b/>
        <sz val="12"/>
        <color auto="1"/>
        <name val="Times New Roman"/>
        <scheme val="none"/>
      </font>
    </ndxf>
  </rcc>
  <rcc rId="13291" sId="23" odxf="1" dxf="1" numFmtId="4">
    <oc r="P105">
      <v>0</v>
    </oc>
    <nc r="P105">
      <f>P107+P108</f>
    </nc>
    <odxf>
      <font>
        <b val="0"/>
        <sz val="12"/>
        <color auto="1"/>
        <name val="Times New Roman"/>
        <scheme val="none"/>
      </font>
    </odxf>
    <ndxf>
      <font>
        <b/>
        <sz val="12"/>
        <color auto="1"/>
        <name val="Times New Roman"/>
        <scheme val="none"/>
      </font>
    </ndxf>
  </rcc>
  <rcc rId="13292" sId="23" odxf="1" dxf="1" numFmtId="4">
    <oc r="Q105">
      <v>0</v>
    </oc>
    <nc r="Q105">
      <f>Q107+Q108</f>
    </nc>
    <odxf>
      <font>
        <b val="0"/>
        <sz val="12"/>
        <color auto="1"/>
        <name val="Times New Roman"/>
        <scheme val="none"/>
      </font>
    </odxf>
    <ndxf>
      <font>
        <b/>
        <sz val="12"/>
        <color auto="1"/>
        <name val="Times New Roman"/>
        <scheme val="none"/>
      </font>
    </ndxf>
  </rcc>
  <rcc rId="13293" sId="23" odxf="1" dxf="1" numFmtId="4">
    <oc r="R105">
      <v>0</v>
    </oc>
    <nc r="R105">
      <f>R107+R108</f>
    </nc>
    <odxf>
      <font>
        <b val="0"/>
        <sz val="12"/>
        <color auto="1"/>
        <name val="Times New Roman"/>
        <scheme val="none"/>
      </font>
    </odxf>
    <ndxf>
      <font>
        <b/>
        <sz val="12"/>
        <color auto="1"/>
        <name val="Times New Roman"/>
        <scheme val="none"/>
      </font>
    </ndxf>
  </rcc>
  <rcc rId="13294" sId="23" odxf="1" dxf="1" numFmtId="4">
    <oc r="S105">
      <v>0</v>
    </oc>
    <nc r="S105">
      <f>S107+S108</f>
    </nc>
    <odxf>
      <font>
        <b val="0"/>
        <sz val="12"/>
        <color auto="1"/>
        <name val="Times New Roman"/>
        <scheme val="none"/>
      </font>
    </odxf>
    <ndxf>
      <font>
        <b/>
        <sz val="12"/>
        <color auto="1"/>
        <name val="Times New Roman"/>
        <scheme val="none"/>
      </font>
    </ndxf>
  </rcc>
  <rcc rId="13295" sId="23" odxf="1" dxf="1" numFmtId="4">
    <oc r="T105">
      <v>0</v>
    </oc>
    <nc r="T105">
      <f>T107+T108</f>
    </nc>
    <odxf>
      <font>
        <b val="0"/>
        <sz val="12"/>
        <color auto="1"/>
        <name val="Times New Roman"/>
        <scheme val="none"/>
      </font>
    </odxf>
    <ndxf>
      <font>
        <b/>
        <sz val="12"/>
        <color auto="1"/>
        <name val="Times New Roman"/>
        <scheme val="none"/>
      </font>
    </ndxf>
  </rcc>
  <rcc rId="13296" sId="23" odxf="1" dxf="1" numFmtId="4">
    <oc r="U105">
      <v>0</v>
    </oc>
    <nc r="U105">
      <f>U107+U108</f>
    </nc>
    <odxf>
      <font>
        <b val="0"/>
        <sz val="12"/>
        <color auto="1"/>
        <name val="Times New Roman"/>
        <scheme val="none"/>
      </font>
    </odxf>
    <ndxf>
      <font>
        <b/>
        <sz val="12"/>
        <color auto="1"/>
        <name val="Times New Roman"/>
        <scheme val="none"/>
      </font>
    </ndxf>
  </rcc>
  <rcc rId="13297" sId="23" odxf="1" dxf="1" numFmtId="4">
    <oc r="V105">
      <v>0</v>
    </oc>
    <nc r="V105">
      <f>V107+V108</f>
    </nc>
    <odxf>
      <font>
        <b val="0"/>
        <sz val="12"/>
        <color auto="1"/>
        <name val="Times New Roman"/>
        <scheme val="none"/>
      </font>
    </odxf>
    <ndxf>
      <font>
        <b/>
        <sz val="12"/>
        <color auto="1"/>
        <name val="Times New Roman"/>
        <scheme val="none"/>
      </font>
    </ndxf>
  </rcc>
  <rcc rId="13298" sId="23" odxf="1" dxf="1" numFmtId="4">
    <oc r="W105">
      <v>0</v>
    </oc>
    <nc r="W105">
      <f>W107+W108</f>
    </nc>
    <odxf>
      <font>
        <b val="0"/>
        <sz val="12"/>
        <color auto="1"/>
        <name val="Times New Roman"/>
        <scheme val="none"/>
      </font>
    </odxf>
    <ndxf>
      <font>
        <b/>
        <sz val="12"/>
        <color auto="1"/>
        <name val="Times New Roman"/>
        <scheme val="none"/>
      </font>
    </ndxf>
  </rcc>
  <rcc rId="13299" sId="23" odxf="1" dxf="1" numFmtId="4">
    <oc r="X105">
      <v>0</v>
    </oc>
    <nc r="X105">
      <f>X107+X108</f>
    </nc>
    <odxf>
      <font>
        <b val="0"/>
        <sz val="12"/>
        <color auto="1"/>
        <name val="Times New Roman"/>
        <scheme val="none"/>
      </font>
    </odxf>
    <ndxf>
      <font>
        <b/>
        <sz val="12"/>
        <color auto="1"/>
        <name val="Times New Roman"/>
        <scheme val="none"/>
      </font>
    </ndxf>
  </rcc>
  <rcc rId="13300" sId="23" odxf="1" dxf="1" numFmtId="4">
    <oc r="Y105">
      <v>0</v>
    </oc>
    <nc r="Y105">
      <f>Y107+Y108</f>
    </nc>
    <odxf>
      <font>
        <b val="0"/>
        <sz val="12"/>
        <color auto="1"/>
        <name val="Times New Roman"/>
        <scheme val="none"/>
      </font>
    </odxf>
    <ndxf>
      <font>
        <b/>
        <sz val="12"/>
        <color auto="1"/>
        <name val="Times New Roman"/>
        <scheme val="none"/>
      </font>
    </ndxf>
  </rcc>
  <rcc rId="13301" sId="23" odxf="1" dxf="1" numFmtId="4">
    <oc r="Z105">
      <v>0</v>
    </oc>
    <nc r="Z105">
      <f>Z107+Z108</f>
    </nc>
    <odxf>
      <font>
        <b val="0"/>
        <sz val="12"/>
        <color auto="1"/>
        <name val="Times New Roman"/>
        <scheme val="none"/>
      </font>
    </odxf>
    <ndxf>
      <font>
        <b/>
        <sz val="12"/>
        <color auto="1"/>
        <name val="Times New Roman"/>
        <scheme val="none"/>
      </font>
    </ndxf>
  </rcc>
  <rcc rId="13302" sId="23" odxf="1" dxf="1" numFmtId="4">
    <oc r="AA105">
      <v>0</v>
    </oc>
    <nc r="AA105">
      <f>AA107+AA108</f>
    </nc>
    <odxf>
      <font>
        <b val="0"/>
        <sz val="12"/>
        <color auto="1"/>
        <name val="Times New Roman"/>
        <scheme val="none"/>
      </font>
    </odxf>
    <ndxf>
      <font>
        <b/>
        <sz val="12"/>
        <color auto="1"/>
        <name val="Times New Roman"/>
        <scheme val="none"/>
      </font>
    </ndxf>
  </rcc>
  <rcc rId="13303" sId="23" odxf="1" dxf="1" numFmtId="4">
    <oc r="AB105">
      <v>0</v>
    </oc>
    <nc r="AB105">
      <f>AB107+AB108</f>
    </nc>
    <odxf>
      <font>
        <b val="0"/>
        <sz val="12"/>
        <color auto="1"/>
        <name val="Times New Roman"/>
        <scheme val="none"/>
      </font>
    </odxf>
    <ndxf>
      <font>
        <b/>
        <sz val="12"/>
        <color auto="1"/>
        <name val="Times New Roman"/>
        <scheme val="none"/>
      </font>
    </ndxf>
  </rcc>
  <rcc rId="13304" sId="23" odxf="1" dxf="1" numFmtId="4">
    <oc r="AC105">
      <v>0</v>
    </oc>
    <nc r="AC105">
      <f>AC107+AC108</f>
    </nc>
    <odxf>
      <font>
        <b val="0"/>
        <sz val="12"/>
        <color auto="1"/>
        <name val="Times New Roman"/>
        <scheme val="none"/>
      </font>
    </odxf>
    <ndxf>
      <font>
        <b/>
        <sz val="12"/>
        <color auto="1"/>
        <name val="Times New Roman"/>
        <scheme val="none"/>
      </font>
    </ndxf>
  </rcc>
  <rcc rId="13305" sId="23" odxf="1" dxf="1" numFmtId="4">
    <oc r="AD105">
      <v>0</v>
    </oc>
    <nc r="AD105">
      <f>AD107+AD108</f>
    </nc>
    <odxf>
      <font>
        <b val="0"/>
        <sz val="12"/>
        <color auto="1"/>
        <name val="Times New Roman"/>
        <scheme val="none"/>
      </font>
    </odxf>
    <ndxf>
      <font>
        <b/>
        <sz val="12"/>
        <color auto="1"/>
        <name val="Times New Roman"/>
        <scheme val="none"/>
      </font>
    </ndxf>
  </rcc>
  <rcc rId="13306" sId="23" odxf="1" dxf="1" numFmtId="4">
    <oc r="AE105">
      <v>0</v>
    </oc>
    <nc r="AE105">
      <f>AE107+AE108</f>
    </nc>
    <odxf>
      <font>
        <b val="0"/>
        <sz val="12"/>
        <color auto="1"/>
        <name val="Times New Roman"/>
        <scheme val="none"/>
      </font>
    </odxf>
    <ndxf>
      <font>
        <b/>
        <sz val="12"/>
        <color auto="1"/>
        <name val="Times New Roman"/>
        <scheme val="none"/>
      </font>
    </ndxf>
  </rcc>
  <rfmt sheetId="23" sqref="AF105" start="0" length="0">
    <dxf>
      <border outline="0">
        <top style="thin">
          <color indexed="64"/>
        </top>
      </border>
    </dxf>
  </rfmt>
  <rcc rId="13307" sId="23" odxf="1" dxf="1">
    <oc r="AG105">
      <f>C105-E105</f>
    </oc>
    <nc r="AG105"/>
    <odxf>
      <font>
        <color auto="1"/>
      </font>
      <numFmt numFmtId="4" formatCode="#,##0.00"/>
    </odxf>
    <ndxf>
      <font>
        <sz val="12"/>
        <color auto="1"/>
        <name val="Times New Roman"/>
        <scheme val="none"/>
      </font>
      <numFmt numFmtId="0" formatCode="General"/>
    </ndxf>
  </rcc>
  <rcc rId="13308" sId="23" odxf="1" dxf="1">
    <oc r="A106" t="inlineStr">
      <is>
        <t>бюджет автономного округа</t>
      </is>
    </oc>
    <nc r="A106" t="inlineStr">
      <is>
        <t>федеральный бюджет</t>
      </is>
    </nc>
    <odxf>
      <alignment vertical="top" wrapText="1" readingOrder="0"/>
    </odxf>
    <ndxf>
      <alignment vertical="center" wrapText="0" readingOrder="0"/>
    </ndxf>
  </rcc>
  <rcc rId="13309" sId="23" odxf="1" dxf="1" numFmtId="4">
    <oc r="B106">
      <v>1587.5</v>
    </oc>
    <nc r="B106">
      <f>B112</f>
    </nc>
    <odxf>
      <fill>
        <patternFill patternType="solid">
          <bgColor rgb="FF92D050"/>
        </patternFill>
      </fill>
    </odxf>
    <ndxf>
      <fill>
        <patternFill patternType="none">
          <bgColor indexed="65"/>
        </patternFill>
      </fill>
    </ndxf>
  </rcc>
  <rcc rId="13310" sId="23" odxf="1" dxf="1" numFmtId="4">
    <oc r="C106">
      <v>595.29999999999995</v>
    </oc>
    <nc r="C106">
      <f>C112</f>
    </nc>
    <odxf/>
    <ndxf/>
  </rcc>
  <rcc rId="13311" sId="23" numFmtId="4">
    <oc r="D106">
      <v>378.12</v>
    </oc>
    <nc r="D106">
      <f>D112</f>
    </nc>
  </rcc>
  <rcc rId="13312" sId="23" numFmtId="4">
    <oc r="E106">
      <v>378.12</v>
    </oc>
    <nc r="E106">
      <f>E112</f>
    </nc>
  </rcc>
  <rcc rId="13313" sId="23" numFmtId="4">
    <oc r="F106">
      <v>23.818582677165352</v>
    </oc>
    <nc r="F106">
      <f>IFERROR(E106/B106*100,0)</f>
    </nc>
  </rcc>
  <rcc rId="13314" sId="23" numFmtId="4">
    <oc r="G106">
      <v>63.517554174365877</v>
    </oc>
    <nc r="G106">
      <f>IFERROR(E106/C106*100,0)</f>
    </nc>
  </rcc>
  <rcc rId="13315" sId="23" numFmtId="4">
    <oc r="H106">
      <v>526.79999999999995</v>
    </oc>
    <nc r="H106">
      <f>H100+H9+H44+H65+H72+H79+H86+H93</f>
    </nc>
  </rcc>
  <rcc rId="13316" sId="23" numFmtId="4">
    <oc r="I106">
      <v>248.69</v>
    </oc>
    <nc r="I106">
      <f>I100+I9+I44+I65+I72+I79+I86+I93</f>
    </nc>
  </rcc>
  <rcc rId="13317" sId="23" numFmtId="4">
    <oc r="J106">
      <v>68.5</v>
    </oc>
    <nc r="J106">
      <f>J100+J9+J44+J65+J72+J79+J86+J93</f>
    </nc>
  </rcc>
  <rcc rId="13318" sId="23" numFmtId="4">
    <oc r="K106">
      <v>129.43</v>
    </oc>
    <nc r="K106">
      <f>K100+K9+K44+K65+K72+K79+K86+K93</f>
    </nc>
  </rcc>
  <rcc rId="13319" sId="23" numFmtId="4">
    <oc r="L106">
      <v>0</v>
    </oc>
    <nc r="L106">
      <f>L100+L9+L44+L65+L72+L79+L86+L93</f>
    </nc>
  </rcc>
  <rcc rId="13320" sId="23" numFmtId="4">
    <oc r="M106">
      <v>0</v>
    </oc>
    <nc r="M106">
      <f>M100+M9+M44+M65+M72+M79+M86+M93</f>
    </nc>
  </rcc>
  <rcc rId="13321" sId="23" numFmtId="4">
    <oc r="N106">
      <v>0</v>
    </oc>
    <nc r="N106">
      <f>N100+N9+N44+N65+N72+N79+N86+N93</f>
    </nc>
  </rcc>
  <rcc rId="13322" sId="23" numFmtId="4">
    <oc r="O106">
      <v>0</v>
    </oc>
    <nc r="O106">
      <f>O100+O9+O44+O65+O72+O79+O86+O93</f>
    </nc>
  </rcc>
  <rcc rId="13323" sId="23" numFmtId="4">
    <oc r="P106">
      <v>0</v>
    </oc>
    <nc r="P106">
      <f>P100+P9+P44+P65+P72+P79+P86+P93</f>
    </nc>
  </rcc>
  <rcc rId="13324" sId="23" numFmtId="4">
    <oc r="Q106">
      <v>0</v>
    </oc>
    <nc r="Q106">
      <f>Q100+Q9+Q44+Q65+Q72+Q79+Q86+Q93</f>
    </nc>
  </rcc>
  <rcc rId="13325" sId="23" numFmtId="4">
    <oc r="R106">
      <v>0</v>
    </oc>
    <nc r="R106">
      <f>R100+R9+R44+R65+R72+R79+R86+R93</f>
    </nc>
  </rcc>
  <rcc rId="13326" sId="23" numFmtId="4">
    <oc r="S106">
      <v>0</v>
    </oc>
    <nc r="S106">
      <f>S100+S9+S44+S65+S72+S79+S86+S93</f>
    </nc>
  </rcc>
  <rcc rId="13327" sId="23" numFmtId="4">
    <oc r="T106">
      <v>0</v>
    </oc>
    <nc r="T106">
      <f>T100+T9+T44+T65+T72+T79+T86+T93</f>
    </nc>
  </rcc>
  <rcc rId="13328" sId="23" numFmtId="4">
    <oc r="U106">
      <v>0</v>
    </oc>
    <nc r="U106">
      <f>U100+U9+U44+U65+U72+U79+U86+U93</f>
    </nc>
  </rcc>
  <rcc rId="13329" sId="23" numFmtId="4">
    <oc r="V106">
      <v>0</v>
    </oc>
    <nc r="V106">
      <f>V100+V9+V44+V65+V72+V79+V86+V93</f>
    </nc>
  </rcc>
  <rcc rId="13330" sId="23" numFmtId="4">
    <oc r="W106">
      <v>0</v>
    </oc>
    <nc r="W106">
      <f>W100+W9+W44+W65+W72+W79+W86+W93</f>
    </nc>
  </rcc>
  <rcc rId="13331" sId="23" numFmtId="4">
    <oc r="X106">
      <v>0</v>
    </oc>
    <nc r="X106">
      <f>X100+X9+X44+X65+X72+X79+X86+X93</f>
    </nc>
  </rcc>
  <rcc rId="13332" sId="23" numFmtId="4">
    <oc r="Y106">
      <v>0</v>
    </oc>
    <nc r="Y106">
      <f>Y100+Y9+Y44+Y65+Y72+Y79+Y86+Y93</f>
    </nc>
  </rcc>
  <rcc rId="13333" sId="23" numFmtId="4">
    <oc r="Z106">
      <v>992.2</v>
    </oc>
    <nc r="Z106">
      <f>Z100+Z9+Z44+Z65+Z72+Z79+Z86+Z93</f>
    </nc>
  </rcc>
  <rcc rId="13334" sId="23" numFmtId="4">
    <oc r="AA106">
      <v>0</v>
    </oc>
    <nc r="AA106">
      <f>AA100+AA9+AA44+AA65+AA72+AA79+AA86+AA93</f>
    </nc>
  </rcc>
  <rcc rId="13335" sId="23" numFmtId="4">
    <oc r="AB106">
      <v>0</v>
    </oc>
    <nc r="AB106">
      <f>AB100+AB9+AB44+AB65+AB72+AB79+AB86+AB93</f>
    </nc>
  </rcc>
  <rcc rId="13336" sId="23" numFmtId="4">
    <oc r="AC106">
      <v>0</v>
    </oc>
    <nc r="AC106">
      <f>AC100+AC9+AC44+AC65+AC72+AC79+AC86+AC93</f>
    </nc>
  </rcc>
  <rcc rId="13337" sId="23" numFmtId="4">
    <oc r="AD106">
      <v>0</v>
    </oc>
    <nc r="AD106">
      <f>AD100+AD9+AD44+AD65+AD72+AD79+AD86+AD93</f>
    </nc>
  </rcc>
  <rcc rId="13338" sId="23" numFmtId="4">
    <oc r="AE106">
      <v>0</v>
    </oc>
    <nc r="AE106">
      <f>AE100+AE9+AE44+AE65+AE72+AE79+AE86+AE93</f>
    </nc>
  </rcc>
  <rcc rId="13339" sId="23" odxf="1" dxf="1">
    <oc r="AG106">
      <f>C106-E106</f>
    </oc>
    <nc r="AG106"/>
    <odxf>
      <font>
        <color auto="1"/>
      </font>
      <numFmt numFmtId="4" formatCode="#,##0.00"/>
    </odxf>
    <ndxf>
      <font>
        <sz val="12"/>
        <color auto="1"/>
        <name val="Times New Roman"/>
        <scheme val="none"/>
      </font>
      <numFmt numFmtId="0" formatCode="General"/>
    </ndxf>
  </rcc>
  <rcc rId="13340" sId="23">
    <oc r="A107" t="inlineStr">
      <is>
        <t>бюджет города Когалыма</t>
      </is>
    </oc>
    <nc r="A107" t="inlineStr">
      <is>
        <t>бюджет автономного округа</t>
      </is>
    </nc>
  </rcc>
  <rcc rId="13341" sId="23" odxf="1" dxf="1" numFmtId="4">
    <oc r="B107">
      <v>224603.68</v>
    </oc>
    <nc r="B107">
      <f>B113</f>
    </nc>
    <odxf>
      <fill>
        <patternFill patternType="solid">
          <bgColor rgb="FF92D050"/>
        </patternFill>
      </fill>
    </odxf>
    <ndxf>
      <fill>
        <patternFill patternType="none">
          <bgColor indexed="65"/>
        </patternFill>
      </fill>
    </ndxf>
  </rcc>
  <rcc rId="13342" sId="23" odxf="1" dxf="1" numFmtId="4">
    <oc r="C107">
      <v>107438.31</v>
    </oc>
    <nc r="C107">
      <f>C113</f>
    </nc>
    <odxf/>
    <ndxf/>
  </rcc>
  <rcc rId="13343" sId="23" numFmtId="4">
    <oc r="D107">
      <v>88288.909</v>
    </oc>
    <nc r="D107">
      <f>D113</f>
    </nc>
  </rcc>
  <rcc rId="13344" sId="23" numFmtId="4">
    <oc r="E107">
      <v>88288.909</v>
    </oc>
    <nc r="E107">
      <f>E113</f>
    </nc>
  </rcc>
  <rcc rId="13345" sId="23" numFmtId="4">
    <oc r="F107">
      <v>39.308754424682625</v>
    </oc>
    <nc r="F107">
      <f>IFERROR(E107/B107*100,0)</f>
    </nc>
  </rcc>
  <rcc rId="13346" sId="23" numFmtId="4">
    <oc r="G107">
      <v>82.176375447454461</v>
    </oc>
    <nc r="G107">
      <f>IFERROR(E107/C107*100,0)</f>
    </nc>
  </rcc>
  <rcc rId="13347" sId="23" numFmtId="4">
    <oc r="H107">
      <v>10663.43</v>
    </oc>
    <nc r="H107">
      <f>H101+H10+H45+H66+H73+H80+H87+H94</f>
    </nc>
  </rcc>
  <rcc rId="13348" sId="23" numFmtId="4">
    <oc r="I107">
      <v>5996.53</v>
    </oc>
    <nc r="I107">
      <f>I101+I10+I45+I66+I73+I80+I87+I94</f>
    </nc>
  </rcc>
  <rcc rId="13349" sId="23" numFmtId="4">
    <oc r="J107">
      <v>27792.769999999997</v>
    </oc>
    <nc r="J107">
      <f>J101+J10+J45+J66+J73+J80+J87+J94</f>
    </nc>
  </rcc>
  <rcc rId="13350" sId="23" numFmtId="4">
    <oc r="K107">
      <v>24604.308999999994</v>
    </oc>
    <nc r="K107">
      <f>K101+K10+K45+K66+K73+K80+K87+K94</f>
    </nc>
  </rcc>
  <rcc rId="13351" sId="23" numFmtId="4">
    <oc r="L107">
      <v>27336.820000000003</v>
    </oc>
    <nc r="L107">
      <f>L101+L10+L45+L66+L73+L80+L87+L94</f>
    </nc>
  </rcc>
  <rcc rId="13352" sId="23" numFmtId="4">
    <oc r="M107">
      <v>22894.920000000002</v>
    </oc>
    <nc r="M107">
      <f>M101+M10+M45+M66+M73+M80+M87+M94</f>
    </nc>
  </rcc>
  <rcc rId="13353" sId="23" numFmtId="4">
    <oc r="N107">
      <v>25838.53</v>
    </oc>
    <nc r="N107">
      <f>N101+N10+N45+N66+N73+N80+N87+N94</f>
    </nc>
  </rcc>
  <rcc rId="13354" sId="23" numFmtId="4">
    <oc r="O107">
      <v>22247.9</v>
    </oc>
    <nc r="O107">
      <f>O101+O10+O45+O66+O73+O80+O87+O94</f>
    </nc>
  </rcc>
  <rcc rId="13355" sId="23" numFmtId="4">
    <oc r="P107">
      <v>15806.76</v>
    </oc>
    <nc r="P107">
      <f>P101+P10+P45+P66+P73+P80+P87+P94</f>
    </nc>
  </rcc>
  <rcc rId="13356" sId="23" numFmtId="4">
    <oc r="Q107">
      <v>12545.25</v>
    </oc>
    <nc r="Q107">
      <f>Q101+Q10+Q45+Q66+Q73+Q80+Q87+Q94</f>
    </nc>
  </rcc>
  <rcc rId="13357" sId="23" numFmtId="4">
    <oc r="R107">
      <v>15383.699999999997</v>
    </oc>
    <nc r="R107">
      <f>R101+R10+R45+R66+R73+R80+R87+R94</f>
    </nc>
  </rcc>
  <rcc rId="13358" sId="23" numFmtId="4">
    <oc r="S107">
      <v>0</v>
    </oc>
    <nc r="S107">
      <f>S101+S10+S45+S66+S73+S80+S87+S94</f>
    </nc>
  </rcc>
  <rcc rId="13359" sId="23" numFmtId="4">
    <oc r="T107">
      <v>10834.150000000001</v>
    </oc>
    <nc r="T107">
      <f>T101+T10+T45+T66+T73+T80+T87+T94</f>
    </nc>
  </rcc>
  <rcc rId="13360" sId="23" numFmtId="4">
    <oc r="U107">
      <v>0</v>
    </oc>
    <nc r="U107">
      <f>U101+U10+U45+U66+U73+U80+U87+U94</f>
    </nc>
  </rcc>
  <rcc rId="13361" sId="23" numFmtId="4">
    <oc r="V107">
      <v>11543.419999999998</v>
    </oc>
    <nc r="V107">
      <f>V101+V10+V45+V66+V73+V80+V87+V94</f>
    </nc>
  </rcc>
  <rcc rId="13362" sId="23" numFmtId="4">
    <oc r="W107">
      <v>0</v>
    </oc>
    <nc r="W107">
      <f>W101+W10+W45+W66+W73+W80+W87+W94</f>
    </nc>
  </rcc>
  <rcc rId="13363" sId="23" numFmtId="4">
    <oc r="X107">
      <v>10463.460000000001</v>
    </oc>
    <nc r="X107">
      <f>X101+X10+X45+X66+X73+X80+X87+X94</f>
    </nc>
  </rcc>
  <rcc rId="13364" sId="23" numFmtId="4">
    <oc r="Y107">
      <v>0</v>
    </oc>
    <nc r="Y107">
      <f>Y101+Y10+Y45+Y66+Y73+Y80+Y87+Y94</f>
    </nc>
  </rcc>
  <rcc rId="13365" sId="23" numFmtId="4">
    <oc r="Z107">
      <v>33866.769999999997</v>
    </oc>
    <nc r="Z107">
      <f>Z101+Z10+Z45+Z66+Z73+Z80+Z87+Z94</f>
    </nc>
  </rcc>
  <rcc rId="13366" sId="23" numFmtId="4">
    <oc r="AA107">
      <v>0</v>
    </oc>
    <nc r="AA107">
      <f>AA101+AA10+AA45+AA66+AA73+AA80+AA87+AA94</f>
    </nc>
  </rcc>
  <rcc rId="13367" sId="23" numFmtId="4">
    <oc r="AB107">
      <v>22038.080000000002</v>
    </oc>
    <nc r="AB107">
      <f>AB101+AB10+AB45+AB66+AB73+AB80+AB87+AB94</f>
    </nc>
  </rcc>
  <rcc rId="13368" sId="23" numFmtId="4">
    <oc r="AC107">
      <v>0</v>
    </oc>
    <nc r="AC107">
      <f>AC101+AC10+AC45+AC66+AC73+AC80+AC87+AC94</f>
    </nc>
  </rcc>
  <rcc rId="13369" sId="23" numFmtId="4">
    <oc r="AD107">
      <v>13035.79</v>
    </oc>
    <nc r="AD107">
      <f>AD101+AD10+AD45+AD66+AD73+AD80+AD87+AD94</f>
    </nc>
  </rcc>
  <rcc rId="13370" sId="23" numFmtId="4">
    <oc r="AE107">
      <v>0</v>
    </oc>
    <nc r="AE107">
      <f>AE101+AE10+AE45+AE66+AE73+AE80+AE87+AE94</f>
    </nc>
  </rcc>
  <rcc rId="13371" sId="23" odxf="1" dxf="1">
    <oc r="AG107">
      <f>C107-E107</f>
    </oc>
    <nc r="AG107"/>
    <odxf>
      <font>
        <color auto="1"/>
      </font>
      <numFmt numFmtId="4" formatCode="#,##0.00"/>
    </odxf>
    <ndxf>
      <font>
        <sz val="12"/>
        <color auto="1"/>
        <name val="Times New Roman"/>
        <scheme val="none"/>
      </font>
      <numFmt numFmtId="0" formatCode="General"/>
    </ndxf>
  </rcc>
  <rcc rId="13372" sId="23" odxf="1" dxf="1">
    <oc r="A108" t="inlineStr">
      <is>
        <t>в т.ч. бюджет города Когалыма в части софинансирования</t>
      </is>
    </oc>
    <nc r="A108" t="inlineStr">
      <is>
        <t>бюджет города Когалыма</t>
      </is>
    </nc>
    <odxf>
      <alignment horizontal="right" vertical="center" readingOrder="0"/>
    </odxf>
    <ndxf>
      <alignment horizontal="left" vertical="top" readingOrder="0"/>
    </ndxf>
  </rcc>
  <rcc rId="13373" sId="23" odxf="1" dxf="1" numFmtId="4">
    <oc r="B108">
      <v>0</v>
    </oc>
    <nc r="B108">
      <f>B114</f>
    </nc>
    <odxf>
      <fill>
        <patternFill patternType="solid">
          <bgColor rgb="FF92D050"/>
        </patternFill>
      </fill>
    </odxf>
    <ndxf>
      <fill>
        <patternFill patternType="none">
          <bgColor indexed="65"/>
        </patternFill>
      </fill>
    </ndxf>
  </rcc>
  <rcc rId="13374" sId="23" odxf="1" dxf="1" numFmtId="4">
    <oc r="C108">
      <v>0</v>
    </oc>
    <nc r="C108">
      <f>C114</f>
    </nc>
    <odxf/>
    <ndxf/>
  </rcc>
  <rcc rId="13375" sId="23" numFmtId="4">
    <oc r="D108">
      <v>0</v>
    </oc>
    <nc r="D108">
      <f>D114</f>
    </nc>
  </rcc>
  <rcc rId="13376" sId="23" numFmtId="4">
    <oc r="E108">
      <v>0</v>
    </oc>
    <nc r="E108">
      <f>E114</f>
    </nc>
  </rcc>
  <rcc rId="13377" sId="23" numFmtId="4">
    <oc r="F108">
      <v>0</v>
    </oc>
    <nc r="F108">
      <f>IFERROR(E108/B108*100,0)</f>
    </nc>
  </rcc>
  <rcc rId="13378" sId="23" numFmtId="4">
    <oc r="G108">
      <v>0</v>
    </oc>
    <nc r="G108">
      <f>IFERROR(E108/C108*100,0)</f>
    </nc>
  </rcc>
  <rcc rId="13379" sId="23" numFmtId="4">
    <oc r="H108">
      <v>0</v>
    </oc>
    <nc r="H108">
      <f>H102+H11+H46+H67+H74+H81+H88+H95</f>
    </nc>
  </rcc>
  <rcc rId="13380" sId="23" numFmtId="4">
    <oc r="I108">
      <v>0</v>
    </oc>
    <nc r="I108">
      <f>I102+I11+I46+I67+I74+I81+I88+I95</f>
    </nc>
  </rcc>
  <rcc rId="13381" sId="23" numFmtId="4">
    <oc r="J108">
      <v>0</v>
    </oc>
    <nc r="J108">
      <f>J102+J11+J46+J67+J74+J81+J88+J95</f>
    </nc>
  </rcc>
  <rcc rId="13382" sId="23" numFmtId="4">
    <oc r="K108">
      <v>0</v>
    </oc>
    <nc r="K108">
      <f>K102+K11+K46+K67+K74+K81+K88+K95</f>
    </nc>
  </rcc>
  <rcc rId="13383" sId="23" numFmtId="4">
    <oc r="L108">
      <v>0</v>
    </oc>
    <nc r="L108">
      <f>L102+L11+L46+L67+L74+L81+L88+L95</f>
    </nc>
  </rcc>
  <rcc rId="13384" sId="23" numFmtId="4">
    <oc r="M108">
      <v>0</v>
    </oc>
    <nc r="M108">
      <f>M102+M11+M46+M67+M74+M81+M88+M95</f>
    </nc>
  </rcc>
  <rcc rId="13385" sId="23" numFmtId="4">
    <oc r="N108">
      <v>0</v>
    </oc>
    <nc r="N108">
      <f>N102+N11+N46+N67+N74+N81+N88+N95</f>
    </nc>
  </rcc>
  <rcc rId="13386" sId="23" numFmtId="4">
    <oc r="O108">
      <v>0</v>
    </oc>
    <nc r="O108">
      <f>O102+O11+O46+O67+O74+O81+O88+O95</f>
    </nc>
  </rcc>
  <rcc rId="13387" sId="23" numFmtId="4">
    <oc r="P108">
      <v>0</v>
    </oc>
    <nc r="P108">
      <f>P102+P11+P46+P67+P74+P81+P88+P95</f>
    </nc>
  </rcc>
  <rcc rId="13388" sId="23" numFmtId="4">
    <oc r="Q108">
      <v>0</v>
    </oc>
    <nc r="Q108">
      <f>Q102+Q11+Q46+Q67+Q74+Q81+Q88+Q95</f>
    </nc>
  </rcc>
  <rcc rId="13389" sId="23" numFmtId="4">
    <oc r="R108">
      <v>0</v>
    </oc>
    <nc r="R108">
      <f>R102+R11+R46+R67+R74+R81+R88+R95</f>
    </nc>
  </rcc>
  <rcc rId="13390" sId="23" numFmtId="4">
    <oc r="S108">
      <v>0</v>
    </oc>
    <nc r="S108">
      <f>S102+S11+S46+S67+S74+S81+S88+S95</f>
    </nc>
  </rcc>
  <rcc rId="13391" sId="23" numFmtId="4">
    <oc r="T108">
      <v>0</v>
    </oc>
    <nc r="T108">
      <f>T102+T11+T46+T67+T74+T81+T88+T95</f>
    </nc>
  </rcc>
  <rcc rId="13392" sId="23" numFmtId="4">
    <oc r="U108">
      <v>0</v>
    </oc>
    <nc r="U108">
      <f>U102+U11+U46+U67+U74+U81+U88+U95</f>
    </nc>
  </rcc>
  <rcc rId="13393" sId="23" numFmtId="4">
    <oc r="V108">
      <v>0</v>
    </oc>
    <nc r="V108">
      <f>V102+V11+V46+V67+V74+V81+V88+V95</f>
    </nc>
  </rcc>
  <rcc rId="13394" sId="23" numFmtId="4">
    <oc r="W108">
      <v>0</v>
    </oc>
    <nc r="W108">
      <f>W102+W11+W46+W67+W74+W81+W88+W95</f>
    </nc>
  </rcc>
  <rcc rId="13395" sId="23" numFmtId="4">
    <oc r="X108">
      <v>0</v>
    </oc>
    <nc r="X108">
      <f>X102+X11+X46+X67+X74+X81+X88+X95</f>
    </nc>
  </rcc>
  <rcc rId="13396" sId="23" numFmtId="4">
    <oc r="Y108">
      <v>0</v>
    </oc>
    <nc r="Y108">
      <f>Y102+Y11+Y46+Y67+Y74+Y81+Y88+Y95</f>
    </nc>
  </rcc>
  <rcc rId="13397" sId="23" numFmtId="4">
    <oc r="Z108">
      <v>0</v>
    </oc>
    <nc r="Z108">
      <f>Z102+Z11+Z46+Z67+Z74+Z81+Z88+Z95</f>
    </nc>
  </rcc>
  <rcc rId="13398" sId="23" numFmtId="4">
    <oc r="AA108">
      <v>0</v>
    </oc>
    <nc r="AA108">
      <f>AA102+AA11+AA46+AA67+AA74+AA81+AA88+AA95</f>
    </nc>
  </rcc>
  <rcc rId="13399" sId="23" numFmtId="4">
    <oc r="AB108">
      <v>0</v>
    </oc>
    <nc r="AB108">
      <f>AB102+AB11+AB46+AB67+AB74+AB81+AB88+AB95</f>
    </nc>
  </rcc>
  <rcc rId="13400" sId="23" numFmtId="4">
    <oc r="AC108">
      <v>0</v>
    </oc>
    <nc r="AC108">
      <f>AC102+AC11+AC46+AC67+AC74+AC81+AC88+AC95</f>
    </nc>
  </rcc>
  <rcc rId="13401" sId="23" numFmtId="4">
    <oc r="AD108">
      <v>0</v>
    </oc>
    <nc r="AD108">
      <f>AD102+AD11+AD46+AD67+AD74+AD81+AD88+AD95</f>
    </nc>
  </rcc>
  <rcc rId="13402" sId="23" numFmtId="4">
    <oc r="AE108">
      <v>0</v>
    </oc>
    <nc r="AE108">
      <f>AE102+AE11+AE46+AE67+AE74+AE81+AE88+AE95</f>
    </nc>
  </rcc>
  <rcc rId="13403" sId="23" odxf="1" dxf="1">
    <oc r="AG108">
      <f>C108-E108</f>
    </oc>
    <nc r="AG108"/>
    <odxf>
      <font>
        <color auto="1"/>
      </font>
      <numFmt numFmtId="4" formatCode="#,##0.00"/>
    </odxf>
    <ndxf>
      <font>
        <sz val="12"/>
        <color auto="1"/>
        <name val="Times New Roman"/>
        <scheme val="none"/>
      </font>
      <numFmt numFmtId="0" formatCode="General"/>
    </ndxf>
  </rcc>
  <rcc rId="13404" sId="23" odxf="1" dxf="1">
    <oc r="A109" t="inlineStr">
      <is>
        <t>иные внебюджетные источники</t>
      </is>
    </oc>
    <nc r="A109" t="inlineStr">
      <is>
        <t>в т.ч. бюджет города Когалыма в части софинансирования</t>
      </is>
    </nc>
    <odxf>
      <alignment horizontal="left" readingOrder="0"/>
    </odxf>
    <ndxf>
      <alignment horizontal="right" readingOrder="0"/>
    </ndxf>
  </rcc>
  <rcc rId="13405" sId="23" odxf="1" dxf="1" numFmtId="4">
    <oc r="B109">
      <v>0</v>
    </oc>
    <nc r="B109">
      <f>B115</f>
    </nc>
    <odxf>
      <fill>
        <patternFill patternType="solid">
          <bgColor rgb="FF92D050"/>
        </patternFill>
      </fill>
    </odxf>
    <ndxf>
      <fill>
        <patternFill patternType="none">
          <bgColor indexed="65"/>
        </patternFill>
      </fill>
    </ndxf>
  </rcc>
  <rcc rId="13406" sId="23" odxf="1" dxf="1" numFmtId="4">
    <oc r="C109">
      <v>0</v>
    </oc>
    <nc r="C109">
      <f>C115</f>
    </nc>
    <odxf/>
    <ndxf/>
  </rcc>
  <rcc rId="13407" sId="23" numFmtId="4">
    <oc r="D109">
      <v>0</v>
    </oc>
    <nc r="D109">
      <f>D115</f>
    </nc>
  </rcc>
  <rcc rId="13408" sId="23" numFmtId="4">
    <oc r="E109">
      <v>0</v>
    </oc>
    <nc r="E109">
      <f>E115</f>
    </nc>
  </rcc>
  <rcc rId="13409" sId="23" numFmtId="4">
    <oc r="F109">
      <v>0</v>
    </oc>
    <nc r="F109">
      <f>IFERROR(E109/B109*100,0)</f>
    </nc>
  </rcc>
  <rcc rId="13410" sId="23" numFmtId="4">
    <oc r="G109">
      <v>0</v>
    </oc>
    <nc r="G109">
      <f>IFERROR(E109/C109*100,0)</f>
    </nc>
  </rcc>
  <rcc rId="13411" sId="23" numFmtId="4">
    <oc r="H109">
      <v>0</v>
    </oc>
    <nc r="H109">
      <f>H103+H12+H47+H68+H75+H82+H89+H96</f>
    </nc>
  </rcc>
  <rcc rId="13412" sId="23" numFmtId="4">
    <oc r="I109">
      <v>0</v>
    </oc>
    <nc r="I109">
      <f>I103+I12+I47+I68+I75+I82+I89+I96</f>
    </nc>
  </rcc>
  <rcc rId="13413" sId="23" numFmtId="4">
    <oc r="J109">
      <v>0</v>
    </oc>
    <nc r="J109">
      <f>J103+J12+J47+J68+J75+J82+J89+J96</f>
    </nc>
  </rcc>
  <rcc rId="13414" sId="23" numFmtId="4">
    <oc r="K109">
      <v>0</v>
    </oc>
    <nc r="K109">
      <f>K103+K12+K47+K68+K75+K82+K89+K96</f>
    </nc>
  </rcc>
  <rcc rId="13415" sId="23" numFmtId="4">
    <oc r="L109">
      <v>0</v>
    </oc>
    <nc r="L109">
      <f>L103+L12+L47+L68+L75+L82+L89+L96</f>
    </nc>
  </rcc>
  <rcc rId="13416" sId="23" numFmtId="4">
    <oc r="M109">
      <v>0</v>
    </oc>
    <nc r="M109">
      <f>M103+M12+M47+M68+M75+M82+M89+M96</f>
    </nc>
  </rcc>
  <rcc rId="13417" sId="23" numFmtId="4">
    <oc r="N109">
      <v>0</v>
    </oc>
    <nc r="N109">
      <f>N103+N12+N47+N68+N75+N82+N89+N96</f>
    </nc>
  </rcc>
  <rcc rId="13418" sId="23" numFmtId="4">
    <oc r="O109">
      <v>0</v>
    </oc>
    <nc r="O109">
      <f>O103+O12+O47+O68+O75+O82+O89+O96</f>
    </nc>
  </rcc>
  <rcc rId="13419" sId="23" numFmtId="4">
    <oc r="P109">
      <v>0</v>
    </oc>
    <nc r="P109">
      <f>P103+P12+P47+P68+P75+P82+P89+P96</f>
    </nc>
  </rcc>
  <rcc rId="13420" sId="23" numFmtId="4">
    <oc r="Q109">
      <v>0</v>
    </oc>
    <nc r="Q109">
      <f>Q103+Q12+Q47+Q68+Q75+Q82+Q89+Q96</f>
    </nc>
  </rcc>
  <rcc rId="13421" sId="23" numFmtId="4">
    <oc r="R109">
      <v>0</v>
    </oc>
    <nc r="R109">
      <f>R103+R12+R47+R68+R75+R82+R89+R96</f>
    </nc>
  </rcc>
  <rcc rId="13422" sId="23" numFmtId="4">
    <oc r="S109">
      <v>0</v>
    </oc>
    <nc r="S109">
      <f>S103+S12+S47+S68+S75+S82+S89+S96</f>
    </nc>
  </rcc>
  <rcc rId="13423" sId="23" numFmtId="4">
    <oc r="T109">
      <v>0</v>
    </oc>
    <nc r="T109">
      <f>T103+T12+T47+T68+T75+T82+T89+T96</f>
    </nc>
  </rcc>
  <rcc rId="13424" sId="23" numFmtId="4">
    <oc r="U109">
      <v>0</v>
    </oc>
    <nc r="U109">
      <f>U103+U12+U47+U68+U75+U82+U89+U96</f>
    </nc>
  </rcc>
  <rcc rId="13425" sId="23" numFmtId="4">
    <oc r="V109">
      <v>0</v>
    </oc>
    <nc r="V109">
      <f>V103+V12+V47+V68+V75+V82+V89+V96</f>
    </nc>
  </rcc>
  <rcc rId="13426" sId="23" numFmtId="4">
    <oc r="W109">
      <v>0</v>
    </oc>
    <nc r="W109">
      <f>W103+W12+W47+W68+W75+W82+W89+W96</f>
    </nc>
  </rcc>
  <rcc rId="13427" sId="23" numFmtId="4">
    <oc r="X109">
      <v>0</v>
    </oc>
    <nc r="X109">
      <f>X103+X12+X47+X68+X75+X82+X89+X96</f>
    </nc>
  </rcc>
  <rcc rId="13428" sId="23" numFmtId="4">
    <oc r="Y109">
      <v>0</v>
    </oc>
    <nc r="Y109">
      <f>Y103+Y12+Y47+Y68+Y75+Y82+Y89+Y96</f>
    </nc>
  </rcc>
  <rcc rId="13429" sId="23" numFmtId="4">
    <oc r="Z109">
      <v>0</v>
    </oc>
    <nc r="Z109">
      <f>Z103+Z12+Z47+Z68+Z75+Z82+Z89+Z96</f>
    </nc>
  </rcc>
  <rcc rId="13430" sId="23" numFmtId="4">
    <oc r="AA109">
      <v>0</v>
    </oc>
    <nc r="AA109">
      <f>AA103+AA12+AA47+AA68+AA75+AA82+AA89+AA96</f>
    </nc>
  </rcc>
  <rcc rId="13431" sId="23" numFmtId="4">
    <oc r="AB109">
      <v>0</v>
    </oc>
    <nc r="AB109">
      <f>AB103+AB12+AB47+AB68+AB75+AB82+AB89+AB96</f>
    </nc>
  </rcc>
  <rcc rId="13432" sId="23" numFmtId="4">
    <oc r="AC109">
      <v>0</v>
    </oc>
    <nc r="AC109">
      <f>AC103+AC12+AC47+AC68+AC75+AC82+AC89+AC96</f>
    </nc>
  </rcc>
  <rcc rId="13433" sId="23" numFmtId="4">
    <oc r="AD109">
      <v>0</v>
    </oc>
    <nc r="AD109">
      <f>AD103+AD12+AD47+AD68+AD75+AD82+AD89+AD96</f>
    </nc>
  </rcc>
  <rcc rId="13434" sId="23" numFmtId="4">
    <oc r="AE109">
      <v>0</v>
    </oc>
    <nc r="AE109">
      <f>AE103+AE12+AE47+AE68+AE75+AE82+AE89+AE96</f>
    </nc>
  </rcc>
  <rcc rId="13435" sId="23" odxf="1" dxf="1">
    <oc r="AG109">
      <f>C109-E109</f>
    </oc>
    <nc r="AG109"/>
    <odxf>
      <font>
        <color auto="1"/>
      </font>
      <numFmt numFmtId="4" formatCode="#,##0.00"/>
    </odxf>
    <ndxf>
      <font>
        <sz val="12"/>
        <color auto="1"/>
        <name val="Times New Roman"/>
        <scheme val="none"/>
      </font>
      <numFmt numFmtId="0" formatCode="General"/>
    </ndxf>
  </rcc>
  <rcc rId="13436" sId="23" odxf="1" s="1" dxf="1">
    <nc r="A110" t="inlineStr">
      <is>
        <t>иные внебюджетные источники</t>
      </is>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alignment horizontal="left" vertical="center" wrapText="1" readingOrder="0"/>
      <border outline="0">
        <left style="thin">
          <color indexed="64"/>
        </left>
        <right style="thin">
          <color indexed="64"/>
        </right>
        <top style="thin">
          <color indexed="64"/>
        </top>
        <bottom style="thin">
          <color indexed="64"/>
        </bottom>
      </border>
    </ndxf>
  </rcc>
  <rcc rId="13437" sId="23" odxf="1" s="1" dxf="1">
    <nc r="B110">
      <f>B116</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38" sId="23" odxf="1" s="1" dxf="1">
    <nc r="C110">
      <f>C116</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39" sId="23" odxf="1" s="1" dxf="1">
    <nc r="D110">
      <f>D116</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0" sId="23" odxf="1" s="1" dxf="1">
    <nc r="E110">
      <f>E116</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1" sId="23" odxf="1" s="1" dxf="1">
    <nc r="F110">
      <f>IFERROR(E110/B110*100,0)</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3442" sId="23" odxf="1" s="1" dxf="1">
    <nc r="G110">
      <f>IFERROR(E110/C110*100,0)</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3" sId="23" odxf="1" s="1" dxf="1">
    <nc r="H110">
      <f>H104+H13+H48+H69+H76+H83+H90+H97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4" sId="23" odxf="1" s="1" dxf="1">
    <nc r="I110">
      <f>I104+I13+I48+I69+I76+I83+I90+I97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5" sId="23" odxf="1" s="1" dxf="1">
    <nc r="J110">
      <f>J104+J13+J48+J69+J76+J83+J90+J97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6" sId="23" odxf="1" s="1" dxf="1">
    <nc r="K110">
      <f>K104+K13+K48+K69+K76+K83+K90+K97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7" sId="23" odxf="1" s="1" dxf="1">
    <nc r="L110">
      <f>L104+L13+L48+L69+L76+L83+L90+L97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8" sId="23" odxf="1" s="1" dxf="1">
    <nc r="M110">
      <f>M104+M13+M48+M69+M76+M83+M90+M97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49" sId="23" odxf="1" s="1" dxf="1">
    <nc r="N110">
      <f>N104+N13+N48+N69+N76+N83+N90+N97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0" sId="23" odxf="1" s="1" dxf="1">
    <nc r="O110">
      <f>O104+O13+O48+O69+O76+O83+O90+O97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1" sId="23" odxf="1" s="1" dxf="1">
    <nc r="P110">
      <f>P104+P13+P48+P69+P76+P83+P90+P97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2" sId="23" odxf="1" s="1" dxf="1">
    <nc r="Q110">
      <f>Q104+Q13+Q48+Q69+Q76+Q83+Q90+Q97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3" sId="23" odxf="1" s="1" dxf="1">
    <nc r="R110">
      <f>R104+R13+R48+R69+R76+R83+R90+R97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4" sId="23" odxf="1" s="1" dxf="1">
    <nc r="S110">
      <f>S104+S13+S48+S69+S76+S83+S90+S97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5" sId="23" odxf="1" s="1" dxf="1">
    <nc r="T110">
      <f>T104+T13+T48+T69+T76+T83+T90+T97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6" sId="23" odxf="1" s="1" dxf="1">
    <nc r="U110">
      <f>U104+U13+U48+U69+U76+U83+U90+U97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7" sId="23" odxf="1" s="1" dxf="1">
    <nc r="V110">
      <f>V104+V13+V48+V69+V76+V83+V90+V97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8" sId="23" odxf="1" s="1" dxf="1">
    <nc r="W110">
      <f>W104+W13+W48+W69+W76+W83+W90+W97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59" sId="23" odxf="1" s="1" dxf="1">
    <nc r="X110">
      <f>X104+X13+X48+X69+X76+X83+X90+X97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0" sId="23" odxf="1" s="1" dxf="1">
    <nc r="Y110">
      <f>Y104+Y13+Y48+Y69+Y76+Y83+Y90+Y97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1" sId="23" odxf="1" s="1" dxf="1">
    <nc r="Z110">
      <f>Z104+Z13+Z48+Z69+Z76+Z83+Z90+Z97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2" sId="23" odxf="1" s="1" dxf="1">
    <nc r="AA110">
      <f>AA104+AA13+AA48+AA69+AA76+AA83+AA90+AA97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3" sId="23" odxf="1" s="1" dxf="1">
    <nc r="AB110">
      <f>AB104+AB13+AB48+AB69+AB76+AB83+AB90+AB97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4" sId="23" odxf="1" s="1" dxf="1">
    <nc r="AC110">
      <f>AC104+AC13+AC48+AC69+AC76+AC83+AC90+AC97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5" sId="23" odxf="1" s="1" dxf="1">
    <nc r="AD110">
      <f>AD104+AD13+AD48+AD69+AD76+AD83+AD90+AD97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6" sId="23" odxf="1" s="1" dxf="1">
    <nc r="AE110">
      <f>AE104+AE13+AE48+AE69+AE76+AE83+AE90+AE97</f>
    </nc>
    <odxf>
      <font>
        <b val="0"/>
        <i val="0"/>
        <strike val="0"/>
        <condense val="0"/>
        <extend val="0"/>
        <outline val="0"/>
        <shadow val="0"/>
        <u val="none"/>
        <vertAlign val="baseline"/>
        <sz val="12"/>
        <color auto="1"/>
        <name val="Times New Roman"/>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467" sId="23" odxf="1" s="1" dxf="1">
    <nc r="A111" t="inlineStr">
      <is>
        <t>Процессная часть в целом по муниципальной программе</t>
      </is>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fill>
        <patternFill patternType="solid">
          <bgColor rgb="FFABF3CC"/>
        </patternFill>
      </fill>
      <alignment horizontal="left" wrapText="1" readingOrder="0"/>
      <border outline="0">
        <left style="thin">
          <color indexed="64"/>
        </left>
        <right style="thin">
          <color indexed="64"/>
        </right>
        <top style="thin">
          <color indexed="64"/>
        </top>
        <bottom style="thin">
          <color indexed="64"/>
        </bottom>
      </border>
    </ndxf>
  </rcc>
  <rcc rId="13468" sId="23" odxf="1" s="1" dxf="1">
    <nc r="B111">
      <f>B112+B113+B114+B116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69" sId="23" odxf="1" s="1" dxf="1">
    <nc r="C111">
      <f>C112+C113+C114+C116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0" sId="23" odxf="1" s="1" dxf="1">
    <nc r="D111">
      <f>D112+D113+D114+D116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1" sId="23" odxf="1" s="1" dxf="1">
    <nc r="E111">
      <f>E112+E113+E114+E116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2" sId="23" odxf="1" s="1" dxf="1">
    <nc r="F111">
      <f>IFERROR(E111/B111*100,0)</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3" sId="23" odxf="1" s="1" dxf="1">
    <nc r="G111">
      <f>IFERROR(E111/C111*100,0)</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4" sId="23" odxf="1" s="1" dxf="1">
    <nc r="H111">
      <f>H112+H113+H114+H116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5" sId="23" odxf="1" s="1" dxf="1">
    <nc r="I111">
      <f>I112+I113+I114+I116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6" sId="23" odxf="1" s="1" dxf="1">
    <nc r="J111">
      <f>J112+J113+J114+J116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7" sId="23" odxf="1" s="1" dxf="1">
    <nc r="K111">
      <f>K112+K113+K114+K116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8" sId="23" odxf="1" s="1" dxf="1">
    <nc r="L111">
      <f>L112+L113+L114+L116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79" sId="23" odxf="1" s="1" dxf="1">
    <nc r="M111">
      <f>M112+M113+M114+M116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0" sId="23" odxf="1" s="1" dxf="1">
    <nc r="N111">
      <f>N112+N113+N114+N116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1" sId="23" odxf="1" s="1" dxf="1">
    <nc r="O111">
      <f>O112+O113+O114+O116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2" sId="23" odxf="1" s="1" dxf="1">
    <nc r="P111">
      <f>P112+P113+P114+P116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3" sId="23" odxf="1" s="1" dxf="1">
    <nc r="Q111">
      <f>Q112+Q113+Q114+Q116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4" sId="23" odxf="1" s="1" dxf="1">
    <nc r="R111">
      <f>R112+R113+R114+R116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5" sId="23" odxf="1" s="1" dxf="1">
    <nc r="S111">
      <f>S112+S113+S114+S116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6" sId="23" odxf="1" s="1" dxf="1">
    <nc r="T111">
      <f>T112+T113+T114+T116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7" sId="23" odxf="1" s="1" dxf="1">
    <nc r="U111">
      <f>U112+U113+U114+U116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8" sId="23" odxf="1" s="1" dxf="1">
    <nc r="V111">
      <f>V112+V113+V114+V116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89" sId="23" odxf="1" s="1" dxf="1">
    <nc r="W111">
      <f>W112+W113+W114+W116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0" sId="23" odxf="1" s="1" dxf="1">
    <nc r="X111">
      <f>X112+X113+X114+X116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1" sId="23" odxf="1" s="1" dxf="1">
    <nc r="Y111">
      <f>Y112+Y113+Y114+Y116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2" sId="23" odxf="1" s="1" dxf="1">
    <nc r="Z111">
      <f>Z112+Z113+Z114+Z116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3" sId="23" odxf="1" s="1" dxf="1">
    <nc r="AA111">
      <f>AA112+AA113+AA114+AA116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4" sId="23" odxf="1" s="1" dxf="1">
    <nc r="AB111">
      <f>AB112+AB113+AB114+AB116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5" sId="23" odxf="1" s="1" dxf="1">
    <nc r="AC111">
      <f>AC112+AC113+AC114+AC116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6" sId="23" odxf="1" s="1" dxf="1">
    <nc r="AD111">
      <f>AD112+AD113+AD114+AD116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cc rId="13497" sId="23" odxf="1" s="1" dxf="1">
    <nc r="AE111">
      <f>AE112+AE113+AE114+AE116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12"/>
        <color auto="1"/>
        <name val="Times New Roman"/>
        <scheme val="none"/>
      </font>
      <numFmt numFmtId="4" formatCode="#,##0.00"/>
      <fill>
        <patternFill patternType="solid">
          <bgColor rgb="FFABF3CC"/>
        </patternFill>
      </fill>
      <alignment horizontal="center" vertical="center" wrapText="1" readingOrder="0"/>
      <border outline="0">
        <left style="thin">
          <color indexed="64"/>
        </left>
        <right style="thin">
          <color indexed="64"/>
        </right>
        <top style="thin">
          <color indexed="64"/>
        </top>
        <bottom style="thin">
          <color indexed="64"/>
        </bottom>
      </border>
    </ndxf>
  </rcc>
  <rfmt sheetId="23" s="1" sqref="AF111" start="0" length="0">
    <dxf>
      <font>
        <b/>
        <sz val="12"/>
        <color auto="1"/>
        <name val="Times New Roman"/>
        <scheme val="none"/>
      </font>
      <alignment horizontal="center" readingOrder="0"/>
      <border outline="0">
        <left style="thin">
          <color indexed="64"/>
        </left>
        <right style="thin">
          <color indexed="64"/>
        </right>
        <top style="thin">
          <color indexed="64"/>
        </top>
      </border>
    </dxf>
  </rfmt>
  <rfmt sheetId="23" sqref="AG111" start="0" length="0">
    <dxf>
      <font>
        <sz val="12"/>
        <color auto="1"/>
        <name val="Times New Roman"/>
        <scheme val="none"/>
      </font>
    </dxf>
  </rfmt>
  <rfmt sheetId="23" sqref="A111:XFD111" start="0" length="0">
    <dxf>
      <font>
        <sz val="12"/>
        <color auto="1"/>
        <name val="Times New Roman"/>
        <scheme val="none"/>
      </font>
    </dxf>
  </rfmt>
  <rcc rId="13498" sId="23" odxf="1" s="1" dxf="1">
    <nc r="A112" t="inlineStr">
      <is>
        <t>федеральный бюджет</t>
      </is>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alignment horizontal="left" vertical="center" readingOrder="0"/>
      <border outline="0">
        <left style="thin">
          <color indexed="64"/>
        </left>
        <right style="thin">
          <color indexed="64"/>
        </right>
        <top style="thin">
          <color indexed="64"/>
        </top>
        <bottom style="thin">
          <color indexed="64"/>
        </bottom>
      </border>
    </ndxf>
  </rcc>
  <rcc rId="13499" sId="23" odxf="1" s="1" dxf="1">
    <nc r="B112">
      <f>B100+B9+B44+B65+B72+B79+B86+B93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fill>
        <patternFill patternType="solid">
          <bgColor rgb="FF92D050"/>
        </patternFill>
      </fill>
      <alignment horizontal="center" vertical="center" wrapText="1" readingOrder="0"/>
      <border outline="0">
        <left style="thin">
          <color indexed="64"/>
        </left>
        <right style="thin">
          <color indexed="64"/>
        </right>
        <top style="thin">
          <color indexed="64"/>
        </top>
        <bottom style="thin">
          <color indexed="64"/>
        </bottom>
      </border>
    </ndxf>
  </rcc>
  <rcc rId="13500" sId="23" odxf="1" s="1" dxf="1">
    <nc r="C112">
      <f>C100+C9+C44+C65+C72+C79+C86+C93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1" sId="23" odxf="1" s="1" dxf="1">
    <nc r="D112">
      <f>D100+D9+D44+D65+D72+D79+D86+D93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2" sId="23" odxf="1" s="1" dxf="1">
    <nc r="E112">
      <f>E100+E9+E44+E65+E72+E79+E86+E93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3" sId="23" odxf="1" s="1" dxf="1">
    <nc r="F112">
      <f>F100+F9+F44+F65+F72+F79+F86+F93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4" sId="23" odxf="1" s="1" dxf="1">
    <nc r="G112">
      <f>G100+G9+G44+G65+G72+G79+G86+G93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5" sId="23" odxf="1" s="1" dxf="1">
    <nc r="H112">
      <f>H100+H9+H44+H65+H72+H79+H86+H93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6" sId="23" odxf="1" s="1" dxf="1">
    <nc r="I112">
      <f>I100+I9+I44+I65+I72+I79+I86+I93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7" sId="23" odxf="1" s="1" dxf="1">
    <nc r="J112">
      <f>J100+J9+J44+J65+J72+J79+J86+J93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8" sId="23" odxf="1" s="1" dxf="1">
    <nc r="K112">
      <f>K100+K9+K44+K65+K72+K79+K86+K93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09" sId="23" odxf="1" s="1" dxf="1">
    <nc r="L112">
      <f>L100+L9+L44+L65+L72+L79+L86+L93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0" sId="23" odxf="1" s="1" dxf="1">
    <nc r="M112">
      <f>M100+M9+M44+M65+M72+M79+M86+M93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1" sId="23" odxf="1" s="1" dxf="1">
    <nc r="N112">
      <f>N100+N9+N44+N65+N72+N79+N86+N93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2" sId="23" odxf="1" s="1" dxf="1">
    <nc r="O112">
      <f>O100+O9+O44+O65+O72+O79+O86+O93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3" sId="23" odxf="1" s="1" dxf="1">
    <nc r="P112">
      <f>P100+P9+P44+P65+P72+P79+P86+P93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4" sId="23" odxf="1" s="1" dxf="1">
    <nc r="Q112">
      <f>Q100+Q9+Q44+Q65+Q72+Q79+Q86+Q93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5" sId="23" odxf="1" s="1" dxf="1">
    <nc r="R112">
      <f>R100+R9+R44+R65+R72+R79+R86+R93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6" sId="23" odxf="1" s="1" dxf="1">
    <nc r="S112">
      <f>S100+S9+S44+S65+S72+S79+S86+S93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7" sId="23" odxf="1" s="1" dxf="1">
    <nc r="T112">
      <f>T100+T9+T44+T65+T72+T79+T86+T93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8" sId="23" odxf="1" s="1" dxf="1">
    <nc r="U112">
      <f>U100+U9+U44+U65+U72+U79+U86+U93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19" sId="23" odxf="1" s="1" dxf="1">
    <nc r="V112">
      <f>V100+V9+V44+V65+V72+V79+V86+V93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0" sId="23" odxf="1" s="1" dxf="1">
    <nc r="W112">
      <f>W100+W9+W44+W65+W72+W79+W86+W93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1" sId="23" odxf="1" s="1" dxf="1">
    <nc r="X112">
      <f>X100+X9+X44+X65+X72+X79+X86+X93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2" sId="23" odxf="1" s="1" dxf="1">
    <nc r="Y112">
      <f>Y100+Y9+Y44+Y65+Y72+Y79+Y86+Y93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3" sId="23" odxf="1" s="1" dxf="1">
    <nc r="Z112">
      <f>Z100+Z9+Z44+Z65+Z72+Z79+Z86+Z93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4" sId="23" odxf="1" s="1" dxf="1">
    <nc r="AA112">
      <f>AA100+AA9+AA44+AA65+AA72+AA79+AA86+AA93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5" sId="23" odxf="1" s="1" dxf="1">
    <nc r="AB112">
      <f>AB100+AB9+AB44+AB65+AB72+AB79+AB86+AB93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6" sId="23" odxf="1" s="1" dxf="1">
    <nc r="AC112">
      <f>AC100+AC9+AC44+AC65+AC72+AC79+AC86+AC93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7" sId="23" odxf="1" s="1" dxf="1">
    <nc r="AD112">
      <f>AD100+AD9+AD44+AD65+AD72+AD79+AD86+AD93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28" sId="23" odxf="1" s="1" dxf="1">
    <nc r="AE112">
      <f>AE100+AE9+AE44+AE65+AE72+AE79+AE86+AE93</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3" sqref="AG112" start="0" length="0">
    <dxf>
      <font>
        <sz val="12"/>
        <color auto="1"/>
        <name val="Times New Roman"/>
        <scheme val="none"/>
      </font>
    </dxf>
  </rfmt>
  <rfmt sheetId="23" sqref="A112:XFD112" start="0" length="0">
    <dxf>
      <font>
        <sz val="12"/>
        <color auto="1"/>
        <name val="Times New Roman"/>
        <scheme val="none"/>
      </font>
    </dxf>
  </rfmt>
  <rcc rId="13529" sId="23" odxf="1" s="1" dxf="1">
    <nc r="A113" t="inlineStr">
      <is>
        <t>бюджет автономного округа</t>
      </is>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alignment horizontal="left" wrapText="1" readingOrder="0"/>
      <border outline="0">
        <left style="thin">
          <color indexed="64"/>
        </left>
        <right style="thin">
          <color indexed="64"/>
        </right>
        <top style="thin">
          <color indexed="64"/>
        </top>
        <bottom style="thin">
          <color indexed="64"/>
        </bottom>
      </border>
    </ndxf>
  </rcc>
  <rcc rId="13530" sId="23" odxf="1" s="1" dxf="1">
    <nc r="B113">
      <f>B101+B10+B45+B66+B73+B80+B87+B94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fill>
        <patternFill patternType="solid">
          <bgColor rgb="FF92D050"/>
        </patternFill>
      </fill>
      <alignment horizontal="center" vertical="center" wrapText="1" readingOrder="0"/>
      <border outline="0">
        <left style="thin">
          <color indexed="64"/>
        </left>
        <right style="thin">
          <color indexed="64"/>
        </right>
        <top style="thin">
          <color indexed="64"/>
        </top>
        <bottom style="thin">
          <color indexed="64"/>
        </bottom>
      </border>
    </ndxf>
  </rcc>
  <rcc rId="13531" sId="23" odxf="1" s="1" dxf="1">
    <nc r="C113">
      <f>C101+C10+C45+C66+C73+C80+C87+C94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2" sId="23" odxf="1" s="1" dxf="1">
    <nc r="D113">
      <f>D101+D10+D45+D66+D73+D80+D87+D94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3" sId="23" odxf="1" s="1" dxf="1">
    <nc r="E113">
      <f>E101+E10+E45+E66+E73+E80+E87+E94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4" sId="23" odxf="1" s="1" dxf="1">
    <nc r="F113">
      <f>F101+F10+F45+F66+F73+F80+F87+F94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5" sId="23" odxf="1" s="1" dxf="1">
    <nc r="G113">
      <f>G101+G10+G45+G66+G73+G80+G87+G94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6" sId="23" odxf="1" s="1" dxf="1">
    <nc r="H113">
      <f>H101+H10+H45+H66+H73+H80+H87+H94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7" sId="23" odxf="1" s="1" dxf="1">
    <nc r="I113">
      <f>I101+I10+I45+I66+I73+I80+I87+I94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8" sId="23" odxf="1" s="1" dxf="1">
    <nc r="J113">
      <f>J101+J10+J45+J66+J73+J80+J87+J94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39" sId="23" odxf="1" s="1" dxf="1">
    <nc r="K113">
      <f>K101+K10+K45+K66+K73+K80+K87+K94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0" sId="23" odxf="1" s="1" dxf="1">
    <nc r="L113">
      <f>L101+L10+L45+L66+L73+L80+L87+L94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1" sId="23" odxf="1" s="1" dxf="1">
    <nc r="M113">
      <f>M101+M10+M45+M66+M73+M80+M87+M94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2" sId="23" odxf="1" s="1" dxf="1">
    <nc r="N113">
      <f>N101+N10+N45+N66+N73+N80+N87+N94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3" sId="23" odxf="1" s="1" dxf="1">
    <nc r="O113">
      <f>O101+O10+O45+O66+O73+O80+O87+O94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4" sId="23" odxf="1" s="1" dxf="1">
    <nc r="P113">
      <f>P101+P10+P45+P66+P73+P80+P87+P94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5" sId="23" odxf="1" s="1" dxf="1">
    <nc r="Q113">
      <f>Q101+Q10+Q45+Q66+Q73+Q80+Q87+Q94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6" sId="23" odxf="1" s="1" dxf="1">
    <nc r="R113">
      <f>R101+R10+R45+R66+R73+R80+R87+R94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7" sId="23" odxf="1" s="1" dxf="1">
    <nc r="S113">
      <f>S101+S10+S45+S66+S73+S80+S87+S94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8" sId="23" odxf="1" s="1" dxf="1">
    <nc r="T113">
      <f>T101+T10+T45+T66+T73+T80+T87+T94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49" sId="23" odxf="1" s="1" dxf="1">
    <nc r="U113">
      <f>U101+U10+U45+U66+U73+U80+U87+U94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0" sId="23" odxf="1" s="1" dxf="1">
    <nc r="V113">
      <f>V101+V10+V45+V66+V73+V80+V87+V94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1" sId="23" odxf="1" s="1" dxf="1">
    <nc r="W113">
      <f>W101+W10+W45+W66+W73+W80+W87+W94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2" sId="23" odxf="1" s="1" dxf="1">
    <nc r="X113">
      <f>X101+X10+X45+X66+X73+X80+X87+X94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3" sId="23" odxf="1" s="1" dxf="1">
    <nc r="Y113">
      <f>Y101+Y10+Y45+Y66+Y73+Y80+Y87+Y94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4" sId="23" odxf="1" s="1" dxf="1">
    <nc r="Z113">
      <f>Z101+Z10+Z45+Z66+Z73+Z80+Z87+Z94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5" sId="23" odxf="1" s="1" dxf="1">
    <nc r="AA113">
      <f>AA101+AA10+AA45+AA66+AA73+AA80+AA87+AA94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6" sId="23" odxf="1" s="1" dxf="1">
    <nc r="AB113">
      <f>AB101+AB10+AB45+AB66+AB73+AB80+AB87+AB94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7" sId="23" odxf="1" s="1" dxf="1">
    <nc r="AC113">
      <f>AC101+AC10+AC45+AC66+AC73+AC80+AC87+AC94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8" sId="23" odxf="1" s="1" dxf="1">
    <nc r="AD113">
      <f>AD101+AD10+AD45+AD66+AD73+AD80+AD87+AD94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59" sId="23" odxf="1" s="1" dxf="1">
    <nc r="AE113">
      <f>AE101+AE10+AE45+AE66+AE73+AE80+AE87+AE94</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3" sqref="AG113" start="0" length="0">
    <dxf>
      <font>
        <sz val="12"/>
        <color auto="1"/>
        <name val="Times New Roman"/>
        <scheme val="none"/>
      </font>
    </dxf>
  </rfmt>
  <rfmt sheetId="23" sqref="A113:XFD113" start="0" length="0">
    <dxf>
      <font>
        <sz val="12"/>
        <color auto="1"/>
        <name val="Times New Roman"/>
        <scheme val="none"/>
      </font>
    </dxf>
  </rfmt>
  <rcc rId="13560" sId="23" odxf="1" s="1" dxf="1">
    <nc r="A114" t="inlineStr">
      <is>
        <t>бюджет города Когалыма</t>
      </is>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alignment horizontal="left" wrapText="1" readingOrder="0"/>
      <border outline="0">
        <left style="thin">
          <color indexed="64"/>
        </left>
        <right style="thin">
          <color indexed="64"/>
        </right>
        <top style="thin">
          <color indexed="64"/>
        </top>
        <bottom style="thin">
          <color indexed="64"/>
        </bottom>
      </border>
    </ndxf>
  </rcc>
  <rcc rId="13561" sId="23" odxf="1" s="1" dxf="1">
    <nc r="B114">
      <f>B102+B11+B46+B67+B74+B81+B88+B95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fill>
        <patternFill patternType="solid">
          <bgColor rgb="FF92D050"/>
        </patternFill>
      </fill>
      <alignment horizontal="center" vertical="center" wrapText="1" readingOrder="0"/>
      <border outline="0">
        <left style="thin">
          <color indexed="64"/>
        </left>
        <right style="thin">
          <color indexed="64"/>
        </right>
        <top style="thin">
          <color indexed="64"/>
        </top>
        <bottom style="thin">
          <color indexed="64"/>
        </bottom>
      </border>
    </ndxf>
  </rcc>
  <rcc rId="13562" sId="23" odxf="1" s="1" dxf="1">
    <nc r="C114">
      <f>C102+C11+C46+C67+C74+C81+C88+C95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63" sId="23" odxf="1" s="1" dxf="1">
    <nc r="D114">
      <f>D102+D11+D46+D67+D74+D81+D88+D95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64" sId="23" odxf="1" s="1" dxf="1">
    <nc r="E114">
      <f>E102+E11+E46+E67+E74+E81+E88+E95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65" sId="23" odxf="1" s="1" dxf="1">
    <nc r="F114">
      <f>F102+F11+F46+F67+F74+F81+F88+F95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66" sId="23" odxf="1" s="1" dxf="1">
    <nc r="G114">
      <f>G102+G11+G46+G67+G74+G81+G88+G95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alignment horizontal="center" vertical="center" wrapText="1" readingOrder="0"/>
      <border outline="0">
        <left style="thin">
          <color indexed="64"/>
        </left>
        <right style="thin">
          <color indexed="64"/>
        </right>
        <top style="thin">
          <color indexed="64"/>
        </top>
        <bottom style="thin">
          <color indexed="64"/>
        </bottom>
      </border>
    </ndxf>
  </rcc>
  <rcc rId="13567" sId="23" odxf="1" s="1" dxf="1">
    <nc r="H114">
      <f>H102+H11+H46+H67+H74+H81+H88+H95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68" sId="23" odxf="1" s="1" dxf="1">
    <nc r="I114">
      <f>I102+I11+I46+I67+I74+I81+I88+I95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69" sId="23" odxf="1" s="1" dxf="1">
    <nc r="J114">
      <f>J102+J11+J46+J67+J74+J81+J88+J95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0" sId="23" odxf="1" s="1" dxf="1">
    <nc r="K114">
      <f>K102+K11+K46+K67+K74+K81+K88+K95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1" sId="23" odxf="1" s="1" dxf="1">
    <nc r="L114">
      <f>L102+L11+L46+L67+L74+L81+L88+L95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2" sId="23" odxf="1" s="1" dxf="1">
    <nc r="M114">
      <f>M102+M11+M46+M67+M74+M81+M88+M95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3" sId="23" odxf="1" s="1" dxf="1">
    <nc r="N114">
      <f>N102+N11+N46+N67+N74+N81+N88+N95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4" sId="23" odxf="1" s="1" dxf="1">
    <nc r="O114">
      <f>O102+O11+O46+O67+O74+O81+O88+O95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5" sId="23" odxf="1" s="1" dxf="1">
    <nc r="P114">
      <f>P102+P11+P46+P67+P74+P81+P88+P95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6" sId="23" odxf="1" s="1" dxf="1">
    <nc r="Q114">
      <f>Q102+Q11+Q46+Q67+Q74+Q81+Q88+Q95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7" sId="23" odxf="1" s="1" dxf="1">
    <nc r="R114">
      <f>R102+R11+R46+R67+R74+R81+R88+R95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8" sId="23" odxf="1" s="1" dxf="1">
    <nc r="S114">
      <f>S102+S11+S46+S67+S74+S81+S88+S95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79" sId="23" odxf="1" s="1" dxf="1">
    <nc r="T114">
      <f>T102+T11+T46+T67+T74+T81+T88+T95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0" sId="23" odxf="1" s="1" dxf="1">
    <nc r="U114">
      <f>U102+U11+U46+U67+U74+U81+U88+U95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1" sId="23" odxf="1" s="1" dxf="1">
    <nc r="V114">
      <f>V102+V11+V46+V67+V74+V81+V88+V95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2" sId="23" odxf="1" s="1" dxf="1">
    <nc r="W114">
      <f>W102+W11+W46+W67+W74+W81+W88+W95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3" sId="23" odxf="1" s="1" dxf="1">
    <nc r="X114">
      <f>X102+X11+X46+X67+X74+X81+X88+X95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4" sId="23" odxf="1" s="1" dxf="1">
    <nc r="Y114">
      <f>Y102+Y11+Y46+Y67+Y74+Y81+Y88+Y95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5" sId="23" odxf="1" s="1" dxf="1">
    <nc r="Z114">
      <f>Z102+Z11+Z46+Z67+Z74+Z81+Z88+Z95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6" sId="23" odxf="1" s="1" dxf="1">
    <nc r="AA114">
      <f>AA102+AA11+AA46+AA67+AA74+AA81+AA88+AA95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7" sId="23" odxf="1" s="1" dxf="1">
    <nc r="AB114">
      <f>AB102+AB11+AB46+AB67+AB74+AB81+AB88+AB95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8" sId="23" odxf="1" s="1" dxf="1">
    <nc r="AC114">
      <f>AC102+AC11+AC46+AC67+AC74+AC81+AC88+AC95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89" sId="23" odxf="1" s="1" dxf="1">
    <nc r="AD114">
      <f>AD102+AD11+AD46+AD67+AD74+AD81+AD88+AD95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0" sId="23" odxf="1" s="1" dxf="1">
    <nc r="AE114">
      <f>AE102+AE11+AE46+AE67+AE74+AE81+AE88+AE95</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3" sqref="AG114" start="0" length="0">
    <dxf>
      <font>
        <sz val="12"/>
        <color auto="1"/>
        <name val="Times New Roman"/>
        <scheme val="none"/>
      </font>
    </dxf>
  </rfmt>
  <rfmt sheetId="23" sqref="A114:XFD114" start="0" length="0">
    <dxf>
      <font>
        <sz val="12"/>
        <color auto="1"/>
        <name val="Times New Roman"/>
        <scheme val="none"/>
      </font>
    </dxf>
  </rfmt>
  <rcc rId="13591" sId="23" odxf="1" s="1" dxf="1">
    <nc r="A115" t="inlineStr">
      <is>
        <t>в т.ч. бюджет города Когалыма в части софинансирования</t>
      </is>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alignment horizontal="right" vertical="center" wrapText="1" readingOrder="0"/>
      <border outline="0">
        <left style="thin">
          <color indexed="64"/>
        </left>
        <right style="thin">
          <color indexed="64"/>
        </right>
        <top style="thin">
          <color indexed="64"/>
        </top>
        <bottom style="thin">
          <color indexed="64"/>
        </bottom>
      </border>
    </ndxf>
  </rcc>
  <rcc rId="13592" sId="23" odxf="1" s="1" dxf="1">
    <nc r="B115">
      <f>B103+B12+B47+B68+B75+B82+B89+B96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fill>
        <patternFill patternType="solid">
          <bgColor rgb="FF92D050"/>
        </patternFill>
      </fill>
      <alignment horizontal="center" vertical="center" wrapText="1" readingOrder="0"/>
      <border outline="0">
        <left style="thin">
          <color indexed="64"/>
        </left>
        <right style="thin">
          <color indexed="64"/>
        </right>
        <top style="thin">
          <color indexed="64"/>
        </top>
        <bottom style="thin">
          <color indexed="64"/>
        </bottom>
      </border>
    </ndxf>
  </rcc>
  <rcc rId="13593" sId="23" odxf="1" s="1" dxf="1">
    <nc r="C115">
      <f>C103+C12+C47+C68+C75+C82+C89+C96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4" sId="23" odxf="1" s="1" dxf="1">
    <nc r="D115">
      <f>D103+D12+D47+D68+D75+D82+D89+D96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5" sId="23" odxf="1" s="1" dxf="1">
    <nc r="E115">
      <f>E103+E12+E47+E68+E75+E82+E89+E96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6" sId="23" odxf="1" s="1" dxf="1">
    <nc r="F115">
      <f>F103+F12+F47+F68+F75+F82+F89+F96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7" sId="23" odxf="1" s="1" dxf="1">
    <nc r="G115">
      <f>G103+G12+G47+G68+G75+G82+G89+G96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8" sId="23" odxf="1" s="1" dxf="1">
    <nc r="H115">
      <f>H103+H12+H47+H68+H75+H82+H89+H96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599" sId="23" odxf="1" s="1" dxf="1">
    <nc r="I115">
      <f>I103+I12+I47+I68+I75+I82+I89+I96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0" sId="23" odxf="1" s="1" dxf="1">
    <nc r="J115">
      <f>J103+J12+J47+J68+J75+J82+J89+J96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1" sId="23" odxf="1" s="1" dxf="1">
    <nc r="K115">
      <f>K103+K12+K47+K68+K75+K82+K89+K96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2" sId="23" odxf="1" s="1" dxf="1">
    <nc r="L115">
      <f>L103+L12+L47+L68+L75+L82+L89+L96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3" sId="23" odxf="1" s="1" dxf="1">
    <nc r="M115">
      <f>M103+M12+M47+M68+M75+M82+M89+M96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4" sId="23" odxf="1" s="1" dxf="1">
    <nc r="N115">
      <f>N103+N12+N47+N68+N75+N82+N89+N96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5" sId="23" odxf="1" s="1" dxf="1">
    <nc r="O115">
      <f>O103+O12+O47+O68+O75+O82+O89+O96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6" sId="23" odxf="1" s="1" dxf="1">
    <nc r="P115">
      <f>P103+P12+P47+P68+P75+P82+P89+P96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7" sId="23" odxf="1" s="1" dxf="1">
    <nc r="Q115">
      <f>Q103+Q12+Q47+Q68+Q75+Q82+Q89+Q96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8" sId="23" odxf="1" s="1" dxf="1">
    <nc r="R115">
      <f>R103+R12+R47+R68+R75+R82+R89+R96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09" sId="23" odxf="1" s="1" dxf="1">
    <nc r="S115">
      <f>S103+S12+S47+S68+S75+S82+S89+S96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0" sId="23" odxf="1" s="1" dxf="1">
    <nc r="T115">
      <f>T103+T12+T47+T68+T75+T82+T89+T96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1" sId="23" odxf="1" s="1" dxf="1">
    <nc r="U115">
      <f>U103+U12+U47+U68+U75+U82+U89+U96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2" sId="23" odxf="1" s="1" dxf="1">
    <nc r="V115">
      <f>V103+V12+V47+V68+V75+V82+V89+V96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3" sId="23" odxf="1" s="1" dxf="1">
    <nc r="W115">
      <f>W103+W12+W47+W68+W75+W82+W89+W96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4" sId="23" odxf="1" s="1" dxf="1">
    <nc r="X115">
      <f>X103+X12+X47+X68+X75+X82+X89+X96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5" sId="23" odxf="1" s="1" dxf="1">
    <nc r="Y115">
      <f>Y103+Y12+Y47+Y68+Y75+Y82+Y89+Y96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6" sId="23" odxf="1" s="1" dxf="1">
    <nc r="Z115">
      <f>Z103+Z12+Z47+Z68+Z75+Z82+Z89+Z96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7" sId="23" odxf="1" s="1" dxf="1">
    <nc r="AA115">
      <f>AA103+AA12+AA47+AA68+AA75+AA82+AA89+AA96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8" sId="23" odxf="1" s="1" dxf="1">
    <nc r="AB115">
      <f>AB103+AB12+AB47+AB68+AB75+AB82+AB89+AB96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19" sId="23" odxf="1" s="1" dxf="1">
    <nc r="AC115">
      <f>AC103+AC12+AC47+AC68+AC75+AC82+AC89+AC96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0" sId="23" odxf="1" s="1" dxf="1">
    <nc r="AD115">
      <f>AD103+AD12+AD47+AD68+AD75+AD82+AD89+AD96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1" sId="23" odxf="1" s="1" dxf="1">
    <nc r="AE115">
      <f>AE103+AE12+AE47+AE68+AE75+AE82+AE89+AE96</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3" sqref="AG115" start="0" length="0">
    <dxf>
      <font>
        <sz val="12"/>
        <color auto="1"/>
        <name val="Times New Roman"/>
        <scheme val="none"/>
      </font>
    </dxf>
  </rfmt>
  <rfmt sheetId="23" sqref="A115:XFD115" start="0" length="0">
    <dxf>
      <font>
        <sz val="12"/>
        <color auto="1"/>
        <name val="Times New Roman"/>
        <scheme val="none"/>
      </font>
    </dxf>
  </rfmt>
  <rcc rId="13622" sId="23" odxf="1" s="1" dxf="1">
    <nc r="A116" t="inlineStr">
      <is>
        <t>иные внебюджетные источники</t>
      </is>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13623" sId="23" odxf="1" s="1" dxf="1">
    <nc r="B116">
      <f>B104+B13+B48+B69+B76+B83+B90+B97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fill>
        <patternFill patternType="solid">
          <bgColor rgb="FF92D050"/>
        </patternFill>
      </fill>
      <alignment horizontal="center" vertical="center" wrapText="1" readingOrder="0"/>
      <border outline="0">
        <left style="thin">
          <color indexed="64"/>
        </left>
        <right style="thin">
          <color indexed="64"/>
        </right>
        <top style="thin">
          <color indexed="64"/>
        </top>
        <bottom style="thin">
          <color indexed="64"/>
        </bottom>
      </border>
    </ndxf>
  </rcc>
  <rcc rId="13624" sId="23" odxf="1" s="1" dxf="1">
    <nc r="C116">
      <f>C104+C13+C48+C69+C76+C83+C90+C97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5" sId="23" odxf="1" s="1" dxf="1">
    <nc r="D116">
      <f>D104+D13+D48+D69+D76+D83+D90+D97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6" sId="23" odxf="1" s="1" dxf="1">
    <nc r="E116">
      <f>E104+E13+E48+E69+E76+E83+E90+E97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7" sId="23" odxf="1" s="1" dxf="1">
    <nc r="F116">
      <f>F104+F13+F48+F69+F76+F83+F90+F97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8" sId="23" odxf="1" s="1" dxf="1">
    <nc r="G116">
      <f>G104+G13+G48+G69+G76+G83+G90+G97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29" sId="23" odxf="1" s="1" dxf="1">
    <nc r="H116">
      <f>H104+H13+H48+H69+H76+H83+H90+H97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0" sId="23" odxf="1" s="1" dxf="1">
    <nc r="I116">
      <f>I104+I13+I48+I69+I76+I83+I90+I97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1" sId="23" odxf="1" s="1" dxf="1">
    <nc r="J116">
      <f>J104+J13+J48+J69+J76+J83+J90+J97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2" sId="23" odxf="1" s="1" dxf="1">
    <nc r="K116">
      <f>K104+K13+K48+K69+K76+K83+K90+K97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3" sId="23" odxf="1" s="1" dxf="1">
    <nc r="L116">
      <f>L104+L13+L48+L69+L76+L83+L90+L97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4" sId="23" odxf="1" s="1" dxf="1">
    <nc r="M116">
      <f>M104+M13+M48+M69+M76+M83+M90+M97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5" sId="23" odxf="1" s="1" dxf="1">
    <nc r="N116">
      <f>N104+N13+N48+N69+N76+N83+N90+N97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6" sId="23" odxf="1" s="1" dxf="1">
    <nc r="O116">
      <f>O104+O13+O48+O69+O76+O83+O90+O97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7" sId="23" odxf="1" s="1" dxf="1">
    <nc r="P116">
      <f>P104+P13+P48+P69+P76+P83+P90+P97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8" sId="23" odxf="1" s="1" dxf="1">
    <nc r="Q116">
      <f>Q104+Q13+Q48+Q69+Q76+Q83+Q90+Q97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39" sId="23" odxf="1" s="1" dxf="1">
    <nc r="R116">
      <f>R104+R13+R48+R69+R76+R83+R90+R97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0" sId="23" odxf="1" s="1" dxf="1">
    <nc r="S116">
      <f>S104+S13+S48+S69+S76+S83+S90+S97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1" sId="23" odxf="1" s="1" dxf="1">
    <nc r="T116">
      <f>T104+T13+T48+T69+T76+T83+T90+T97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2" sId="23" odxf="1" s="1" dxf="1">
    <nc r="U116">
      <f>U104+U13+U48+U69+U76+U83+U90+U97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3" sId="23" odxf="1" s="1" dxf="1">
    <nc r="V116">
      <f>V104+V13+V48+V69+V76+V83+V90+V97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4" sId="23" odxf="1" s="1" dxf="1">
    <nc r="W116">
      <f>W104+W13+W48+W69+W76+W83+W90+W97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5" sId="23" odxf="1" s="1" dxf="1">
    <nc r="X116">
      <f>X104+X13+X48+X69+X76+X83+X90+X97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6" sId="23" odxf="1" s="1" dxf="1">
    <nc r="Y116">
      <f>Y104+Y13+Y48+Y69+Y76+Y83+Y90+Y97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7" sId="23" odxf="1" s="1" dxf="1">
    <nc r="Z116">
      <f>Z104+Z13+Z48+Z69+Z76+Z83+Z90+Z97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8" sId="23" odxf="1" s="1" dxf="1">
    <nc r="AA116">
      <f>AA104+AA13+AA48+AA69+AA76+AA83+AA90+AA97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49" sId="23" odxf="1" s="1" dxf="1">
    <nc r="AB116">
      <f>AB104+AB13+AB48+AB69+AB76+AB83+AB90+AB97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50" sId="23" odxf="1" s="1" dxf="1">
    <nc r="AC116">
      <f>AC104+AC13+AC48+AC69+AC76+AC83+AC90+AC97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51" sId="23" odxf="1" s="1" dxf="1">
    <nc r="AD116">
      <f>AD104+AD13+AD48+AD69+AD76+AD83+AD90+AD97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13652" sId="23" odxf="1" s="1" dxf="1">
    <nc r="AE116">
      <f>AE104+AE13+AE48+AE69+AE76+AE83+AE90+AE97</f>
    </nc>
    <o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12"/>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23" sqref="AG116" start="0" length="0">
    <dxf>
      <font>
        <sz val="12"/>
        <color auto="1"/>
        <name val="Times New Roman"/>
        <scheme val="none"/>
      </font>
    </dxf>
  </rfmt>
  <rfmt sheetId="23" sqref="A116:XFD116" start="0" length="0">
    <dxf>
      <font>
        <sz val="12"/>
        <color auto="1"/>
        <name val="Times New Roman"/>
        <scheme val="none"/>
      </font>
    </dxf>
  </rfmt>
  <rcmt sheetId="23" cell="B18" guid="{00000000-0000-0000-0000-000000000000}" action="delete" author="Ларионова Галина Владимировна"/>
  <rfmt sheetId="23" sqref="A7">
    <dxf>
      <alignment wrapText="0" readingOrder="0"/>
    </dxf>
  </rfmt>
  <rfmt sheetId="23" sqref="A14" start="0" length="0">
    <dxf>
      <alignment wrapText="0" readingOrder="0"/>
    </dxf>
  </rfmt>
  <rfmt sheetId="23" sqref="A21" start="0" length="0">
    <dxf>
      <alignment wrapText="0" readingOrder="0"/>
    </dxf>
  </rfmt>
  <rfmt sheetId="23" sqref="A28" start="0" length="0">
    <dxf>
      <alignment wrapText="0" readingOrder="0"/>
    </dxf>
  </rfmt>
  <rfmt sheetId="23" sqref="A42" start="0" length="0">
    <dxf>
      <alignment wrapText="0" readingOrder="0"/>
    </dxf>
  </rfmt>
  <rfmt sheetId="23" sqref="A49" start="0" length="0">
    <dxf>
      <alignment wrapText="0" readingOrder="0"/>
    </dxf>
  </rfmt>
  <rfmt sheetId="23" sqref="A56" start="0" length="0">
    <dxf>
      <alignment wrapText="0" readingOrder="0"/>
    </dxf>
  </rfmt>
  <rfmt sheetId="23" sqref="A63" start="0" length="0">
    <dxf>
      <alignment wrapText="0" readingOrder="0"/>
    </dxf>
  </rfmt>
  <rcc rId="13653" sId="23" odxf="1" dxf="1">
    <oc r="A77" t="inlineStr">
      <is>
        <t xml:space="preserve">1.5. Организация мероприятий при осуществлении деятельности по обращению с животными без владельцев (7) </t>
      </is>
    </oc>
    <nc r="A77" t="inlineStr">
      <is>
        <t xml:space="preserve">1.5. Организация мероприятий при осуществлении деятельности по обращению с животными без владельцев (7,10) </t>
      </is>
    </nc>
    <ndxf>
      <alignment vertical="center" wrapText="0" readingOrder="0"/>
    </ndxf>
  </rcc>
  <rfmt sheetId="23" sqref="A84" start="0" length="0">
    <dxf>
      <alignment vertical="center" wrapText="0" readingOrder="0"/>
    </dxf>
  </rfmt>
  <rfmt sheetId="23" sqref="A91" start="0" length="0">
    <dxf>
      <alignment vertical="center" wrapText="0" readingOrder="0"/>
    </dxf>
  </rfmt>
  <rfmt sheetId="23" sqref="C16:C20">
    <dxf>
      <fill>
        <patternFill patternType="none">
          <bgColor auto="1"/>
        </patternFill>
      </fill>
    </dxf>
  </rfmt>
  <rcc rId="13654" sId="23" numFmtId="4">
    <oc r="B98">
      <v>226191.18</v>
    </oc>
    <nc r="B98"/>
  </rcc>
  <rcc rId="13655" sId="23" numFmtId="4">
    <oc r="C98">
      <v>108033.60999999999</v>
    </oc>
    <nc r="C98"/>
  </rcc>
  <rcc rId="13656" sId="23" numFmtId="4">
    <oc r="D98">
      <v>88667.028999999995</v>
    </oc>
    <nc r="D98"/>
  </rcc>
  <rcc rId="13657" sId="23" numFmtId="4">
    <oc r="E98">
      <v>88667.028999999995</v>
    </oc>
    <nc r="E98"/>
  </rcc>
  <rcc rId="13658" sId="23" numFmtId="4">
    <oc r="F98">
      <v>39.20003821546004</v>
    </oc>
    <nc r="F98"/>
  </rcc>
  <rcc rId="13659" sId="23" numFmtId="4">
    <oc r="G98">
      <v>82.073559330286201</v>
    </oc>
    <nc r="G98"/>
  </rcc>
  <rcc rId="13660" sId="23" numFmtId="4">
    <oc r="H98">
      <v>11190.23</v>
    </oc>
    <nc r="H98"/>
  </rcc>
  <rcc rId="13661" sId="23" numFmtId="4">
    <oc r="I98">
      <v>6245.2199999999993</v>
    </oc>
    <nc r="I98"/>
  </rcc>
  <rcc rId="13662" sId="23" numFmtId="4">
    <oc r="J98">
      <v>27861.269999999997</v>
    </oc>
    <nc r="J98"/>
  </rcc>
  <rcc rId="13663" sId="23" numFmtId="4">
    <oc r="K98">
      <v>24733.738999999994</v>
    </oc>
    <nc r="K98"/>
  </rcc>
  <rcc rId="13664" sId="23" numFmtId="4">
    <oc r="L98">
      <v>27336.820000000003</v>
    </oc>
    <nc r="L98"/>
  </rcc>
  <rcc rId="13665" sId="23" numFmtId="4">
    <oc r="M98">
      <v>22894.920000000002</v>
    </oc>
    <nc r="M98"/>
  </rcc>
  <rcc rId="13666" sId="23" numFmtId="4">
    <oc r="N98">
      <v>25838.53</v>
    </oc>
    <nc r="N98"/>
  </rcc>
  <rcc rId="13667" sId="23" numFmtId="4">
    <oc r="O98">
      <v>22247.9</v>
    </oc>
    <nc r="O98"/>
  </rcc>
  <rcc rId="13668" sId="23" numFmtId="4">
    <oc r="P98">
      <v>15806.76</v>
    </oc>
    <nc r="P98"/>
  </rcc>
  <rcc rId="13669" sId="23" numFmtId="4">
    <oc r="Q98">
      <v>12545.25</v>
    </oc>
    <nc r="Q98"/>
  </rcc>
  <rcc rId="13670" sId="23" numFmtId="4">
    <oc r="R98">
      <v>15383.699999999997</v>
    </oc>
    <nc r="R98"/>
  </rcc>
  <rcc rId="13671" sId="23" numFmtId="4">
    <oc r="S98">
      <v>0</v>
    </oc>
    <nc r="S98"/>
  </rcc>
  <rcc rId="13672" sId="23" numFmtId="4">
    <oc r="T98">
      <v>10834.150000000001</v>
    </oc>
    <nc r="T98"/>
  </rcc>
  <rcc rId="13673" sId="23" numFmtId="4">
    <oc r="U98">
      <v>0</v>
    </oc>
    <nc r="U98"/>
  </rcc>
  <rcc rId="13674" sId="23" numFmtId="4">
    <oc r="V98">
      <v>11543.419999999998</v>
    </oc>
    <nc r="V98"/>
  </rcc>
  <rcc rId="13675" sId="23" numFmtId="4">
    <oc r="W98">
      <v>0</v>
    </oc>
    <nc r="W98"/>
  </rcc>
  <rcc rId="13676" sId="23" numFmtId="4">
    <oc r="X98">
      <v>10463.460000000001</v>
    </oc>
    <nc r="X98"/>
  </rcc>
  <rcc rId="13677" sId="23" numFmtId="4">
    <oc r="Y98">
      <v>0</v>
    </oc>
    <nc r="Y98"/>
  </rcc>
  <rcc rId="13678" sId="23" numFmtId="4">
    <oc r="Z98">
      <v>34858.969999999994</v>
    </oc>
    <nc r="Z98"/>
  </rcc>
  <rcc rId="13679" sId="23" numFmtId="4">
    <oc r="AA98">
      <v>0</v>
    </oc>
    <nc r="AA98"/>
  </rcc>
  <rcc rId="13680" sId="23" numFmtId="4">
    <oc r="AB98">
      <v>22038.080000000002</v>
    </oc>
    <nc r="AB98"/>
  </rcc>
  <rcc rId="13681" sId="23" numFmtId="4">
    <oc r="AC98">
      <v>0</v>
    </oc>
    <nc r="AC98"/>
  </rcc>
  <rcc rId="13682" sId="23" numFmtId="4">
    <oc r="AD98">
      <v>13035.79</v>
    </oc>
    <nc r="AD98"/>
  </rcc>
  <rcc rId="13683" sId="23" numFmtId="4">
    <oc r="AE98">
      <v>0</v>
    </oc>
    <nc r="AE98"/>
  </rcc>
  <rcc rId="13684" sId="23">
    <oc r="AF15" t="inlineStr">
      <is>
        <t xml:space="preserve">Отклонение от плана составляет 12752,67 тыс.руб. в том числе:
1. 5210,61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1464,31 тыс.руб.  -неисполнение субсидии по статье начисления на оплату труда возникло в связи с оплатой страховых взносов в июне 2024г.
3. 9,32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1302,22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171,37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333,7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4. Оплата за оказание услуг по уборке снега будет произведена по факту выставленных документов к оплате
7. 212,76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1962,13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будет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25,98 тыс. руб. - неисполнение по статье расходов прочие расходы  оплата налога на имущество будет произведена в феврале, в связи со сдачей декларации в апреле 2024г.
10. 188,64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11. 4,43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46,1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15. 1776,60 тыс. руб. неисполнение субсидии по статье  расходов на приобретение основных средств, оплата будет произведена по факту поставки товара
</t>
      </is>
    </oc>
    <nc r="AF15" t="inlineStr">
      <is>
        <t xml:space="preserve">Отклонение от плана составляет 15870,3 тыс.руб. в том числе:
1. 6541,9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1657,2 тыс.руб.  -неисполнение субсидии по статье начисления на оплату труда возникло в связи с оплатой страховых взносов в июле 2024г.
3. 11,82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1577,98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289,3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7214,51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4 Оплата за оказание услуг по содержанию цветников будет произведена по факту выставленных документов к оплате
7. 197,15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1197,56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будет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25,98 тыс. руб. - неисполнение по статье расходов прочие расходы  оплата налога на имущество будет произведена в феврале, в связи со сдачей декларации в апреле 2024г.
10. 0,06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11. 0,35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46,1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292,14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15. 1228,95 тыс. руб. неисполнение субсидии по статье  расходов на приобретение основных средств, оплата будет произведена по факту поставки товара
</t>
      </is>
    </nc>
  </rcc>
  <rcc rId="13685" sId="23">
    <oc r="AF22" t="inlineStr">
      <is>
        <t xml:space="preserve">     На оказание услуг по очистке и вывозу снегу с территории города Когалыма в 2024-2025 годах заключены МК:
- №0187300013723000349 от 17.10.2023 с ООО "РУСАВТО" на сумму 17 272,25 тыс.руб. Работы выполнены на сумму 8 277,66 тыс.руб. МК расторгнут по соглашению Сторон;
- №0187300013723000351 от 23.10.2023 с ООО "ТФК КИТ" на сумму 14 154,87 тыс.руб.;
- №0187300013723000352 от 23.10.2023 с ООО "ТФК КИТ"на сумму 18 932,41 тыс.руб.;
- №0187300013723000353 от 23.10.2023  с ООО "РУСАВТО" на сумму 14 968,32 тыс.руб. Работы выполнены на сумму 7027,97 тыс.руб. МК расторгнут по соглашению Сторон.
     Работы ведутся. Оплата производится по факту выполненных работ.
     В соответствии с постановлением Администрации г.Когалыма от 22.05.2024 №975 перераспределена экономия плановых ассигнований с ремонта пешеходного моста через реку Ингу-Ягун по адресу: город Когалым, район Административного здания блока «С» в сумме 599,9 тыс.руб.</t>
      </is>
    </oc>
    <nc r="AF22" t="inlineStr">
      <is>
        <t xml:space="preserve">     На оказание услуг по очистке и вывозу снегу с территории города Когалыма в 2024-2025 годах заключены МК:
- №0187300013723000349 от 17.10.2023 с ООО "РУСАВТО" на сумму 17 272,25 тыс.руб. Работы выполнены на сумму 8 277,66 тыс.руб. МК расторгнут по соглашению Сторон;
- №0187300013723000351 от 23.10.2023 с ООО "ТФК КИТ" на сумму 14 154,87 тыс.руб.;
- №0187300013723000352 от 23.10.2023 с ООО "ТФК КИТ"на сумму 18 932,41 тыс.руб.;
- №0187300013723000353 от 23.10.2023  с ООО "РУСАВТО" на сумму 14 968,32 тыс.руб. Работы выполнены на сумму 7027,97 тыс.руб. МК расторгнут по соглашению Сторон.
     Работы ведутся. Оплата производится по факту выполненных работ.
     В соответствии с постановлением Администрации г.Когалыма от 22.05.2024 №975 перераспределена экономия плановых ассигнований с ремонта пешеходного моста через реку Ингу-Ягун по адресу: город Когалым, район Административного здания блока «С» в сумме 599,9 тыс.руб.
     На основании решения Думы г.Когалыма от 19.06.2024 выделены дополнительные плановые ассигнования в сумме 6324,7 тыс.руб.</t>
      </is>
    </nc>
  </rcc>
  <rcc rId="13686" sId="23">
    <oc r="AF29" t="inlineStr">
      <is>
        <t xml:space="preserve">     Заключены МК:
- №0187300013723000393 от 15.12.2023 с ИП Сагидовым М.С.  на сумму 1 159,686 тыс.руб. на оказание услуг по содержанию площадок для выгула животных. Период оказания услуг с 01.01.2024 по 31.12.2025.
- №0187300013723000397 от 15.12.2023 с ИП Сагидовым М.С.  на сумму 540,565 тыс.руб. на оказание услуг по содержанию мест (площадок) накопления твердых комунальных отходов. Период оказания услуг с 01.01.2024 по 31.12.2024;
- №7/2024 от 01.02.2024 с ИП Скляр Л.П. на сумму 302,5 тыс.руб.на оказание услуг по содержанию специальных урн (дог-боксов). Период оказания услуг с 01.01.2024 по 31.12.2024;
- №0187300013724000013 от 11.03.2024 на сумму 1 977,23 тыс.руб. с ИП Козер С.А. на выполнение работ по ремонту тротуара от административного здания ООО "АИК" вдоль улицы Мира в г.Когалыме;
- №0187300013724000023 от 26.03.2024 на сумму 708,63 тыс.руб. на выполнение работ по ремонту тротуаров в городе Когалыме;
- №20/2024 от 27.03.2024 с ООО "Экотехсервис"на сумму 594,00 тыс.руб. на оказание услуг по откачке дождевых вод;
- №21/2024 от 28.03.2024 с ИП Никулиной Н.Э. на сумму 391,17 тыс.руб. на поставку флагов;
- №0187300013724000036 от 05.04.2024 с ИП Козер С.А. на сумму 1 396,89 тыс.руб. на выполнение работ по обустройству тротуара от жилого дома по улице Молодежная, дом 26 до жилого дома по улице Ленинградская, дом 8 в городе Когалыме;
- №0187300013724000034 от 15.04.2024 с ООО "Юграпромэнерго" на сумму 6 152,24 тыс.руб. на выполнение работ по ремонту тротуаров в городе Когалыме (вдоль ул. Ленинградская 1, 9,17,19);
- №0187300013724000067 от 02.05.2024 с ООО "АКВАСТРОЙ-СЕРВИС" на выполнение работ по обустройству ливневой канализации в районе детской поликлиники и инфекционного отделения БУ "Когалымской городской больницы" города Когалыма на сумму 1 377,743 тыс.руб.;
- №30/2024 от 02.05.2024 с ООО "Сантехсервис" на оказание услуг по расконсервации и запуску фонтана (ул. Мира) на сумму 71,078 тыс.руб.;
- №ЮЭ86КО1700000345 от 02.05.2024 с АО "Югра-Экология" на оказание услуг по обращению с твердыми коммунальными отходами (общественные территории при проведении меропрятий) на сумму 78,799 тыс.руб.; 
- №0187300013724000093 от 20.05.2024 с ООО "АКВАСТРОЙ-СЕРВИС" на выполнение работ по обустройству ливневой канализации в районе МАОУ "Средняя школа №5" по улице Прибалтийская в городе Когалыме на сумму 698,495 тыс.руб.;
- №37/2024 от 29.05.2024 на разработку проектно-сметной документации системы видеонаблюдения на объекте "Зона отдыха по улице Сибирская в городе Когалыме" на сумму 478,975 руб.;
-№38/2024 от 29.05.2024 на оказание услуг по обслуживанию и консервации фонтана на сумму 547,849 тыс.руб.
     В соответствии с постановлением Администрации г.Когалыма  от 22.05.2024 №975 перераспределена экономия плановых ассигнований на откачку талых вод на территории города Когалыма в сумме 599,5 тыс.руб.
     Неполное освоение бюджетных ассигнований обусловлено сложившейся экономией по итогам заключения муниципальных контрактов на поставку и содержание зимних горок,  а также обслуживание контейнерных площадок для сбора ТКО.</t>
      </is>
    </oc>
    <nc r="AF29" t="inlineStr">
      <is>
        <t xml:space="preserve">     Заключены МК:
- №0187300013723000393 от 15.12.2023 с ИП Сагидовым М.С.  на сумму 1 159,686 тыс.руб. на оказание услуг по содержанию площадок для выгула животных. Период оказания услуг с 01.01.2024 по 31.12.2025.
- №0187300013723000397 от 15.12.2023 с ИП Сагидовым М.С.  на сумму 540,565 тыс.руб. на оказание услуг по содержанию мест (площадок) накопления твердых комунальных отходов. Период оказания услуг с 01.01.2024 по 31.12.2024;
- №7/2024 от 01.02.2024 с ИП Скляр Л.П. на сумму 302,5 тыс.руб.на оказание услуг по содержанию специальных урн (дог-боксов). Период оказания услуг с 01.01.2024 по 31.12.2024;
- №0187300013724000013 от 11.03.2024 на сумму 1 977,23 тыс.руб. с ИП Козер С.А. на выполнение работ по ремонту тротуара от административного здания ООО "АИК" вдоль улицы Мира в г.Когалыме;
- №0187300013724000023 от 26.03.2024 на сумму 708,63 тыс.руб. на выполнение работ по ремонту тротуаров в городе Когалыме;
- №20/2024 от 27.03.2024 с ООО "Экотехсервис"на сумму 594,00 тыс.руб. на оказание услуг по откачке дождевых вод;
- №21/2024 от 28.03.2024 с ИП Никулиной Н.Э. на сумму 391,17 тыс.руб. на поставку флагов;
- №0187300013724000036 от 05.04.2024 с ИП Козер С.А. на сумму 1 396,89 тыс.руб. на выполнение работ по обустройству тротуара от жилого дома по улице Молодежная, дом 26 до жилого дома по улице Ленинградская, дом 8 в городе Когалыме;
- №0187300013724000034 от 15.04.2024 с ООО "Юграпромэнерго" на сумму 6 152,24 тыс.руб. на выполнение работ по ремонту тротуаров в городе Когалыме (вдоль ул. Ленинградская 1, 9,17,19);
- №0187300013724000067 от 02.05.2024 с ООО "АКВАСТРОЙ-СЕРВИС" на выполнение работ по обустройству ливневой канализации в районе детской поликлиники и инфекционного отделения БУ "Когалымской городской больницы" города Когалыма на сумму 1 377,743 тыс.руб.;
- №30/2024 от 02.05.2024 с ООО "Сантехсервис" на оказание услуг по расконсервации и запуску фонтана (ул. Мира) на сумму 71,078 тыс.руб.;
- №ЮЭ86КО1700000345 от 02.05.2024 с АО "Югра-Экология" на оказание услуг по обращению с твердыми коммунальными отходами (общественные территории при проведении меропрятий) на сумму 78,799 тыс.руб.; 
- №0187300013724000093 от 20.05.2024 с ООО "АКВАСТРОЙ-СЕРВИС" на выполнение работ по обустройству ливневой канализации в районе МАОУ "Средняя школа №5" по улице Прибалтийская в городе Когалыме на сумму 698,495 тыс.руб.;
- №37/2024 от 29.05.2024 на разработку проектно-сметной документации системы видеонаблюдения на объекте "Зона отдыха по улице Сибирская в городе Когалыме" на сумму 478,975 руб.;
-№38/2024 от 29.05.2024 на оказание услуг по обслуживанию и консервации фонтана на сумму 547,849 тыс.руб.;
- №2024.622681 от 30.05.2024 Поставка хозяйственных товаров на сумму 83,96 тыс.руб.
     В соответствии с постановлением Администрации г.Когалыма  от 22.05.2024 №975 перераспределена экономия плановых ассигнований на откачку талых вод на территории города Когалыма в сумме 599,5 тыс.руб.
     На основании решения Думы г.Когалыма от 19.06.2024 №410-ГД на реализацию данного мероприятия муниципальной программы дополнительно выделено и перераспределено 27 103,5 тыс.руб.
     Неполное освоение плановых ассигнований обусловлено: 
- сроками оказания услуг по расконсервации и запуску фонтана по ул.Мира и их оплаты (в соответствии с условиями муниципального контракта срок оплаты оказанных услуг на основании акта до 05.07.2024), 
- оплатой за откачку дождевых вод по факту на основании акта сдачи-приемки оказанных услуг (в связи с отсутствием дождливых дней в мае 2024 года услуга по откачке вод не была востребована).</t>
      </is>
    </nc>
  </rcc>
  <rcc rId="13687" sId="23">
    <oc r="AF36" t="inlineStr">
      <is>
        <t xml:space="preserve">     В соответствии с МК от 15.12.2023 №119/2023 на сумму 576,312 тыс.руб. ведутся работы по ремонту сетей наружного освещения пешеходного моста через реку Ингу-Ягун по адресу: г.Когалым, район Административного здания блока "С".
     Заключены МК:
- №0187300013724000068 от 02.05.2024 с ИП Бикбовым А.А. на выполнение работ по покраске конструкций Пешеходного моста через реку Ингу-Ягун по адресу: город Когалым, район Административного здания блока "С" на сумму 2 499,999 руб.;
- №0187300013724000069 от 08.05.2024 с ООО "Ягуар" на выполнение работ по ремонту Пешеходного моста через реку Ингу-Ягун по адресу: город Когалым, район Административного здания блока «С» на сумму 7 808,982 руб.      
     В соответствии с постановлением Администрации г.Когалыма  от 22.05.2024 №975 перераспределена экономия плановых ассигнований в сумме 1 199,4 тыс.руб. на вывоз снега и откачку дождевых и талых вод.</t>
      </is>
    </oc>
    <nc r="AF36" t="inlineStr">
      <is>
        <t xml:space="preserve">     В соответствии с МК от 15.12.2023 №119/2023 на сумму 576,312 тыс.руб. ведутся работы по ремонту сетей наружного освещения пешеходного моста через реку Ингу-Ягун по адресу: г.Когалым, район Административного здания блока "С".
     Заключены МК:
- №0187300013724000068 от 02.05.2024 с ИП Бикбовым А.А. на выполнение работ по покраске конструкций Пешеходного моста через реку Ингу-Ягун по адресу: город Когалым, район Административного здания блока "С" на сумму 2 499,999 руб.;
- №0187300013724000069 от 08.05.2024 с ООО "Ягуар" на выполнение работ по ремонту Пешеходного моста через реку Ингу-Ягун по адресу: город Когалым, район Административного здания блока «С» на сумму 7 808,982 руб.      
   </t>
      </is>
    </nc>
  </rcc>
  <rcc rId="13688" sId="23">
    <oc r="AF57" t="inlineStr">
      <is>
        <t xml:space="preserve">     Заключены муниципальные контракты:
- №0187300013723000407 от 25.12.2023 на выполнение работ по оперативному, тех.обслуживанию и текущему ремонту эл/оборудования сетей НО и светофорных объектов г.Когалыма с АО "ЮТЭК-Когалым" на сумму 27 125,2 тыс.руб.;
- №ЭС1902000062/24 от 29.12.2023 на поставку эл/энергии для наружного освещения г.Когалыма с АО "Газпром энергосбыт Тюмень" на сумму 20 523,8 тыс.руб. 
- №0187300013724000059 от 19.04.2024 на выполнение работ по ремонту(замене) оборудования сетей наружного освещения на территории города Когалыма (ул. Прибалтийская, д.20/1, ул. Дружбы Народов, д. 43) на сумму 785,02 тыс.руб.
     Ежемесячная оплата электроэнергии и ТО сетей НО производятся на основании выставленных счетов и актов оказанных услуг (выполненных работ).</t>
      </is>
    </oc>
    <nc r="AF57" t="inlineStr">
      <is>
        <t xml:space="preserve">     Заключены муниципальные контракты:
- №0187300013723000407 от 25.12.2023 на выполнение работ по оперативному, тех.обслуживанию и текущему ремонту эл/оборудования сетей НО и светофорных объектов г.Когалыма с АО "ЮТЭК-Когалым" на сумму 27 125,2 тыс.руб.;
- №ЭС1902000062/24 от 29.12.2023 на поставку эл/энергии для наружного освещения г.Когалыма с АО "Газпром энергосбыт Тюмень" на сумму 20 523,8 тыс.руб. 
- №0187300013724000059 от 19.04.2024 на выполнение работ по ремонту(замене) оборудования сетей наружного освещения на территории города Когалыма (ул. Прибалтийская, д.20/1, ул. Дружбы Народов, д. 43) на сумму 785,02 тыс.руб.
     Ежемесячная оплата электроэнергии и ТО сетей НО производятся на основании выставленных счетов и актов оказанных услуг (выполненных работ).    
     В соответствии с приказом КФ от 11.06.2024 №55-О экономия плановых ассигнований в сумме 242,1 тыс.руб. перераспределена  на промывку сетей ливневой канализации.
     На основании решения Думы города Когалыма от 19.06.2024 №410-ГД выделены ПА в сумме 266,1 тыс.руб. на выполнение работ по разработке проектно-сметной документации для строительства сетей НО по ул.Бакинская в районе парковки для автоприцепов .</t>
      </is>
    </nc>
  </rcc>
  <rcc rId="13689" sId="23">
    <oc r="AF64" t="inlineStr">
      <is>
        <t xml:space="preserve">     С ООО "Ритуал" заключены муниципальные контракты с периодом оказания услуг с 01.01.2024 по 31.12.2025:
- №0187300013723000388 от 04.12.2023 на оказание услуг по перевозке умерших с места летального исхода на сумму 2 390,386 тыс.руб.;
- №0187300013723000392 от 15.12.2023 на оказание услуг по содержанию городского кладбища на территории города Когалыма на сумму 2 901,36 тыс.руб.
     На 2024 год с ООО "Ритуал" заключено соглашение №1-32-КО от 09.01.2024 о предоставлении из бюджета г.Когалыма субсидии на возмещение части затрат в связи с оказанием ритуальных услуг на сумму 1 517,24 тыс.руб.
     Оплата производится за фактически оказанные услуги на основании актов.
     Заключен МК №0187300013724000086 от  20.05.2024 на оказание услуг по инвентаризации мест захоронений (кладбищ), расположенных на территории города Когалыма на сумму 388,444 тыс.руб.</t>
      </is>
    </oc>
    <nc r="AF64" t="inlineStr">
      <is>
        <t xml:space="preserve">     С ООО "Ритуал" заключены муниципальные контракты с периодом оказания услуг с 01.01.2024 по 31.12.2025:
- №0187300013723000388 от 04.12.2023 на оказание услуг по перевозке умерших с места летального исхода на сумму 2 390,386 тыс.руб.;
- №0187300013723000392 от 15.12.2023 на оказание услуг по содержанию городского кладбища на территории города Когалыма на сумму 2 901,36 тыс.руб.
     На 2024 год с ООО "Ритуал" заключено соглашение №1-32-КО от 09.01.2024 о предоставлении из бюджета г.Когалыма субсидии на возмещение части затрат в связи с оказанием ритуальных услуг на сумму 1 517,24 тыс.руб.
     Оплата производится за фактически оказанные услуги на основании актов.
     Заключен МК №0187300013724000086 от  20.05.2024 на оказание услуг по инвентаризации мест захоронений (кладбищ), расположенных на территории города Когалыма на сумму 388,444 тыс.руб.
     В соответствии с решением Думы г.Когалыма от 19.06.2024 №410-ГД перераспределена экономия ПА по результатам проведения эл.аукциона на инвентаризацию кладбищ и мест захоронения на территории г.Когалыма на предоставление субсидии на возмещение части затрат в связи с осуществлением деятельности по обращению с животными без владельцев на территории города Когалыма в сумме 808,9 тыс.руб. и содержание объекта "Этногдеревня в г.Когалыме" в сумме 29,6 тыс.руб.</t>
      </is>
    </nc>
  </rcc>
  <rcc rId="13690" sId="23">
    <oc r="AF78" t="inlineStr">
      <is>
        <t xml:space="preserve">     На оказание услуг по обращению с животными без владельцев на территории г.Когалыма заключены МК с ИП Скляр Л.П.:
     - № 115/2023 от 15.12.2023 (услуги на сумму 582,6 тыс.руб. оказаны в период с 15.12.2023 по 21.01.2024). Услуги по МК выполнены и оплачены в полном объеме.;
     - № 6/2024 от 25.01.2024  на сумму 600,00 тыс.руб. Услуги по МК выполнены и оплачены в полном объеме.
     - №13/2024/13 от 01.03.2024 на сумму 600,00 тыс.руб. Услуги по МК выполнены и оплачены в полном объеме.
     - №26/2024 от 11.04.2024 на сумму 582,59 тыс.руб. 
     Заключены МК с Абабий О.Н. на оказание услуг по подготовке животного к проведению ветеринарных мероприятий с послеоперационным уходом на территории города Когалыма:
      - №8/2024 от 01.02.2024  на сумму 99,9 тыс.руб. Услуги по МК выполнены и оплачены в полном объеме.
     - 13/2024/14 от 01.03.2024 на сумму 99,9 тыс.руб. Услуги по МК выполнены и оплачены в полном объеме.     
     Неполное освоение плановых ассигнований обусловлено несвоевременным предоставлением документов (31.05.2024) на возмещение части затрат в связи с осуществлением деятельности по обращению с животными без владельцев на территории города Когалыма.</t>
      </is>
    </oc>
    <nc r="AF78" t="inlineStr">
      <is>
        <t xml:space="preserve">     На оказание услуг по обращению с животными без владельцев на территории г.Когалыма заключены МК с ИП Скляр Л.П.:
     - № 115/2023 от 15.12.2023 (услуги на сумму 582,6 тыс.руб. оказаны в период с 15.12.2023 по 21.01.2024). Услуги по МК выполнены и оплачены в полном объеме.;
     - № 6/2024 от 25.01.2024  на сумму 600,00 тыс.руб.     Услуги по МК выполнены и оплачены в полном объеме.
     - №13/2024/13 от 01.03.2024 на сумму 600,00 тыс.руб. Услуги по МК выполнены и оплачены в полном объеме.
     - №26/2024 от 11.04.2024 на сумму 582,59 тыс.руб.       Услуги по МК выполнены и оплачены в полном объеме.
     - №48/2024 от 01.07.2024 на сумму 600,00 тыс.руб.       Услуги по МК выполнены и оплачены в полном объеме.
     - №55/2024 от 24.07.2024 на сумму 600,00 тыс.руб.
     Заключены МК с Абабий О.Н. на оказание услуг по подготовке животного к проведению ветеринарных мероприятий с послеоперационным уходом на территории города Когалыма:
      - №8/2024 от 01.02.2024  на сумму 99,9 тыс.руб. Услуги по МК выполнены и оплачены в полном объеме.
     - 13/2024/14 от 01.03.2024 на сумму 99,9 тыс.руб. Услуги по МК выполнены и оплачены в полном объеме.     
     Неполное освоение плановых ассигнований обусловлено несвоевременным предоставлением документов на возмещение части затрат в связи с осуществлением деятельности по обращению с животными без владельцев на территории города Когалыма.
     В соответствии с решением Думы г.Когалыма от 19.06.2024 №410-ГД на организацию мероприятий при осуществлении деятельности по обращению с животными без владельцев перераспределена экономия ПА по результатам проведения эл.аукциона на инвентаризацию кладбищ и мест захоронения на территории г.Когалыма в сумме 808,9 тыс.руб. и дополнительно выделено 1 021,00 тыс.руб.</t>
      </is>
    </nc>
  </rcc>
  <rcc rId="13691" sId="23">
    <oc r="AF85" t="inlineStr">
      <is>
        <t xml:space="preserve">     Заключены МК:
     -№4/2024 от 25.01.2024 на выполнение работ по устройству будок в вольерах с 1го-4й ряд на территории "Приют для животных в городе Когалыме" по адресу: город Когалым, улица Повховское шоссе, 2 на сумму 416,479 тыс.руб.; 
     - №5/2024 от 25.01.2024 на выполнение работ по устройству будок в вольерах с 5го-6й ряд на территории "Приют для животных в городе Когалыме" по адресу: город Когалым, улица Повховское шоссе, 2 на сумму 208,239 тыс.руб.;
     - №24/2024 от 08.04.2024 на выполнение отделочных, сантехнических и электромонтажных работ в сооружениях, находящихся в зоне содержания животных на объекте "Приют для животных в городе Когалыме", расположенном по адресу: город Когалым, улица Повховское шоссе, 2 на сумму 461,812 тыс.руб.
     Работы по МК выполнены и оплачены в полном объеме.
 </t>
      </is>
    </oc>
    <nc r="AF85" t="inlineStr">
      <is>
        <t xml:space="preserve">     Заключены МК:
     -№4/2024 от 25.01.2024 на выполнение работ по устройству будок в вольерах с 1го-4й ряд на территории "Приют для животных в городе Когалыме" по адресу: город Когалым, улица Повховское шоссе, 2 на сумму 416,479 тыс.руб.; 
     - №5/2024 от 25.01.2024 на выполнение работ по устройству будок в вольерах с 5го-6й ряд на территории "Приют для животных в городе Когалыме" по адресу: город Когалым, улица Повховское шоссе, 2 на сумму 208,239 тыс.руб.;
     - №24/2024 от 08.04.2024 на выполнение отделочных, сантехнических и электромонтажных работ в сооружениях, находящихся в зоне содержания животных на объекте "Приют для животных в городе Когалыме", расположенном по адресу: город Когалым, улица Повховское шоссе, 2 на сумму 461,812 тыс.руб.
     Работы по МК выполнены и оплачены в полном объеме.
     На основании решения Думы г.Когалыма от 19.06.2024 №410-ГД выделены плановые ассигнования в сумме 606,1 тыс.руб. на работы по заглублению ограждения территории "Приют для животных в городе Когалыме" в землю.
     Заключен МК №44/2024 от 25.06.2024 на выполнение работ по заглублению ограждения на объекте "Приют для животных в городе Когалыме", расположенном по адресу: город Когалым, улица Повховское шоссе, 2 на сумму 598,136 тыс.руб.
     Работы по МК выполнены и оплачены в полном объеме.</t>
      </is>
    </nc>
  </rcc>
  <rcc rId="13692" sId="23">
    <oc r="AF92" t="inlineStr">
      <is>
        <t xml:space="preserve">     На основании постановления Администрации г.Когалыма от 13.02.2024 №295 выделены плановые ассигнования в сумме       6 871,9 тыс.руб., в том числе на архитектурную подсветку путепровода автодороги Повховское шоссе г.Когалыма в сумме      4 109,1 тыс.руб.; на архитектурную подсветку пешеходного моста "Циркуль" в сумме 2 762,8 тыс.руб.
     Заключен МК от 22.04.2024 №0187300013724000064 на выполнение работ по монтажу архитектурной подсветки пешеходного моста через реку Ингу-Ягун по адресу: город Когалым, район Административного здания блока «С» на сумму 699,051 тыс.руб.</t>
      </is>
    </oc>
    <nc r="AF92" t="inlineStr">
      <is>
        <t xml:space="preserve">     На основании постановления Администрации г.Когалыма от 13.02.2024 №295 выделены плановые ассигнования в сумме 6871,9 тыс.руб., в том числе:
- на архитектурную подсветку путепровода автодороги Повховское шоссе г.Когалыма в сумме 4 109,1 тыс.руб.; 
- на архитектурную подсветку пешеходного моста "Циркуль" в сумме 2 762,8 тыс.руб.
     Заключен МК от 22.04.2024 №0187300013724000064 на выполнение работ по монтажу архитектурной подсветки пешеходного моста через реку Ингу-Ягун по адресу: город Когалым, район Административного здания блока «С» на сумму 699,051 тыс.руб.
     В соответствии с приказом КФ от 11.06.2024 №55-О экономия ПА в сумме 2 063,7 тыс.руб. перераспределена на промывку ливневой канализации вдоль автодороги по ул.Мира (от ул.Степана Повха до ул.Прибалтийская).
     Заключен МК от 17.06.2024 №0187300013724000113 на выполнение работ по монтажу архитектурной подсветки объекта "Путепровод на км 0+468 автодороги Повховское шоссе в городе Когалыме" на сумму 2 461,244 тыс.руб.
     Экономия плановых ассигнований в сумме 924,2 тыс.руб. перераспределена на другие мероприятия в рамках муниципальной программы на основании приказа КФ Администрации г.Когалыма от 22.07.2024 №64-О.</t>
      </is>
    </nc>
  </rcc>
  <rcc rId="13693" sId="23">
    <nc r="AF98" t="inlineStr">
      <is>
        <t xml:space="preserve">          В соответствии с приказом КФ от 11.06.2024 №55-О в рамках муниципальной программы перераспределена экономия ПА в сумме 600,0 тыс.руб. на демонтаж и утилизацию непригодного для эксплуатации здания "Котельная №2", расположенного по адресу: г.Когалым, ул.Нефтяников, 15 (письмо от 13.05.2024 №69-Исх-1492) (земельный участок предназначен для жилищного строительства). 
     Заключен МК от 13.06.2024 №40/2024 на выполнение работ по сносу объекта капитального строительства "Котельная № 2(СУ-951)", расположенного по адресу: Тюменская область, Ханты-Мансийский автономный округ-Югра, город Когалым, улица Нефтяников, д. № 15 на сумму 600,0 тыс.руб. Работы по контракту выполнены и приняты 31.07.2024. Оплата по контракту будет произведена в августе. 
    Согласно постановлению Администрации г.Когалыма от 22.07.2024 №1354 на проведение обследования и оценки тех.состояния дома №11 по ул.Заречная г.Когалыма перераспределено 70,00 тыс.руб.
   </t>
      </is>
    </nc>
  </rcc>
  <rfmt sheetId="23" sqref="AF64" start="0" length="2147483647">
    <dxf>
      <font>
        <b val="0"/>
      </font>
    </dxf>
  </rfmt>
  <rfmt sheetId="23" sqref="AF57" start="0" length="2147483647">
    <dxf>
      <font>
        <b val="0"/>
      </font>
    </dxf>
  </rfmt>
  <rfmt sheetId="23" sqref="AF50" start="0" length="2147483647">
    <dxf>
      <font>
        <b val="0"/>
      </font>
    </dxf>
  </rfmt>
  <rfmt sheetId="23" sqref="AF50:AF55">
    <dxf>
      <alignment wrapText="0" readingOrder="0"/>
    </dxf>
  </rfmt>
  <rcc rId="13694" sId="23" odxf="1" s="1" dxf="1">
    <oc r="AF50" t="inlineStr">
      <is>
        <t xml:space="preserve">     Выполняются работы по энергосбережению и повышению энергетической эффективности при эксплуатации объектов наружного (уличного) освещения в городе Когалыме в соответствии с МК от 14.07.2020 №0187300013720000073 на сумму 51 159,4 тыс.руб. 
     Завершение работ по контракту - октябрь 2026 года.</t>
      </is>
    </oc>
    <nc r="AF50" t="inlineStr">
      <is>
        <t xml:space="preserve">     Выполняются работы по энергосбережению и повышению энергетической эффективности при эксплуатации объектов наружного (уличного) освещения в городе Когалыме в соответствии с МК от 14.07.2020 №0187300013720000073 на сумму 51 159,4 тыс.руб. Оплата производится на основании Акта о достигнутой экономии энергетических ресурсов.
     Завершение работ по контракту - октябрь 2026 года.</t>
      </is>
    </nc>
    <ndxf>
      <fill>
        <patternFill patternType="solid">
          <bgColor theme="0"/>
        </patternFill>
      </fill>
      <alignment wrapText="1" readingOrder="0"/>
      <border outline="0">
        <bottom/>
      </border>
    </ndxf>
  </rcc>
  <rfmt sheetId="23" s="1" sqref="AF51" start="0" length="0">
    <dxf>
      <font>
        <b val="0"/>
        <sz val="12"/>
        <color auto="1"/>
        <name val="Times New Roman"/>
        <scheme val="none"/>
      </font>
      <fill>
        <patternFill patternType="solid">
          <bgColor theme="0"/>
        </patternFill>
      </fill>
      <alignment wrapText="1" readingOrder="0"/>
      <border outline="0">
        <top/>
        <bottom/>
      </border>
    </dxf>
  </rfmt>
  <rfmt sheetId="23" s="1" sqref="AF52" start="0" length="0">
    <dxf>
      <font>
        <b val="0"/>
        <sz val="12"/>
        <color auto="1"/>
        <name val="Times New Roman"/>
        <scheme val="none"/>
      </font>
      <fill>
        <patternFill patternType="solid">
          <bgColor theme="0"/>
        </patternFill>
      </fill>
      <alignment wrapText="1" readingOrder="0"/>
      <border outline="0">
        <top/>
        <bottom/>
      </border>
    </dxf>
  </rfmt>
  <rfmt sheetId="23" s="1" sqref="AF53" start="0" length="0">
    <dxf>
      <font>
        <b val="0"/>
        <sz val="12"/>
        <color auto="1"/>
        <name val="Times New Roman"/>
        <scheme val="none"/>
      </font>
      <fill>
        <patternFill patternType="solid">
          <bgColor theme="0"/>
        </patternFill>
      </fill>
      <alignment wrapText="1" readingOrder="0"/>
      <border outline="0">
        <top/>
        <bottom/>
      </border>
    </dxf>
  </rfmt>
  <rfmt sheetId="23" s="1" sqref="AF54" start="0" length="0">
    <dxf>
      <font>
        <b val="0"/>
        <sz val="12"/>
        <color auto="1"/>
        <name val="Times New Roman"/>
        <scheme val="none"/>
      </font>
      <fill>
        <patternFill patternType="solid">
          <bgColor theme="0"/>
        </patternFill>
      </fill>
      <alignment wrapText="1" readingOrder="0"/>
      <border outline="0">
        <top/>
        <bottom/>
      </border>
    </dxf>
  </rfmt>
  <rfmt sheetId="23" s="1" sqref="AF55" start="0" length="0">
    <dxf>
      <font>
        <b val="0"/>
        <sz val="12"/>
        <color auto="1"/>
        <name val="Times New Roman"/>
        <scheme val="none"/>
      </font>
      <fill>
        <patternFill patternType="solid">
          <bgColor theme="0"/>
        </patternFill>
      </fill>
      <alignment wrapText="1" readingOrder="0"/>
      <border outline="0">
        <top/>
        <bottom/>
      </border>
    </dxf>
  </rfmt>
  <rfmt sheetId="23" s="1" sqref="AF56" start="0" length="0">
    <dxf>
      <font>
        <b val="0"/>
        <sz val="12"/>
        <color auto="1"/>
        <name val="Times New Roman"/>
        <scheme val="none"/>
      </font>
      <fill>
        <patternFill patternType="solid">
          <bgColor theme="0"/>
        </patternFill>
      </fill>
      <border outline="0">
        <top/>
        <bottom style="thin">
          <color indexed="64"/>
        </bottom>
      </border>
    </dxf>
  </rfmt>
  <rfmt sheetId="23" sqref="AF98">
    <dxf>
      <protection locked="0"/>
    </dxf>
  </rfmt>
  <rfmt sheetId="23" sqref="A35" start="0" length="0">
    <dxf>
      <alignment wrapText="0" readingOrder="0"/>
    </dxf>
  </rfmt>
  <rcc rId="13695" sId="23" odxf="1" dxf="1">
    <oc r="A98" t="inlineStr">
      <is>
        <t>Всего по муниципальной программе:</t>
      </is>
    </oc>
    <nc r="A98" t="inlineStr">
      <is>
        <t>1.8 Обследование и снос зданий, сооружений, расположенных на территории города Когалыма (11)</t>
      </is>
    </nc>
    <ndxf>
      <alignment vertical="center" wrapText="0" readingOrder="0"/>
    </ndxf>
  </rcc>
  <rfmt sheetId="23" sqref="A70" start="0" length="0">
    <dxf>
      <alignment vertical="center" wrapText="0" readingOrder="0"/>
    </dxf>
  </rfmt>
  <rcv guid="{E508E171-4ED9-4B07-84DF-DA28C60E1969}" action="delete"/>
  <rdn rId="0" localSheetId="2" customView="1" name="Z_E508E171_4ED9_4B07_84DF_DA28C60E1969_.wvu.Rows" hidden="1" oldHidden="1">
    <formula>'1.СЗН'!$69:$73</formula>
    <oldFormula>'1.СЗН'!$69:$73</oldFormula>
  </rdn>
  <rdn rId="0" localSheetId="2" customView="1" name="Z_E508E171_4ED9_4B07_84DF_DA28C60E1969_.wvu.FilterData" hidden="1" oldHidden="1">
    <formula>'1.СЗН'!$A$1:$AF$63</formula>
    <oldFormula>'1.СЗН'!$A$1:$AF$63</oldFormula>
  </rdn>
  <rdn rId="0" localSheetId="3" customView="1" name="Z_E508E171_4ED9_4B07_84DF_DA28C60E1969_.wvu.FilterData" hidden="1" oldHidden="1">
    <formula>'2.АПК'!$A$1:$AF$36</formula>
    <oldFormula>'2.АПК'!$A$1:$AF$36</oldFormula>
  </rdn>
  <rdn rId="0" localSheetId="4" customView="1" name="Z_E508E171_4ED9_4B07_84DF_DA28C60E1969_.wvu.FilterData" hidden="1" oldHidden="1">
    <formula>'3.БЖД'!$A$1:$AF$17</formula>
    <oldFormula>'3.БЖД'!$A$1:$AF$17</oldFormula>
  </rdn>
  <rdn rId="0" localSheetId="5" customView="1" name="Z_E508E171_4ED9_4B07_84DF_DA28C60E1969_.wvu.FilterData" hidden="1" oldHidden="1">
    <formula>'4.УМИ'!$A$1:$AF$11</formula>
    <oldFormula>'4.УМИ'!$A$1:$AF$11</oldFormula>
  </rdn>
  <rdn rId="0" localSheetId="6" customView="1" name="Z_E508E171_4ED9_4B07_84DF_DA28C60E1969_.wvu.FilterData" hidden="1" oldHidden="1">
    <formula>'5.Проф. прав.'!$A$1:$AF$12</formula>
    <oldFormula>'5.Проф. прав.'!$A$1:$AF$12</oldFormula>
  </rdn>
  <rdn rId="0" localSheetId="7" customView="1" name="Z_E508E171_4ED9_4B07_84DF_DA28C60E196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E508E171_4ED9_4B07_84DF_DA28C60E1969_.wvu.FilterData" hidden="1" oldHidden="1">
    <formula>'6.Экстримизм'!$A$1:$AF$11</formula>
    <oldFormula>'6.Экстримизм'!$A$1:$AF$11</oldFormula>
  </rdn>
  <rdn rId="0" localSheetId="14" customView="1" name="Z_E508E171_4ED9_4B07_84DF_DA28C60E1969_.wvu.FilterData" hidden="1" oldHidden="1">
    <formula>'11.МП РО'!$A$4:$A$380</formula>
    <oldFormula>'11.МП РО'!$A$4:$A$380</oldFormula>
  </rdn>
  <rdn rId="0" localSheetId="17" customView="1" name="Z_E508E171_4ED9_4B07_84DF_DA28C60E1969_.wvu.Rows" hidden="1" oldHidden="1">
    <formula>'13.МП РЖС'!$122:$127</formula>
    <oldFormula>'13.МП РЖС'!$122:$127</oldFormula>
  </rdn>
  <rdn rId="0" localSheetId="17" customView="1" name="Z_E508E171_4ED9_4B07_84DF_DA28C60E1969_.wvu.Cols" hidden="1" oldHidden="1">
    <formula>'13.МП РЖС'!$AG:$AG</formula>
    <oldFormula>'13.МП РЖС'!$AG:$AG</oldFormula>
  </rdn>
  <rcv guid="{E508E171-4ED9-4B07-84DF-DA28C60E1969}" action="add"/>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07" sId="23">
    <oc r="C3" t="inlineStr">
      <is>
        <t>План на 01.06.2024</t>
      </is>
    </oc>
    <nc r="C3" t="inlineStr">
      <is>
        <t>План на 01.08.2024</t>
      </is>
    </nc>
  </rcc>
  <rcc rId="13708" sId="23">
    <oc r="D3" t="inlineStr">
      <is>
        <t>Профинансировано на 01.06.2024</t>
      </is>
    </oc>
    <nc r="D3" t="inlineStr">
      <is>
        <t>Профинансировано на 01.08.2024</t>
      </is>
    </nc>
  </rcc>
  <rcc rId="13709" sId="23">
    <oc r="E3" t="inlineStr">
      <is>
        <t>Кассовый расход на 01.06.2024</t>
      </is>
    </oc>
    <nc r="E3" t="inlineStr">
      <is>
        <t>Кассовый расход на 01.08.2024</t>
      </is>
    </nc>
  </rcc>
  <rfmt sheetId="23" sqref="AF110:AF116" start="0" length="0">
    <dxf>
      <border>
        <right style="thin">
          <color indexed="64"/>
        </right>
      </border>
    </dxf>
  </rfmt>
  <rfmt sheetId="23" sqref="AE116:AF116" start="0" length="0">
    <dxf>
      <border>
        <bottom style="thin">
          <color indexed="64"/>
        </bottom>
      </border>
    </dxf>
  </rfmt>
  <rcv guid="{E508E171-4ED9-4B07-84DF-DA28C60E1969}" action="delete"/>
  <rdn rId="0" localSheetId="2" customView="1" name="Z_E508E171_4ED9_4B07_84DF_DA28C60E1969_.wvu.Rows" hidden="1" oldHidden="1">
    <formula>'1.СЗН'!$69:$73</formula>
    <oldFormula>'1.СЗН'!$69:$73</oldFormula>
  </rdn>
  <rdn rId="0" localSheetId="2" customView="1" name="Z_E508E171_4ED9_4B07_84DF_DA28C60E1969_.wvu.FilterData" hidden="1" oldHidden="1">
    <formula>'1.СЗН'!$A$1:$AF$63</formula>
    <oldFormula>'1.СЗН'!$A$1:$AF$63</oldFormula>
  </rdn>
  <rdn rId="0" localSheetId="3" customView="1" name="Z_E508E171_4ED9_4B07_84DF_DA28C60E1969_.wvu.FilterData" hidden="1" oldHidden="1">
    <formula>'2.АПК'!$A$1:$AF$36</formula>
    <oldFormula>'2.АПК'!$A$1:$AF$36</oldFormula>
  </rdn>
  <rdn rId="0" localSheetId="4" customView="1" name="Z_E508E171_4ED9_4B07_84DF_DA28C60E1969_.wvu.FilterData" hidden="1" oldHidden="1">
    <formula>'3.БЖД'!$A$1:$AF$17</formula>
    <oldFormula>'3.БЖД'!$A$1:$AF$17</oldFormula>
  </rdn>
  <rdn rId="0" localSheetId="5" customView="1" name="Z_E508E171_4ED9_4B07_84DF_DA28C60E1969_.wvu.FilterData" hidden="1" oldHidden="1">
    <formula>'4.УМИ'!$A$1:$AF$11</formula>
    <oldFormula>'4.УМИ'!$A$1:$AF$11</oldFormula>
  </rdn>
  <rdn rId="0" localSheetId="6" customView="1" name="Z_E508E171_4ED9_4B07_84DF_DA28C60E1969_.wvu.FilterData" hidden="1" oldHidden="1">
    <formula>'5.Проф. прав.'!$A$1:$AF$12</formula>
    <oldFormula>'5.Проф. прав.'!$A$1:$AF$12</oldFormula>
  </rdn>
  <rdn rId="0" localSheetId="7" customView="1" name="Z_E508E171_4ED9_4B07_84DF_DA28C60E1969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E508E171_4ED9_4B07_84DF_DA28C60E1969_.wvu.FilterData" hidden="1" oldHidden="1">
    <formula>'6.Экстримизм'!$A$1:$AF$11</formula>
    <oldFormula>'6.Экстримизм'!$A$1:$AF$11</oldFormula>
  </rdn>
  <rdn rId="0" localSheetId="14" customView="1" name="Z_E508E171_4ED9_4B07_84DF_DA28C60E1969_.wvu.FilterData" hidden="1" oldHidden="1">
    <formula>'11.МП РО'!$A$4:$A$380</formula>
    <oldFormula>'11.МП РО'!$A$4:$A$380</oldFormula>
  </rdn>
  <rdn rId="0" localSheetId="17" customView="1" name="Z_E508E171_4ED9_4B07_84DF_DA28C60E1969_.wvu.Rows" hidden="1" oldHidden="1">
    <formula>'13.МП РЖС'!$122:$127</formula>
    <oldFormula>'13.МП РЖС'!$122:$127</oldFormula>
  </rdn>
  <rdn rId="0" localSheetId="17" customView="1" name="Z_E508E171_4ED9_4B07_84DF_DA28C60E1969_.wvu.Cols" hidden="1" oldHidden="1">
    <formula>'13.МП РЖС'!$AG:$AG</formula>
    <oldFormula>'13.МП РЖС'!$AG:$AG</oldFormula>
  </rdn>
  <rcv guid="{E508E171-4ED9-4B07-84DF-DA28C60E1969}"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A602CB8-B24C-4ED4-B378-B27354BE0A1A}" action="delete"/>
  <rdn rId="0" localSheetId="2" customView="1" name="Z_6A602CB8_B24C_4ED4_B378_B27354BE0A1A_.wvu.Rows" hidden="1" oldHidden="1">
    <formula>'1.СЗН'!$69:$73</formula>
    <oldFormula>'1.СЗН'!$69:$73</oldFormula>
  </rdn>
  <rdn rId="0" localSheetId="2" customView="1" name="Z_6A602CB8_B24C_4ED4_B378_B27354BE0A1A_.wvu.FilterData" hidden="1" oldHidden="1">
    <formula>'1.СЗН'!$A$1:$AF$63</formula>
    <oldFormula>'1.СЗН'!$A$1:$AF$63</oldFormula>
  </rdn>
  <rdn rId="0" localSheetId="3" customView="1" name="Z_6A602CB8_B24C_4ED4_B378_B27354BE0A1A_.wvu.FilterData" hidden="1" oldHidden="1">
    <formula>'2.АПК'!$A$1:$AF$36</formula>
    <oldFormula>'2.АПК'!$A$1:$AF$36</oldFormula>
  </rdn>
  <rdn rId="0" localSheetId="4" customView="1" name="Z_6A602CB8_B24C_4ED4_B378_B27354BE0A1A_.wvu.FilterData" hidden="1" oldHidden="1">
    <formula>'3.БЖД'!$A$1:$AF$17</formula>
    <oldFormula>'3.БЖД'!$A$1:$AF$17</oldFormula>
  </rdn>
  <rdn rId="0" localSheetId="5" customView="1" name="Z_6A602CB8_B24C_4ED4_B378_B27354BE0A1A_.wvu.FilterData" hidden="1" oldHidden="1">
    <formula>'4.УМИ'!$A$1:$AF$11</formula>
    <oldFormula>'4.УМИ'!$A$1:$AF$11</oldFormula>
  </rdn>
  <rdn rId="0" localSheetId="6" customView="1" name="Z_6A602CB8_B24C_4ED4_B378_B27354BE0A1A_.wvu.FilterData" hidden="1" oldHidden="1">
    <formula>'5.Проф. прав.'!$A$1:$AF$12</formula>
    <oldFormula>'5.Проф. прав.'!$A$1:$AF$12</oldFormula>
  </rdn>
  <rdn rId="0" localSheetId="7" customView="1" name="Z_6A602CB8_B24C_4ED4_B378_B27354BE0A1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A602CB8_B24C_4ED4_B378_B27354BE0A1A_.wvu.FilterData" hidden="1" oldHidden="1">
    <formula>'6.Экстримизм'!$A$1:$AF$11</formula>
    <oldFormula>'6.Экстримизм'!$A$1:$AF$11</oldFormula>
  </rdn>
  <rdn rId="0" localSheetId="14" customView="1" name="Z_6A602CB8_B24C_4ED4_B378_B27354BE0A1A_.wvu.FilterData" hidden="1" oldHidden="1">
    <formula>'11.МП РО'!$A$4:$A$380</formula>
    <oldFormula>'11.МП РО'!$A$4:$A$380</oldFormula>
  </rdn>
  <rdn rId="0" localSheetId="17" customView="1" name="Z_6A602CB8_B24C_4ED4_B378_B27354BE0A1A_.wvu.Rows" hidden="1" oldHidden="1">
    <formula>'13.МП РЖС'!$122:$127</formula>
    <oldFormula>'13.МП РЖС'!$122:$127</oldFormula>
  </rdn>
  <rdn rId="0" localSheetId="17" customView="1" name="Z_6A602CB8_B24C_4ED4_B378_B27354BE0A1A_.wvu.Cols" hidden="1" oldHidden="1">
    <formula>'13.МП РЖС'!$AG:$AG</formula>
    <oldFormula>'13.МП РЖС'!$AG:$AG</oldFormula>
  </rdn>
  <rcv guid="{6A602CB8-B24C-4ED4-B378-B27354BE0A1A}" action="add"/>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32" sId="4">
    <oc r="C9">
      <f>C10</f>
    </oc>
    <nc r="C9">
      <f>C10</f>
    </nc>
  </rcc>
  <rcc rId="13733" sId="4">
    <oc r="C11">
      <f>N11+P11+R11</f>
    </oc>
    <nc r="C11">
      <f>N11+P11+R11+T11</f>
    </nc>
  </rcc>
  <rcc rId="13734" sId="4">
    <oc r="D11">
      <f>N11+P11+R11</f>
    </oc>
    <nc r="D11">
      <f>N11+P11+R11+T11</f>
    </nc>
  </rcc>
  <rcc rId="13735" sId="4">
    <oc r="E11">
      <f>Q11+S11</f>
    </oc>
    <nc r="E11">
      <f>Q11+S11+U11</f>
    </nc>
  </rcc>
  <rcc rId="13736" sId="4" numFmtId="34">
    <nc r="U11">
      <v>200.95</v>
    </nc>
  </rcc>
  <rcc rId="13737" sId="4" numFmtId="34">
    <oc r="AD14">
      <v>2551.0300000000002</v>
    </oc>
    <nc r="AD14">
      <v>232.49</v>
    </nc>
  </rcc>
  <rcc rId="13738" sId="4">
    <oc r="U13">
      <f>U14</f>
    </oc>
    <nc r="U13">
      <f>U14</f>
    </nc>
  </rcc>
  <rcc rId="13739" sId="4" numFmtId="34">
    <nc r="U14">
      <v>1606.79</v>
    </nc>
  </rcc>
  <rcc rId="13740" sId="4" numFmtId="34">
    <oc r="T14">
      <v>232.48</v>
    </oc>
    <nc r="T14">
      <v>1606.79</v>
    </nc>
  </rcc>
  <rcc rId="13741" sId="4" numFmtId="34">
    <oc r="Z14">
      <v>232.48</v>
    </oc>
    <nc r="Z14">
      <v>1176.71</v>
    </nc>
  </rcc>
  <rcv guid="{69DABE6F-6182-4403-A4A2-969F10F1C13A}" action="delete"/>
  <rdn rId="0" localSheetId="2" customView="1" name="Z_69DABE6F_6182_4403_A4A2_969F10F1C13A_.wvu.Rows" hidden="1" oldHidden="1">
    <formula>'1.СЗН'!$69:$73</formula>
    <oldFormula>'1.СЗН'!$69:$73</oldFormula>
  </rdn>
  <rdn rId="0" localSheetId="2" customView="1" name="Z_69DABE6F_6182_4403_A4A2_969F10F1C13A_.wvu.FilterData" hidden="1" oldHidden="1">
    <formula>'1.СЗН'!$A$1:$AF$63</formula>
    <oldFormula>'1.СЗН'!$A$1:$AF$63</oldFormula>
  </rdn>
  <rdn rId="0" localSheetId="3" customView="1" name="Z_69DABE6F_6182_4403_A4A2_969F10F1C13A_.wvu.FilterData" hidden="1" oldHidden="1">
    <formula>'2.АПК'!$A$1:$AF$36</formula>
    <oldFormula>'2.АПК'!$A$1:$AF$36</oldFormula>
  </rdn>
  <rdn rId="0" localSheetId="4" customView="1" name="Z_69DABE6F_6182_4403_A4A2_969F10F1C13A_.wvu.FilterData" hidden="1" oldHidden="1">
    <formula>'3.БЖД'!$A$1:$AF$17</formula>
    <oldFormula>'3.БЖД'!$A$1:$AF$17</oldFormula>
  </rdn>
  <rdn rId="0" localSheetId="5" customView="1" name="Z_69DABE6F_6182_4403_A4A2_969F10F1C13A_.wvu.FilterData" hidden="1" oldHidden="1">
    <formula>'4.УМИ'!$A$1:$AF$11</formula>
    <oldFormula>'4.УМИ'!$A$1:$AF$11</oldFormula>
  </rdn>
  <rdn rId="0" localSheetId="6" customView="1" name="Z_69DABE6F_6182_4403_A4A2_969F10F1C13A_.wvu.FilterData" hidden="1" oldHidden="1">
    <formula>'5.Проф. прав.'!$A$1:$AF$12</formula>
    <oldFormula>'5.Проф. прав.'!$A$1:$AF$12</oldFormula>
  </rdn>
  <rdn rId="0" localSheetId="7" customView="1" name="Z_69DABE6F_6182_4403_A4A2_969F10F1C13A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9DABE6F_6182_4403_A4A2_969F10F1C13A_.wvu.FilterData" hidden="1" oldHidden="1">
    <formula>'6.Экстримизм'!$A$1:$AF$11</formula>
    <oldFormula>'6.Экстримизм'!$A$1:$AF$11</oldFormula>
  </rdn>
  <rdn rId="0" localSheetId="14" customView="1" name="Z_69DABE6F_6182_4403_A4A2_969F10F1C13A_.wvu.FilterData" hidden="1" oldHidden="1">
    <formula>'11.МП РО'!$A$4:$A$380</formula>
    <oldFormula>'11.МП РО'!$A$4:$A$380</oldFormula>
  </rdn>
  <rdn rId="0" localSheetId="17" customView="1" name="Z_69DABE6F_6182_4403_A4A2_969F10F1C13A_.wvu.Rows" hidden="1" oldHidden="1">
    <formula>'13.МП РЖС'!$122:$127</formula>
    <oldFormula>'13.МП РЖС'!$122:$127</oldFormula>
  </rdn>
  <rdn rId="0" localSheetId="17" customView="1" name="Z_69DABE6F_6182_4403_A4A2_969F10F1C13A_.wvu.Cols" hidden="1" oldHidden="1">
    <formula>'13.МП РЖС'!$AG:$AG</formula>
    <oldFormula>'13.МП РЖС'!$AG:$AG</oldFormula>
  </rdn>
  <rcv guid="{69DABE6F-6182-4403-A4A2-969F10F1C13A}" action="add"/>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53" sId="4">
    <nc r="U31">
      <v>98.48</v>
    </nc>
  </rcc>
  <rcc rId="13754" sId="4">
    <oc r="C31">
      <f>H31+J31+L31+N31+P31+R31</f>
    </oc>
    <nc r="C31">
      <f>H31+J31+L31+N31+P31+R31+T31</f>
    </nc>
  </rcc>
  <rcc rId="13755" sId="4">
    <oc r="D31">
      <f>H31+J31+L31+N31+P31+R31</f>
    </oc>
    <nc r="D31">
      <f>H31+J31+L31+N31+P31+R31+T31</f>
    </nc>
  </rcc>
  <rcc rId="13756" sId="4">
    <oc r="E31">
      <f>I31+K31+M31+O31+Q31+S31</f>
    </oc>
    <nc r="E31">
      <f>I31+K31+M31+O31+Q31+S31+U31</f>
    </nc>
  </rcc>
  <rcc rId="13757" sId="4">
    <nc r="U34">
      <v>44.17</v>
    </nc>
  </rcc>
  <rcc rId="13758" sId="4">
    <nc r="U32">
      <f>U33</f>
    </nc>
  </rcc>
  <rcc rId="13759" sId="4">
    <nc r="U33">
      <f>U34</f>
    </nc>
  </rcc>
  <rcc rId="13760" sId="4">
    <oc r="E34">
      <f>I34</f>
    </oc>
    <nc r="E34">
      <f>I34+U34</f>
    </nc>
  </rcc>
  <rcc rId="13761" sId="4">
    <nc r="T33">
      <f>T34</f>
    </nc>
  </rcc>
  <rcc rId="13762" sId="4">
    <nc r="T32">
      <f>T33</f>
    </nc>
  </rcc>
  <rcc rId="13763" sId="4">
    <nc r="S33">
      <f>S34</f>
    </nc>
  </rcc>
  <rcc rId="13764" sId="4">
    <nc r="S32">
      <f>S33</f>
    </nc>
  </rcc>
  <rcc rId="13765" sId="4">
    <oc r="V34">
      <v>51.97</v>
    </oc>
    <nc r="V34"/>
  </rcc>
  <rcc rId="13766" sId="4">
    <oc r="B34">
      <f>H34+J34+L34+N34+P34+R34+T34+V34+X34+Z34+AB34+AD34</f>
    </oc>
    <nc r="B34">
      <f>T34</f>
    </nc>
  </rcc>
  <rcc rId="13767" sId="4">
    <nc r="T34">
      <v>51.97</v>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68" sId="4">
    <nc r="U50">
      <v>804.34</v>
    </nc>
  </rcc>
  <rcc rId="13769" sId="4">
    <oc r="C50">
      <f>H50+J50+L50+N50+P50+R50</f>
    </oc>
    <nc r="C50">
      <f>H50+J50+L50+N50+P50+R50+T50</f>
    </nc>
  </rcc>
  <rcc rId="13770" sId="4">
    <oc r="D50">
      <f>H50+J50+L50+N50+P50+R50</f>
    </oc>
    <nc r="D50">
      <f>H50+J50+L50+N50+P50+R50+T50</f>
    </nc>
  </rcc>
  <rcc rId="13771" sId="4">
    <oc r="E50">
      <f>I50+K50+M50+O50+Q50+S50</f>
    </oc>
    <nc r="E50">
      <f>I50+K50+M50+O50+Q50+S50+U50</f>
    </nc>
  </rcc>
  <rcc rId="13772" sId="4" numFmtId="34">
    <nc r="U54">
      <v>3046.97</v>
    </nc>
  </rcc>
  <rcc rId="13773" sId="4">
    <oc r="C54">
      <f>H54+J54+L54+N54+P54+R54</f>
    </oc>
    <nc r="C54">
      <f>H54+J54+L54+N54+P54+R54+T54</f>
    </nc>
  </rcc>
  <rcc rId="13774" sId="4">
    <oc r="D54">
      <f>H54+J54+L54+N54+P54+R54</f>
    </oc>
    <nc r="D54">
      <f>H54+J54+L54+N54+P54+R54+T54</f>
    </nc>
  </rcc>
  <rcc rId="13775" sId="4">
    <oc r="E54">
      <f>I54+K54+M54+O54+Q54+S54</f>
    </oc>
    <nc r="E54">
      <f>I54+K54+M54+O54+Q54+S54+U54</f>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76" sId="4">
    <oc r="C14">
      <f>H14+J14+L14+N14+P14+R14</f>
    </oc>
    <nc r="C14">
      <f>H14+J14+L14+N14+P14+R14+T14</f>
    </nc>
  </rcc>
  <rcc rId="13777" sId="4">
    <oc r="D12">
      <f>D13</f>
    </oc>
    <nc r="D12">
      <f>D13</f>
    </nc>
  </rcc>
  <rcc rId="13778" sId="4">
    <oc r="D14">
      <f>H14+J14+L14+N14+P14+R14</f>
    </oc>
    <nc r="D14">
      <f>H14+J14+L14+N14+P14+R14+T14</f>
    </nc>
  </rcc>
  <rcc rId="13779" sId="4">
    <oc r="E14">
      <f>I14+K14+M14+O14+Q14+S14</f>
    </oc>
    <nc r="E14">
      <f>I14+K14+M14+O14+Q14+S14+U14</f>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80" sId="4" numFmtId="19">
    <oc r="C5">
      <v>45474</v>
    </oc>
    <nc r="C5">
      <v>45505</v>
    </nc>
  </rcc>
  <rcc rId="13781" sId="4" numFmtId="19">
    <oc r="D5">
      <v>45474</v>
    </oc>
    <nc r="D5">
      <v>45505</v>
    </nc>
  </rcc>
  <rcc rId="13782" sId="4" numFmtId="19">
    <oc r="E5">
      <v>45474</v>
    </oc>
    <nc r="E5">
      <v>45505</v>
    </nc>
  </rcc>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1" sqref="A99" start="0" length="2147483647">
    <dxf>
      <font>
        <color auto="1"/>
      </font>
    </dxf>
  </rfmt>
  <rcc rId="13783" sId="21" numFmtId="4">
    <nc r="U72">
      <v>963.86</v>
    </nc>
  </rcc>
  <rfmt sheetId="21" sqref="A69:AE69" start="0" length="2147483647">
    <dxf>
      <font>
        <color auto="1"/>
      </font>
    </dxf>
  </rfmt>
  <rcc rId="13784" sId="21">
    <oc r="AF70" t="inlineStr">
      <is>
        <r>
          <t xml:space="preserve">МБУ "КСАТ":
</t>
        </r>
        <r>
          <rPr>
            <sz val="12"/>
            <rFont val="Times New Roman"/>
            <family val="1"/>
            <charset val="204"/>
          </rPr>
          <t>Неисполнение субсидии по статье арендная плата 444,27 тыс. руб. за пользование имуществом возникло, в связи с тем, что оплата произведена согласно графика платежей.</t>
        </r>
      </is>
    </oc>
    <nc r="AF70" t="inlineStr">
      <is>
        <r>
          <t xml:space="preserve">МБУ "КСАТ":
</t>
        </r>
        <r>
          <rPr>
            <sz val="12"/>
            <rFont val="Times New Roman"/>
            <family val="1"/>
            <charset val="204"/>
          </rPr>
          <t>Неисполнение субсидии по статье арендная плата 332,79 тыс. руб. за пользование имуществом возникло, в связи с тем, что оплата произведена согласно графика платежей.</t>
        </r>
      </is>
    </nc>
  </rcc>
  <rfmt sheetId="21" sqref="A57:AE57" start="0" length="2147483647">
    <dxf>
      <font>
        <color auto="1"/>
      </font>
    </dxf>
  </rfmt>
  <rcc rId="13785" sId="21" numFmtId="4">
    <oc r="T66">
      <v>17933.669000000002</v>
    </oc>
    <nc r="T66">
      <v>18213.16</v>
    </nc>
  </rcc>
  <rcc rId="13786" sId="21" numFmtId="4">
    <nc r="U66">
      <v>18878.919999999998</v>
    </nc>
  </rcc>
  <rcc rId="13787" sId="21" numFmtId="4">
    <oc r="V66">
      <v>10583.576999999999</v>
    </oc>
    <nc r="V66">
      <v>20087.63</v>
    </nc>
  </rcc>
  <rcc rId="13788" sId="21">
    <oc r="AF52" t="inlineStr">
      <is>
        <r>
          <rPr>
            <b/>
            <sz val="12"/>
            <rFont val="Times New Roman"/>
            <family val="1"/>
            <charset val="204"/>
          </rPr>
          <t>МБУ"КСАТ":</t>
        </r>
        <r>
          <rPr>
            <sz val="12"/>
            <rFont val="Times New Roman"/>
            <family val="1"/>
            <charset val="204"/>
          </rPr>
          <t xml:space="preserve">
Отклонение от плана составляет 20 643,35 тыс. руб. в том числе:
1. 8 716,12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2 755,74 тыс. руб.  -неисполнение субсидии по статье начисления на оплату труда возникло в связи с оплатой страховых взносов в июле 2024 г.
3. 30,96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142,33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375,25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335,19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209,05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3 913,07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2 540,76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621,23 тыс. руб. - неисполнение по статье расходов прочие расходы  оплата налога на имущество будет произведена в феврале, в связи со сдачей декларации в мае 2024 г  и транспортного налога (согласно декларации)
11. 33,31тыс. руб. неисполнение по статье расходов  пособий по уходу за ребенком инвалидом, оплата  произведена по факту предоставленных документов
12.  827,45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7,01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97,5 тыс.руб неисполнение по статье расходов на приобретение основных средств, оплата будет произведена по факту поставки товара.</t>
        </r>
      </is>
    </oc>
    <nc r="AF52" t="inlineStr">
      <is>
        <r>
          <rPr>
            <b/>
            <sz val="12"/>
            <rFont val="Times New Roman"/>
            <family val="1"/>
            <charset val="204"/>
          </rPr>
          <t>МБУ"КСАТ":</t>
        </r>
        <r>
          <rPr>
            <sz val="12"/>
            <rFont val="Times New Roman"/>
            <family val="1"/>
            <charset val="204"/>
          </rPr>
          <t xml:space="preserve">
Отклонение от плана составляет 19977,59 тыс. руб. в том числе:
1. 8558,77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2233,84 тыс. руб.  -неисполнение субсидии по статье начисления на оплату труда возникло в связи с оплатой страховых взносов в августе 2024 г.
3. 41,08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156,17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554,40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будет произведена по факту оказанных услуг
6. 907,11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будет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3.  Оказание услуг по охране базы, так как оплата произведена по факту оказанных услуг
7. 208,37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3224,48 тыс.руб.- неисполнение субсидии по статье увеличение стоимости горюче-смазочных материалов оплата будет произведена по факту оказанных услуг согласно выставленных счетов
9. 1772,07 тыс. руб. – неисполнение субсидии по статье увеличение стоимости прочих оборотных запасов (материалов), в связи : 1. Приобретение соли, оплата будет  произведена по факту поставки товара. 2. Оплата счетов за приобретение запасных частей  будет произведена по факту поставки товара. 3 Оплата за приобретение шин, будет по факту поставки товара
10. 1057,41 тыс. руб. - неисполнение по статье расходов прочие расходы  оплата налога на имущество будет произведена в феврале, в связи со сдачей декларации транспортного налога (согласно декларации)
11. 33,31тыс. руб. неисполнение по статье расходов  пособий по уходу за ребенком инвалидом, оплата  произведена по факту предоставленных документов
12.  829,07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использования оплаты  санаторно-курортных путевок, а так же в связи с оплатой по факту поставки молока, согласно поданных заявок..
13. 38,38тыс. руб. неисполнение субсидии по статье  расходов на приобретение мягкого инвентаря, оплата будет произведена по факту поставки товара
14. 265,63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15. 97,5 тыс.руб неисполнение по статье расходов на приобретение основных средств, оплата будет произведена по факту поставки товара</t>
        </r>
      </is>
    </nc>
  </rcc>
  <rfmt sheetId="21" sqref="A63:AE63" start="0" length="2147483647">
    <dxf>
      <font>
        <color auto="1"/>
      </font>
    </dxf>
  </rfmt>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98" sId="19" numFmtId="4">
    <nc r="U27">
      <v>0.27</v>
    </nc>
  </rcc>
  <rcc rId="14799" sId="19" numFmtId="4">
    <nc r="U49">
      <v>12.6</v>
    </nc>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89" sId="22" numFmtId="4">
    <oc r="B14">
      <v>23028.33</v>
    </oc>
    <nc r="B14">
      <v>396028.32</v>
    </nc>
  </rcc>
  <rcc rId="13790" sId="22" numFmtId="4">
    <oc r="F14">
      <f>IFERROR(E14/B14%,0)</f>
    </oc>
    <nc r="F14">
      <v>3.55</v>
    </nc>
  </rcc>
  <rcc rId="13791" sId="22" numFmtId="4">
    <oc r="B17">
      <v>10515.7</v>
    </oc>
    <nc r="B17">
      <v>10515.71</v>
    </nc>
  </rcc>
  <rcc rId="13792" sId="22" numFmtId="4">
    <oc r="C17">
      <v>2810.17</v>
    </oc>
    <nc r="C17">
      <v>2810.18</v>
    </nc>
  </rcc>
  <rcc rId="13793" sId="22" numFmtId="4">
    <oc r="B24">
      <v>10515.7</v>
    </oc>
    <nc r="B24">
      <v>10515.71</v>
    </nc>
  </rcc>
  <rcc rId="13794" sId="22" numFmtId="4">
    <oc r="C24">
      <v>2810.17</v>
    </oc>
    <nc r="C24">
      <v>2810.18</v>
    </nc>
  </rcc>
  <rcc rId="13795" sId="22" numFmtId="4">
    <oc r="P7">
      <f>P8+P9+P10+P12</f>
    </oc>
    <nc r="P7">
      <v>9878.57</v>
    </nc>
  </rcc>
  <rcc rId="13796" sId="22" numFmtId="4">
    <oc r="Q7">
      <f>Q8+Q9+Q10+Q12</f>
    </oc>
    <nc r="Q7">
      <v>9878.57</v>
    </nc>
  </rcc>
  <rcc rId="13797" sId="22" numFmtId="4">
    <oc r="U28">
      <f>U29+U30+U31+U33</f>
    </oc>
    <nc r="U28">
      <v>278.97000000000003</v>
    </nc>
  </rcc>
  <rcc rId="13798" sId="22">
    <oc r="C2" t="inlineStr">
      <is>
        <t>План на 01.07.2024</t>
      </is>
    </oc>
    <nc r="C2" t="inlineStr">
      <is>
        <t>План на 01.08.2024</t>
      </is>
    </nc>
  </rcc>
  <rcc rId="13799" sId="22">
    <oc r="D2" t="inlineStr">
      <is>
        <t>Профинансировано на 01.07.2024</t>
      </is>
    </oc>
    <nc r="D2" t="inlineStr">
      <is>
        <t>Профинансировано на 01.08.2024</t>
      </is>
    </nc>
  </rcc>
  <rcc rId="13800" sId="22">
    <oc r="E2" t="inlineStr">
      <is>
        <t>Кассовый расход на  01.07.2024</t>
      </is>
    </oc>
    <nc r="E2" t="inlineStr">
      <is>
        <t>Кассовый расход на  01.08.2024</t>
      </is>
    </nc>
  </rcc>
  <rcc rId="13801" sId="22" numFmtId="4">
    <oc r="C43">
      <v>1473.04</v>
    </oc>
    <nc r="C43">
      <v>1752.01</v>
    </nc>
  </rcc>
  <rcc rId="13802" sId="22" numFmtId="4">
    <oc r="D43">
      <v>1473.04</v>
    </oc>
    <nc r="D43">
      <v>1752.01</v>
    </nc>
  </rcc>
  <rcc rId="13803" sId="22" numFmtId="4">
    <oc r="E43">
      <v>1472.95</v>
    </oc>
    <nc r="E43">
      <v>1751.92</v>
    </nc>
  </rcc>
  <rcc rId="13804" sId="22" numFmtId="4">
    <oc r="C46">
      <v>1473.04</v>
    </oc>
    <nc r="C46">
      <v>1752.01</v>
    </nc>
  </rcc>
  <rcc rId="13805" sId="22" numFmtId="4">
    <oc r="D46">
      <v>1473.04</v>
    </oc>
    <nc r="D46">
      <v>1752.01</v>
    </nc>
  </rcc>
  <rcc rId="13806" sId="22" numFmtId="4">
    <oc r="E46">
      <v>1472.95</v>
    </oc>
    <nc r="E46">
      <v>1751.92</v>
    </nc>
  </rcc>
  <rrc rId="13807" sId="22" ref="A48:XFD48" action="insertRow"/>
  <rcc rId="13808" sId="22">
    <nc r="A48" t="inlineStr">
      <is>
        <t xml:space="preserve">  привлеченные  средства</t>
      </is>
    </nc>
  </rcc>
  <rfmt sheetId="22" sqref="A48">
    <dxf>
      <alignment horizontal="center" readingOrder="0"/>
    </dxf>
  </rfmt>
  <rfmt sheetId="22" sqref="A48">
    <dxf>
      <alignment horizontal="left" readingOrder="0"/>
    </dxf>
  </rfmt>
  <rcc rId="13809" sId="22" numFmtId="4">
    <nc r="B48">
      <v>15536</v>
    </nc>
  </rcc>
  <rcc rId="13810" sId="22" odxf="1" dxf="1">
    <nc r="C48">
      <f>H48</f>
    </nc>
    <odxf>
      <border outline="0">
        <left/>
        <right/>
      </border>
    </odxf>
    <ndxf>
      <border outline="0">
        <left style="thin">
          <color indexed="64"/>
        </left>
        <right style="thin">
          <color indexed="64"/>
        </right>
      </border>
    </ndxf>
  </rcc>
  <rcc rId="13811" sId="22" odxf="1" dxf="1">
    <nc r="D48">
      <f>I48</f>
    </nc>
    <odxf>
      <border outline="0">
        <left/>
        <right/>
      </border>
    </odxf>
    <ndxf>
      <border outline="0">
        <left style="thin">
          <color indexed="64"/>
        </left>
        <right style="thin">
          <color indexed="64"/>
        </right>
      </border>
    </ndxf>
  </rcc>
  <rcc rId="13812" sId="22" odxf="1" dxf="1">
    <nc r="E48">
      <f>J48</f>
    </nc>
    <odxf>
      <border outline="0">
        <left/>
        <right/>
      </border>
    </odxf>
    <ndxf>
      <border outline="0">
        <left style="thin">
          <color indexed="64"/>
        </left>
        <right style="thin">
          <color indexed="64"/>
        </right>
      </border>
    </ndxf>
  </rcc>
  <rcc rId="13813" sId="22" odxf="1" dxf="1">
    <nc r="F48">
      <f>K48</f>
    </nc>
    <odxf>
      <numFmt numFmtId="4" formatCode="#,##0.00"/>
      <alignment wrapText="0" readingOrder="0"/>
      <border outline="0">
        <left/>
        <right/>
      </border>
    </odxf>
    <ndxf>
      <numFmt numFmtId="172" formatCode="#,##0.00_р_."/>
      <alignment wrapText="1" readingOrder="0"/>
      <border outline="0">
        <left style="thin">
          <color indexed="64"/>
        </left>
        <right style="thin">
          <color indexed="64"/>
        </right>
      </border>
    </ndxf>
  </rcc>
  <rcc rId="13814" sId="22" odxf="1" dxf="1">
    <nc r="G48">
      <f>L48</f>
    </nc>
    <odxf>
      <numFmt numFmtId="4" formatCode="#,##0.00"/>
      <alignment wrapText="0" readingOrder="0"/>
      <border outline="0">
        <left/>
        <right/>
      </border>
    </odxf>
    <ndxf>
      <numFmt numFmtId="172" formatCode="#,##0.00_р_."/>
      <alignment wrapText="1" readingOrder="0"/>
      <border outline="0">
        <left style="thin">
          <color indexed="64"/>
        </left>
        <right style="thin">
          <color indexed="64"/>
        </right>
      </border>
    </ndxf>
  </rcc>
  <rcc rId="13815" sId="22" odxf="1" dxf="1">
    <nc r="H48">
      <f>M48</f>
    </nc>
    <odxf>
      <numFmt numFmtId="4" formatCode="#,##0.00"/>
      <border outline="0">
        <left/>
        <right/>
      </border>
    </odxf>
    <ndxf>
      <numFmt numFmtId="172" formatCode="#,##0.00_р_."/>
      <border outline="0">
        <left style="thin">
          <color indexed="64"/>
        </left>
        <right style="thin">
          <color indexed="64"/>
        </right>
      </border>
    </ndxf>
  </rcc>
  <rcc rId="13816" sId="22" odxf="1" dxf="1">
    <nc r="I48">
      <f>N48</f>
    </nc>
    <odxf>
      <numFmt numFmtId="4" formatCode="#,##0.00"/>
      <border outline="0">
        <left/>
        <right/>
      </border>
    </odxf>
    <ndxf>
      <numFmt numFmtId="172" formatCode="#,##0.00_р_."/>
      <border outline="0">
        <left style="thin">
          <color indexed="64"/>
        </left>
        <right style="thin">
          <color indexed="64"/>
        </right>
      </border>
    </ndxf>
  </rcc>
  <rcc rId="13817" sId="22" odxf="1" dxf="1">
    <nc r="J48">
      <f>O48</f>
    </nc>
    <odxf>
      <numFmt numFmtId="4" formatCode="#,##0.00"/>
      <border outline="0">
        <left/>
        <right/>
      </border>
    </odxf>
    <ndxf>
      <numFmt numFmtId="172" formatCode="#,##0.00_р_."/>
      <border outline="0">
        <left style="thin">
          <color indexed="64"/>
        </left>
        <right style="thin">
          <color indexed="64"/>
        </right>
      </border>
    </ndxf>
  </rcc>
  <rcc rId="13818" sId="22" odxf="1" dxf="1">
    <nc r="K48">
      <f>P48</f>
    </nc>
    <odxf>
      <numFmt numFmtId="4" formatCode="#,##0.00"/>
      <border outline="0">
        <left/>
        <right/>
      </border>
    </odxf>
    <ndxf>
      <numFmt numFmtId="172" formatCode="#,##0.00_р_."/>
      <border outline="0">
        <left style="thin">
          <color indexed="64"/>
        </left>
        <right style="thin">
          <color indexed="64"/>
        </right>
      </border>
    </ndxf>
  </rcc>
  <rcc rId="13819" sId="22" odxf="1" dxf="1">
    <nc r="L48">
      <f>Q48</f>
    </nc>
    <odxf>
      <numFmt numFmtId="4" formatCode="#,##0.00"/>
      <border outline="0">
        <left/>
        <right/>
      </border>
    </odxf>
    <ndxf>
      <numFmt numFmtId="172" formatCode="#,##0.00_р_."/>
      <border outline="0">
        <left style="thin">
          <color indexed="64"/>
        </left>
        <right style="thin">
          <color indexed="64"/>
        </right>
      </border>
    </ndxf>
  </rcc>
  <rfmt sheetId="22" sqref="M48" start="0" length="0">
    <dxf>
      <numFmt numFmtId="172" formatCode="#,##0.00_р_."/>
      <border outline="0">
        <left style="thin">
          <color indexed="64"/>
        </left>
        <right style="thin">
          <color indexed="64"/>
        </right>
      </border>
    </dxf>
  </rfmt>
  <rcc rId="13820" sId="22" odxf="1" dxf="1">
    <nc r="N48">
      <f>S48</f>
    </nc>
    <odxf>
      <numFmt numFmtId="4" formatCode="#,##0.00"/>
      <border outline="0">
        <left/>
        <right/>
      </border>
    </odxf>
    <ndxf>
      <numFmt numFmtId="172" formatCode="#,##0.00_р_."/>
      <border outline="0">
        <left style="thin">
          <color indexed="64"/>
        </left>
        <right style="thin">
          <color indexed="64"/>
        </right>
      </border>
    </ndxf>
  </rcc>
  <rcc rId="13821" sId="22" odxf="1" dxf="1">
    <nc r="O48">
      <f>T48</f>
    </nc>
    <odxf>
      <numFmt numFmtId="4" formatCode="#,##0.00"/>
      <border outline="0">
        <left/>
        <right/>
      </border>
    </odxf>
    <ndxf>
      <numFmt numFmtId="172" formatCode="#,##0.00_р_."/>
      <border outline="0">
        <left style="thin">
          <color indexed="64"/>
        </left>
        <right style="thin">
          <color indexed="64"/>
        </right>
      </border>
    </ndxf>
  </rcc>
  <rcc rId="13822" sId="22" odxf="1" dxf="1">
    <nc r="P48">
      <f>U48</f>
    </nc>
    <odxf>
      <numFmt numFmtId="4" formatCode="#,##0.00"/>
      <border outline="0">
        <left/>
        <right/>
      </border>
    </odxf>
    <ndxf>
      <numFmt numFmtId="172" formatCode="#,##0.00_р_."/>
      <border outline="0">
        <left style="thin">
          <color indexed="64"/>
        </left>
        <right style="thin">
          <color indexed="64"/>
        </right>
      </border>
    </ndxf>
  </rcc>
  <rcc rId="13823" sId="22" odxf="1" dxf="1">
    <nc r="Q48">
      <f>V48</f>
    </nc>
    <odxf>
      <numFmt numFmtId="4" formatCode="#,##0.00"/>
      <border outline="0">
        <left/>
        <right/>
      </border>
    </odxf>
    <ndxf>
      <numFmt numFmtId="172" formatCode="#,##0.00_р_."/>
      <border outline="0">
        <left style="thin">
          <color indexed="64"/>
        </left>
        <right style="thin">
          <color indexed="64"/>
        </right>
      </border>
    </ndxf>
  </rcc>
  <rcc rId="13824" sId="22" odxf="1" dxf="1">
    <nc r="R48">
      <f>W48</f>
    </nc>
    <odxf>
      <numFmt numFmtId="4" formatCode="#,##0.00"/>
      <border outline="0">
        <left/>
        <right/>
      </border>
    </odxf>
    <ndxf>
      <numFmt numFmtId="172" formatCode="#,##0.00_р_."/>
      <border outline="0">
        <left style="thin">
          <color indexed="64"/>
        </left>
        <right style="thin">
          <color indexed="64"/>
        </right>
      </border>
    </ndxf>
  </rcc>
  <rcc rId="13825" sId="22" odxf="1" dxf="1">
    <nc r="S48">
      <f>X48</f>
    </nc>
    <odxf>
      <numFmt numFmtId="4" formatCode="#,##0.00"/>
      <border outline="0">
        <left/>
        <right/>
      </border>
    </odxf>
    <ndxf>
      <numFmt numFmtId="172" formatCode="#,##0.00_р_."/>
      <border outline="0">
        <left style="thin">
          <color indexed="64"/>
        </left>
        <right style="thin">
          <color indexed="64"/>
        </right>
      </border>
    </ndxf>
  </rcc>
  <rcc rId="13826" sId="22" odxf="1" dxf="1">
    <nc r="T48">
      <f>Y48</f>
    </nc>
    <odxf>
      <numFmt numFmtId="4" formatCode="#,##0.00"/>
      <border outline="0">
        <left/>
        <right/>
      </border>
    </odxf>
    <ndxf>
      <numFmt numFmtId="172" formatCode="#,##0.00_р_."/>
      <border outline="0">
        <left style="thin">
          <color indexed="64"/>
        </left>
        <right style="thin">
          <color indexed="64"/>
        </right>
      </border>
    </ndxf>
  </rcc>
  <rcc rId="13827" sId="22" odxf="1" dxf="1">
    <nc r="U48">
      <f>Z48</f>
    </nc>
    <odxf>
      <numFmt numFmtId="4" formatCode="#,##0.00"/>
      <border outline="0">
        <left/>
        <right/>
      </border>
    </odxf>
    <ndxf>
      <numFmt numFmtId="172" formatCode="#,##0.00_р_."/>
      <border outline="0">
        <left style="thin">
          <color indexed="64"/>
        </left>
        <right style="thin">
          <color indexed="64"/>
        </right>
      </border>
    </ndxf>
  </rcc>
  <rcc rId="13828" sId="22" odxf="1" dxf="1">
    <nc r="V48">
      <f>AA48</f>
    </nc>
    <odxf>
      <numFmt numFmtId="4" formatCode="#,##0.00"/>
      <border outline="0">
        <left/>
        <right/>
      </border>
    </odxf>
    <ndxf>
      <numFmt numFmtId="172" formatCode="#,##0.00_р_."/>
      <border outline="0">
        <left style="thin">
          <color indexed="64"/>
        </left>
        <right style="thin">
          <color indexed="64"/>
        </right>
      </border>
    </ndxf>
  </rcc>
  <rfmt sheetId="22" sqref="W48" start="0" length="0">
    <dxf>
      <numFmt numFmtId="172" formatCode="#,##0.00_р_."/>
      <border outline="0">
        <left style="thin">
          <color indexed="64"/>
        </left>
        <right style="thin">
          <color indexed="64"/>
        </right>
      </border>
    </dxf>
  </rfmt>
  <rcc rId="13829" sId="22" odxf="1" dxf="1">
    <nc r="X48">
      <f>AC48</f>
    </nc>
    <odxf>
      <numFmt numFmtId="4" formatCode="#,##0.00"/>
      <border outline="0">
        <left/>
        <right/>
      </border>
    </odxf>
    <ndxf>
      <numFmt numFmtId="172" formatCode="#,##0.00_р_."/>
      <border outline="0">
        <left style="thin">
          <color indexed="64"/>
        </left>
        <right style="thin">
          <color indexed="64"/>
        </right>
      </border>
    </ndxf>
  </rcc>
  <rcc rId="13830" sId="22" odxf="1" dxf="1">
    <nc r="Y48">
      <f>AD48</f>
    </nc>
    <odxf>
      <numFmt numFmtId="4" formatCode="#,##0.00"/>
      <border outline="0">
        <left/>
        <right/>
      </border>
    </odxf>
    <ndxf>
      <numFmt numFmtId="172" formatCode="#,##0.00_р_."/>
      <border outline="0">
        <left style="thin">
          <color indexed="64"/>
        </left>
        <right style="thin">
          <color indexed="64"/>
        </right>
      </border>
    </ndxf>
  </rcc>
  <rcc rId="13831" sId="22" odxf="1" dxf="1">
    <nc r="Z48">
      <f>AE48</f>
    </nc>
    <odxf>
      <numFmt numFmtId="4" formatCode="#,##0.00"/>
      <border outline="0">
        <left/>
        <right/>
      </border>
    </odxf>
    <ndxf>
      <numFmt numFmtId="172" formatCode="#,##0.00_р_."/>
      <border outline="0">
        <left style="thin">
          <color indexed="64"/>
        </left>
        <right style="thin">
          <color indexed="64"/>
        </right>
      </border>
    </ndxf>
  </rcc>
  <rcc rId="13832" sId="22" odxf="1" dxf="1">
    <nc r="AA48">
      <f>AF48</f>
    </nc>
    <odxf>
      <numFmt numFmtId="4" formatCode="#,##0.00"/>
      <border outline="0">
        <left/>
        <right/>
      </border>
    </odxf>
    <ndxf>
      <numFmt numFmtId="172" formatCode="#,##0.00_р_."/>
      <border outline="0">
        <left style="thin">
          <color indexed="64"/>
        </left>
        <right style="thin">
          <color indexed="64"/>
        </right>
      </border>
    </ndxf>
  </rcc>
  <rcc rId="13833" sId="22" numFmtId="4">
    <nc r="AB48">
      <v>15536</v>
    </nc>
  </rcc>
  <rcc rId="13834" sId="22" numFmtId="4">
    <oc r="T43">
      <f>T44+T45+T46+T49</f>
    </oc>
    <nc r="T43">
      <v>278.97000000000003</v>
    </nc>
  </rcc>
  <rcc rId="13835" sId="22" numFmtId="4">
    <oc r="U43">
      <f>U44+U45+U46+U49</f>
    </oc>
    <nc r="U43">
      <v>278.97000000000003</v>
    </nc>
  </rcc>
  <rcc rId="13836" sId="22" numFmtId="4">
    <oc r="Z43">
      <v>21439.8</v>
    </oc>
    <nc r="Z43">
      <v>28535.599999999999</v>
    </nc>
  </rcc>
  <rcc rId="13837" sId="22" numFmtId="4">
    <oc r="AB43">
      <f>AB44+AB45+AB46+AB49</f>
    </oc>
    <nc r="AB43">
      <v>16129.8</v>
    </nc>
  </rcc>
  <rcc rId="13838" sId="22" numFmtId="4">
    <oc r="AD43">
      <f>AD44+AD45+AD46+AD49</f>
    </oc>
    <nc r="AD43">
      <v>920.13</v>
    </nc>
  </rcc>
  <rcc rId="13839" sId="22" numFmtId="4">
    <oc r="AD46">
      <v>1199.0999999999999</v>
    </oc>
    <nc r="AD46">
      <v>920.13</v>
    </nc>
  </rcc>
  <rcc rId="13840" sId="22" odxf="1" dxf="1" numFmtId="4">
    <oc r="T46">
      <v>0</v>
    </oc>
    <nc r="T46">
      <v>278.97000000000003</v>
    </nc>
    <odxf>
      <font>
        <b val="0"/>
        <sz val="12"/>
        <color auto="1"/>
        <name val="Times New Roman"/>
        <scheme val="none"/>
      </font>
      <numFmt numFmtId="4" formatCode="#,##0.00"/>
    </odxf>
    <ndxf>
      <font>
        <b/>
        <sz val="12"/>
        <color auto="1"/>
        <name val="Times New Roman"/>
        <scheme val="none"/>
      </font>
      <numFmt numFmtId="172" formatCode="#,##0.00_р_."/>
    </ndxf>
  </rcc>
  <rcc rId="13841" sId="22" odxf="1" dxf="1" numFmtId="4">
    <oc r="U46">
      <v>0</v>
    </oc>
    <nc r="U46">
      <v>278.97000000000003</v>
    </nc>
    <odxf>
      <font>
        <b val="0"/>
        <sz val="12"/>
        <color auto="1"/>
        <name val="Times New Roman"/>
        <scheme val="none"/>
      </font>
      <numFmt numFmtId="4" formatCode="#,##0.00"/>
    </odxf>
    <ndxf>
      <font>
        <b/>
        <sz val="12"/>
        <color auto="1"/>
        <name val="Times New Roman"/>
        <scheme val="none"/>
      </font>
      <numFmt numFmtId="172" formatCode="#,##0.00_р_."/>
    </ndxf>
  </rcc>
  <rcc rId="13842" sId="22" numFmtId="4">
    <nc r="M48">
      <v>0</v>
    </nc>
  </rcc>
  <rcc rId="13843" sId="22" numFmtId="4">
    <nc r="W48">
      <v>0</v>
    </nc>
  </rcc>
  <rrc rId="13844" sId="22" ref="A55:XFD55" action="insertRow"/>
  <rcc rId="13845" sId="22">
    <nc r="A55" t="inlineStr">
      <is>
        <t>привлеченные средства</t>
      </is>
    </nc>
  </rcc>
  <rfmt sheetId="22" sqref="A55">
    <dxf>
      <alignment horizontal="left" readingOrder="0"/>
    </dxf>
  </rfmt>
  <rcc rId="13846" sId="22" numFmtId="4">
    <nc r="B55">
      <v>15536</v>
    </nc>
  </rcc>
  <rcc rId="13847" sId="22" odxf="1" dxf="1">
    <nc r="C55">
      <f>H55</f>
    </nc>
    <odxf>
      <border outline="0">
        <left/>
        <right/>
      </border>
    </odxf>
    <ndxf>
      <border outline="0">
        <left style="thin">
          <color indexed="64"/>
        </left>
        <right style="thin">
          <color indexed="64"/>
        </right>
      </border>
    </ndxf>
  </rcc>
  <rcc rId="13848" sId="22" odxf="1" dxf="1">
    <nc r="D55">
      <f>I55</f>
    </nc>
    <odxf>
      <border outline="0">
        <left/>
        <right/>
      </border>
    </odxf>
    <ndxf>
      <border outline="0">
        <left style="thin">
          <color indexed="64"/>
        </left>
        <right style="thin">
          <color indexed="64"/>
        </right>
      </border>
    </ndxf>
  </rcc>
  <rcc rId="13849" sId="22" odxf="1" dxf="1">
    <nc r="E55">
      <f>J55</f>
    </nc>
    <odxf>
      <border outline="0">
        <left/>
        <right/>
      </border>
    </odxf>
    <ndxf>
      <border outline="0">
        <left style="thin">
          <color indexed="64"/>
        </left>
        <right style="thin">
          <color indexed="64"/>
        </right>
      </border>
    </ndxf>
  </rcc>
  <rcc rId="13850" sId="22" odxf="1" dxf="1">
    <nc r="F55">
      <f>K55</f>
    </nc>
    <odxf>
      <numFmt numFmtId="4" formatCode="#,##0.00"/>
      <alignment wrapText="0" readingOrder="0"/>
      <border outline="0">
        <left/>
        <right/>
      </border>
    </odxf>
    <ndxf>
      <numFmt numFmtId="172" formatCode="#,##0.00_р_."/>
      <alignment wrapText="1" readingOrder="0"/>
      <border outline="0">
        <left style="thin">
          <color indexed="64"/>
        </left>
        <right style="thin">
          <color indexed="64"/>
        </right>
      </border>
    </ndxf>
  </rcc>
  <rcc rId="13851" sId="22" odxf="1" dxf="1">
    <nc r="G55">
      <f>L55</f>
    </nc>
    <odxf>
      <numFmt numFmtId="4" formatCode="#,##0.00"/>
      <alignment wrapText="0" readingOrder="0"/>
      <border outline="0">
        <left/>
        <right/>
      </border>
    </odxf>
    <ndxf>
      <numFmt numFmtId="172" formatCode="#,##0.00_р_."/>
      <alignment wrapText="1" readingOrder="0"/>
      <border outline="0">
        <left style="thin">
          <color indexed="64"/>
        </left>
        <right style="thin">
          <color indexed="64"/>
        </right>
      </border>
    </ndxf>
  </rcc>
  <rcc rId="13852" sId="22" odxf="1" dxf="1">
    <nc r="H55">
      <f>M55</f>
    </nc>
    <odxf>
      <numFmt numFmtId="4" formatCode="#,##0.00"/>
      <border outline="0">
        <left/>
        <right/>
      </border>
    </odxf>
    <ndxf>
      <numFmt numFmtId="172" formatCode="#,##0.00_р_."/>
      <border outline="0">
        <left style="thin">
          <color indexed="64"/>
        </left>
        <right style="thin">
          <color indexed="64"/>
        </right>
      </border>
    </ndxf>
  </rcc>
  <rcc rId="13853" sId="22" odxf="1" dxf="1">
    <nc r="I55">
      <f>N55</f>
    </nc>
    <odxf>
      <numFmt numFmtId="4" formatCode="#,##0.00"/>
      <border outline="0">
        <left/>
        <right/>
      </border>
    </odxf>
    <ndxf>
      <numFmt numFmtId="172" formatCode="#,##0.00_р_."/>
      <border outline="0">
        <left style="thin">
          <color indexed="64"/>
        </left>
        <right style="thin">
          <color indexed="64"/>
        </right>
      </border>
    </ndxf>
  </rcc>
  <rcc rId="13854" sId="22" odxf="1" dxf="1">
    <nc r="J55">
      <f>O55</f>
    </nc>
    <odxf>
      <numFmt numFmtId="4" formatCode="#,##0.00"/>
      <border outline="0">
        <left/>
        <right/>
      </border>
    </odxf>
    <ndxf>
      <numFmt numFmtId="172" formatCode="#,##0.00_р_."/>
      <border outline="0">
        <left style="thin">
          <color indexed="64"/>
        </left>
        <right style="thin">
          <color indexed="64"/>
        </right>
      </border>
    </ndxf>
  </rcc>
  <rcc rId="13855" sId="22" odxf="1" dxf="1">
    <nc r="K55">
      <f>P55</f>
    </nc>
    <odxf>
      <numFmt numFmtId="4" formatCode="#,##0.00"/>
      <border outline="0">
        <left/>
        <right/>
      </border>
    </odxf>
    <ndxf>
      <numFmt numFmtId="172" formatCode="#,##0.00_р_."/>
      <border outline="0">
        <left style="thin">
          <color indexed="64"/>
        </left>
        <right style="thin">
          <color indexed="64"/>
        </right>
      </border>
    </ndxf>
  </rcc>
  <rcc rId="13856" sId="22" odxf="1" dxf="1">
    <nc r="L55">
      <f>Q55</f>
    </nc>
    <odxf>
      <numFmt numFmtId="4" formatCode="#,##0.00"/>
      <border outline="0">
        <left/>
        <right/>
      </border>
    </odxf>
    <ndxf>
      <numFmt numFmtId="172" formatCode="#,##0.00_р_."/>
      <border outline="0">
        <left style="thin">
          <color indexed="64"/>
        </left>
        <right style="thin">
          <color indexed="64"/>
        </right>
      </border>
    </ndxf>
  </rcc>
  <rcc rId="13857" sId="22" odxf="1" dxf="1">
    <nc r="M55">
      <f>R55</f>
    </nc>
    <odxf>
      <numFmt numFmtId="4" formatCode="#,##0.00"/>
      <border outline="0">
        <left/>
        <right/>
      </border>
    </odxf>
    <ndxf>
      <numFmt numFmtId="172" formatCode="#,##0.00_р_."/>
      <border outline="0">
        <left style="thin">
          <color indexed="64"/>
        </left>
        <right style="thin">
          <color indexed="64"/>
        </right>
      </border>
    </ndxf>
  </rcc>
  <rcc rId="13858" sId="22" odxf="1" dxf="1">
    <nc r="N55">
      <f>S55</f>
    </nc>
    <odxf>
      <numFmt numFmtId="4" formatCode="#,##0.00"/>
      <border outline="0">
        <left/>
        <right/>
      </border>
    </odxf>
    <ndxf>
      <numFmt numFmtId="172" formatCode="#,##0.00_р_."/>
      <border outline="0">
        <left style="thin">
          <color indexed="64"/>
        </left>
        <right style="thin">
          <color indexed="64"/>
        </right>
      </border>
    </ndxf>
  </rcc>
  <rcc rId="13859" sId="22" odxf="1" dxf="1">
    <nc r="O55">
      <f>T55</f>
    </nc>
    <odxf>
      <numFmt numFmtId="4" formatCode="#,##0.00"/>
      <border outline="0">
        <left/>
        <right/>
      </border>
    </odxf>
    <ndxf>
      <numFmt numFmtId="172" formatCode="#,##0.00_р_."/>
      <border outline="0">
        <left style="thin">
          <color indexed="64"/>
        </left>
        <right style="thin">
          <color indexed="64"/>
        </right>
      </border>
    </ndxf>
  </rcc>
  <rcc rId="13860" sId="22" odxf="1" dxf="1">
    <nc r="P55">
      <f>U55</f>
    </nc>
    <odxf>
      <numFmt numFmtId="4" formatCode="#,##0.00"/>
      <border outline="0">
        <left/>
        <right/>
      </border>
    </odxf>
    <ndxf>
      <numFmt numFmtId="172" formatCode="#,##0.00_р_."/>
      <border outline="0">
        <left style="thin">
          <color indexed="64"/>
        </left>
        <right style="thin">
          <color indexed="64"/>
        </right>
      </border>
    </ndxf>
  </rcc>
  <rfmt sheetId="22" sqref="Q56" start="0" length="0">
    <dxf>
      <numFmt numFmtId="172" formatCode="#,##0.00_р_."/>
      <alignment horizontal="center" wrapText="1" readingOrder="0"/>
      <border outline="0">
        <left style="thin">
          <color indexed="64"/>
        </left>
        <right style="thin">
          <color indexed="64"/>
        </right>
      </border>
    </dxf>
  </rfmt>
  <rcc rId="13861" sId="22" odxf="1" dxf="1">
    <nc r="Q55">
      <f>V55</f>
    </nc>
    <odxf>
      <numFmt numFmtId="4" formatCode="#,##0.00"/>
      <border outline="0">
        <left/>
        <right/>
      </border>
    </odxf>
    <ndxf>
      <numFmt numFmtId="172" formatCode="#,##0.00_р_."/>
      <border outline="0">
        <left style="thin">
          <color indexed="64"/>
        </left>
        <right style="thin">
          <color indexed="64"/>
        </right>
      </border>
    </ndxf>
  </rcc>
  <rcc rId="13862" sId="22" odxf="1" dxf="1">
    <nc r="R55">
      <f>W55</f>
    </nc>
    <odxf>
      <numFmt numFmtId="4" formatCode="#,##0.00"/>
      <border outline="0">
        <left/>
        <right/>
      </border>
    </odxf>
    <ndxf>
      <numFmt numFmtId="172" formatCode="#,##0.00_р_."/>
      <border outline="0">
        <left style="thin">
          <color indexed="64"/>
        </left>
        <right style="thin">
          <color indexed="64"/>
        </right>
      </border>
    </ndxf>
  </rcc>
  <rcc rId="13863" sId="22" odxf="1" dxf="1">
    <nc r="S55">
      <f>X55</f>
    </nc>
    <odxf>
      <numFmt numFmtId="4" formatCode="#,##0.00"/>
      <border outline="0">
        <left/>
        <right/>
      </border>
    </odxf>
    <ndxf>
      <numFmt numFmtId="172" formatCode="#,##0.00_р_."/>
      <border outline="0">
        <left style="thin">
          <color indexed="64"/>
        </left>
        <right style="thin">
          <color indexed="64"/>
        </right>
      </border>
    </ndxf>
  </rcc>
  <rcc rId="13864" sId="22" odxf="1" dxf="1">
    <nc r="T55">
      <f>Y55</f>
    </nc>
    <odxf>
      <numFmt numFmtId="4" formatCode="#,##0.00"/>
      <border outline="0">
        <left/>
        <right/>
      </border>
    </odxf>
    <ndxf>
      <numFmt numFmtId="172" formatCode="#,##0.00_р_."/>
      <border outline="0">
        <left style="thin">
          <color indexed="64"/>
        </left>
        <right style="thin">
          <color indexed="64"/>
        </right>
      </border>
    </ndxf>
  </rcc>
  <rcc rId="13865" sId="22" odxf="1" dxf="1">
    <nc r="U55">
      <f>Z55</f>
    </nc>
    <odxf>
      <numFmt numFmtId="4" formatCode="#,##0.00"/>
      <border outline="0">
        <left/>
        <right/>
      </border>
    </odxf>
    <ndxf>
      <numFmt numFmtId="172" formatCode="#,##0.00_р_."/>
      <border outline="0">
        <left style="thin">
          <color indexed="64"/>
        </left>
        <right style="thin">
          <color indexed="64"/>
        </right>
      </border>
    </ndxf>
  </rcc>
  <rcc rId="13866" sId="22" odxf="1" dxf="1">
    <nc r="V55">
      <f>AA55</f>
    </nc>
    <odxf>
      <numFmt numFmtId="4" formatCode="#,##0.00"/>
      <border outline="0">
        <left/>
        <right/>
      </border>
    </odxf>
    <ndxf>
      <numFmt numFmtId="172" formatCode="#,##0.00_р_."/>
      <border outline="0">
        <left style="thin">
          <color indexed="64"/>
        </left>
        <right style="thin">
          <color indexed="64"/>
        </right>
      </border>
    </ndxf>
  </rcc>
  <rfmt sheetId="22" sqref="W55" start="0" length="0">
    <dxf>
      <numFmt numFmtId="172" formatCode="#,##0.00_р_."/>
      <border outline="0">
        <left style="thin">
          <color indexed="64"/>
        </left>
        <right style="thin">
          <color indexed="64"/>
        </right>
      </border>
    </dxf>
  </rfmt>
  <rcc rId="13867" sId="22" odxf="1" dxf="1">
    <nc r="X55">
      <f>AC55</f>
    </nc>
    <odxf>
      <numFmt numFmtId="4" formatCode="#,##0.00"/>
      <border outline="0">
        <left/>
        <right/>
      </border>
    </odxf>
    <ndxf>
      <numFmt numFmtId="172" formatCode="#,##0.00_р_."/>
      <border outline="0">
        <left style="thin">
          <color indexed="64"/>
        </left>
        <right style="thin">
          <color indexed="64"/>
        </right>
      </border>
    </ndxf>
  </rcc>
  <rcc rId="13868" sId="22" odxf="1" dxf="1">
    <nc r="Y55">
      <f>AD55</f>
    </nc>
    <odxf>
      <numFmt numFmtId="4" formatCode="#,##0.00"/>
      <border outline="0">
        <left/>
        <right/>
      </border>
    </odxf>
    <ndxf>
      <numFmt numFmtId="172" formatCode="#,##0.00_р_."/>
      <border outline="0">
        <left style="thin">
          <color indexed="64"/>
        </left>
        <right style="thin">
          <color indexed="64"/>
        </right>
      </border>
    </ndxf>
  </rcc>
  <rcc rId="13869" sId="22" odxf="1" dxf="1">
    <nc r="Z55">
      <f>AE55</f>
    </nc>
    <odxf>
      <numFmt numFmtId="4" formatCode="#,##0.00"/>
      <border outline="0">
        <left/>
        <right/>
      </border>
    </odxf>
    <ndxf>
      <numFmt numFmtId="172" formatCode="#,##0.00_р_."/>
      <border outline="0">
        <left style="thin">
          <color indexed="64"/>
        </left>
        <right style="thin">
          <color indexed="64"/>
        </right>
      </border>
    </ndxf>
  </rcc>
  <rcc rId="13870" sId="22" odxf="1" dxf="1">
    <nc r="AA55">
      <f>AF55</f>
    </nc>
    <odxf>
      <numFmt numFmtId="4" formatCode="#,##0.00"/>
      <border outline="0">
        <left/>
        <right/>
      </border>
    </odxf>
    <ndxf>
      <numFmt numFmtId="172" formatCode="#,##0.00_р_."/>
      <border outline="0">
        <left style="thin">
          <color indexed="64"/>
        </left>
        <right style="thin">
          <color indexed="64"/>
        </right>
      </border>
    </ndxf>
  </rcc>
  <rcc rId="13871" sId="22" odxf="1" dxf="1">
    <nc r="AE55">
      <f>AJ55</f>
    </nc>
    <odxf>
      <numFmt numFmtId="4" formatCode="#,##0.00"/>
      <border outline="0">
        <left/>
      </border>
    </odxf>
    <ndxf>
      <numFmt numFmtId="172" formatCode="#,##0.00_р_."/>
      <border outline="0">
        <left style="thin">
          <color indexed="64"/>
        </left>
      </border>
    </ndxf>
  </rcc>
  <rcc rId="13872" sId="22" odxf="1" dxf="1">
    <nc r="AD55">
      <f>AI55</f>
    </nc>
    <odxf>
      <numFmt numFmtId="4" formatCode="#,##0.00"/>
      <border outline="0">
        <left/>
        <right/>
      </border>
    </odxf>
    <ndxf>
      <numFmt numFmtId="172" formatCode="#,##0.00_р_."/>
      <border outline="0">
        <left style="thin">
          <color indexed="64"/>
        </left>
        <right style="thin">
          <color indexed="64"/>
        </right>
      </border>
    </ndxf>
  </rcc>
  <rcc rId="13873" sId="22" odxf="1" dxf="1">
    <nc r="AC55">
      <f>AH55</f>
    </nc>
    <odxf>
      <numFmt numFmtId="4" formatCode="#,##0.00"/>
      <border outline="0">
        <left/>
        <right/>
      </border>
    </odxf>
    <ndxf>
      <numFmt numFmtId="172" formatCode="#,##0.00_р_."/>
      <border outline="0">
        <left style="thin">
          <color indexed="64"/>
        </left>
        <right style="thin">
          <color indexed="64"/>
        </right>
      </border>
    </ndxf>
  </rcc>
  <rfmt sheetId="22" sqref="AB55" start="0" length="0">
    <dxf>
      <numFmt numFmtId="172" formatCode="#,##0.00_р_."/>
      <border outline="0">
        <left style="thin">
          <color indexed="64"/>
        </left>
        <right style="thin">
          <color indexed="64"/>
        </right>
      </border>
    </dxf>
  </rfmt>
  <rcc rId="13874" sId="22" odxf="1" dxf="1" numFmtId="4">
    <nc r="AB55">
      <v>15536</v>
    </nc>
    <ndxf>
      <font>
        <b/>
        <sz val="12"/>
        <color auto="1"/>
        <name val="Times New Roman"/>
        <scheme val="none"/>
      </font>
    </ndxf>
  </rcc>
  <rcc rId="13875" sId="22" numFmtId="4">
    <nc r="W55">
      <v>0</v>
    </nc>
  </rcc>
  <rcc rId="13876" sId="22" numFmtId="4">
    <oc r="V60">
      <v>8.76</v>
    </oc>
    <nc r="V60">
      <v>0</v>
    </nc>
  </rcc>
  <rcc rId="13877" sId="22" numFmtId="4">
    <oc r="C70">
      <v>0</v>
    </oc>
    <nc r="C70">
      <v>278.97000000000003</v>
    </nc>
  </rcc>
  <rfmt sheetId="22" xfDxf="1" s="1" sqref="D70" start="0" length="0">
    <dxf>
      <font>
        <b/>
        <i val="0"/>
        <strike val="0"/>
        <condense val="0"/>
        <extend val="0"/>
        <outline val="0"/>
        <shadow val="0"/>
        <u val="none"/>
        <vertAlign val="baseline"/>
        <sz val="12"/>
        <color auto="1"/>
        <name val="Times New Roman"/>
        <scheme val="none"/>
      </font>
      <numFmt numFmtId="172"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2" xfDxf="1" s="1" sqref="E70" start="0" length="0">
    <dxf>
      <font>
        <b/>
        <i val="0"/>
        <strike val="0"/>
        <condense val="0"/>
        <extend val="0"/>
        <outline val="0"/>
        <shadow val="0"/>
        <u val="none"/>
        <vertAlign val="baseline"/>
        <sz val="12"/>
        <color auto="1"/>
        <name val="Times New Roman"/>
        <scheme val="none"/>
      </font>
      <numFmt numFmtId="172"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13878" sId="22" numFmtId="4">
    <oc r="D70">
      <v>0</v>
    </oc>
    <nc r="D70">
      <v>278.97000000000003</v>
    </nc>
  </rcc>
  <rcc rId="13879" sId="22" numFmtId="4">
    <oc r="E70">
      <v>0</v>
    </oc>
    <nc r="E70">
      <v>278.97000000000003</v>
    </nc>
  </rcc>
  <rcc rId="13880" sId="22" odxf="1" dxf="1" numFmtId="4">
    <oc r="C73">
      <v>0</v>
    </oc>
    <nc r="C73">
      <v>278.97000000000003</v>
    </nc>
    <odxf>
      <font>
        <b val="0"/>
        <sz val="12"/>
        <color auto="1"/>
        <name val="Times New Roman"/>
        <scheme val="none"/>
      </font>
    </odxf>
    <ndxf>
      <font>
        <b/>
        <sz val="12"/>
        <color auto="1"/>
        <name val="Times New Roman"/>
        <scheme val="none"/>
      </font>
    </ndxf>
  </rcc>
  <rcc rId="13881" sId="22" odxf="1" dxf="1" numFmtId="4">
    <oc r="D73">
      <v>0</v>
    </oc>
    <nc r="D73">
      <v>278.97000000000003</v>
    </nc>
    <odxf>
      <font>
        <b val="0"/>
        <sz val="12"/>
        <color auto="1"/>
        <name val="Times New Roman"/>
        <scheme val="none"/>
      </font>
    </odxf>
    <ndxf>
      <font>
        <b/>
        <sz val="12"/>
        <color auto="1"/>
        <name val="Times New Roman"/>
        <scheme val="none"/>
      </font>
    </ndxf>
  </rcc>
  <rcc rId="13882" sId="22" odxf="1" dxf="1" numFmtId="4">
    <oc r="E73">
      <v>0</v>
    </oc>
    <nc r="E73">
      <v>278.97000000000003</v>
    </nc>
    <odxf>
      <font>
        <b val="0"/>
        <sz val="12"/>
        <color auto="1"/>
        <name val="Times New Roman"/>
        <scheme val="none"/>
      </font>
    </odxf>
    <ndxf>
      <font>
        <b/>
        <sz val="12"/>
        <color auto="1"/>
        <name val="Times New Roman"/>
        <scheme val="none"/>
      </font>
    </ndxf>
  </rcc>
  <rcc rId="13883" sId="22" numFmtId="4">
    <oc r="T70">
      <f>T71+T72+T73+T75</f>
    </oc>
    <nc r="T70">
      <v>278.97000000000003</v>
    </nc>
  </rcc>
  <rfmt sheetId="22" xfDxf="1" s="1" sqref="U70" start="0" length="0">
    <dxf>
      <font>
        <b/>
        <i val="0"/>
        <strike val="0"/>
        <condense val="0"/>
        <extend val="0"/>
        <outline val="0"/>
        <shadow val="0"/>
        <u val="none"/>
        <vertAlign val="baseline"/>
        <sz val="12"/>
        <color auto="1"/>
        <name val="Times New Roman"/>
        <scheme val="none"/>
      </font>
      <numFmt numFmtId="172"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fmt sheetId="22" xfDxf="1" s="1" sqref="V70" start="0" length="0">
    <dxf>
      <font>
        <b/>
        <i val="0"/>
        <strike val="0"/>
        <condense val="0"/>
        <extend val="0"/>
        <outline val="0"/>
        <shadow val="0"/>
        <u val="none"/>
        <vertAlign val="baseline"/>
        <sz val="12"/>
        <color auto="1"/>
        <name val="Times New Roman"/>
        <scheme val="none"/>
      </font>
      <numFmt numFmtId="172" formatCode="#,##0.00_р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rfmt>
  <rcc rId="13884" sId="22" numFmtId="4">
    <oc r="U70">
      <f>U71+U72+U73+U75</f>
    </oc>
    <nc r="U70">
      <v>278.97000000000003</v>
    </nc>
  </rcc>
  <rcc rId="13885" sId="22" odxf="1" dxf="1" numFmtId="4">
    <oc r="T73">
      <v>0</v>
    </oc>
    <nc r="T73">
      <v>278.97000000000003</v>
    </nc>
    <odxf>
      <font>
        <b val="0"/>
        <sz val="12"/>
        <color auto="1"/>
        <name val="Times New Roman"/>
        <scheme val="none"/>
      </font>
      <numFmt numFmtId="4" formatCode="#,##0.00"/>
    </odxf>
    <ndxf>
      <font>
        <b/>
        <sz val="12"/>
        <color auto="1"/>
        <name val="Times New Roman"/>
        <scheme val="none"/>
      </font>
      <numFmt numFmtId="172" formatCode="#,##0.00_р_."/>
    </ndxf>
  </rcc>
  <rcc rId="13886" sId="22" odxf="1" dxf="1" numFmtId="4">
    <oc r="U73">
      <v>0</v>
    </oc>
    <nc r="U73">
      <v>278.97000000000003</v>
    </nc>
    <odxf>
      <font>
        <b val="0"/>
        <sz val="12"/>
        <color auto="1"/>
        <name val="Times New Roman"/>
        <scheme val="none"/>
      </font>
      <numFmt numFmtId="4" formatCode="#,##0.00"/>
    </odxf>
    <ndxf>
      <font>
        <b/>
        <sz val="12"/>
        <color auto="1"/>
        <name val="Times New Roman"/>
        <scheme val="none"/>
      </font>
      <numFmt numFmtId="172" formatCode="#,##0.00_р_."/>
    </ndxf>
  </rcc>
  <rcc rId="13887" sId="22" numFmtId="4">
    <oc r="AD70">
      <v>400</v>
    </oc>
    <nc r="AD70">
      <v>121.03</v>
    </nc>
  </rcc>
  <rcc rId="13888" sId="22" numFmtId="4">
    <oc r="AD73">
      <v>400</v>
    </oc>
    <nc r="AD73">
      <v>121.03</v>
    </nc>
  </rcc>
  <rrc rId="13889" sId="22" ref="A27:XFD27" action="insertRow"/>
  <rfmt sheetId="22" sqref="B27" start="0" length="0">
    <dxf>
      <numFmt numFmtId="0" formatCode="General"/>
      <alignment horizontal="left" readingOrder="0"/>
    </dxf>
  </rfmt>
  <rfmt sheetId="22" sqref="C27" start="0" length="0">
    <dxf>
      <numFmt numFmtId="0" formatCode="General"/>
      <alignment horizontal="left" readingOrder="0"/>
    </dxf>
  </rfmt>
  <rfmt sheetId="22" sqref="D27" start="0" length="0">
    <dxf>
      <numFmt numFmtId="0" formatCode="General"/>
      <alignment horizontal="left" readingOrder="0"/>
    </dxf>
  </rfmt>
  <rfmt sheetId="22" sqref="E27" start="0" length="0">
    <dxf>
      <numFmt numFmtId="0" formatCode="General"/>
      <alignment horizontal="left" readingOrder="0"/>
    </dxf>
  </rfmt>
  <rfmt sheetId="22" sqref="F27" start="0" length="0">
    <dxf>
      <numFmt numFmtId="0" formatCode="General"/>
      <alignment horizontal="left" wrapText="1" readingOrder="0"/>
    </dxf>
  </rfmt>
  <rfmt sheetId="22" sqref="G27" start="0" length="0">
    <dxf>
      <numFmt numFmtId="0" formatCode="General"/>
      <alignment horizontal="left" wrapText="1" readingOrder="0"/>
    </dxf>
  </rfmt>
  <rfmt sheetId="22" sqref="H27" start="0" length="0">
    <dxf>
      <numFmt numFmtId="0" formatCode="General"/>
      <alignment horizontal="left" readingOrder="0"/>
    </dxf>
  </rfmt>
  <rfmt sheetId="22" sqref="I27" start="0" length="0">
    <dxf>
      <numFmt numFmtId="0" formatCode="General"/>
      <alignment horizontal="left" readingOrder="0"/>
    </dxf>
  </rfmt>
  <rfmt sheetId="22" sqref="J27" start="0" length="0">
    <dxf>
      <numFmt numFmtId="0" formatCode="General"/>
      <alignment horizontal="left" readingOrder="0"/>
    </dxf>
  </rfmt>
  <rfmt sheetId="22" sqref="K27" start="0" length="0">
    <dxf>
      <numFmt numFmtId="0" formatCode="General"/>
      <alignment horizontal="left" readingOrder="0"/>
    </dxf>
  </rfmt>
  <rfmt sheetId="22" sqref="L27" start="0" length="0">
    <dxf>
      <numFmt numFmtId="0" formatCode="General"/>
      <alignment horizontal="left" readingOrder="0"/>
    </dxf>
  </rfmt>
  <rfmt sheetId="22" sqref="M27" start="0" length="0">
    <dxf>
      <numFmt numFmtId="0" formatCode="General"/>
      <alignment horizontal="left" readingOrder="0"/>
    </dxf>
  </rfmt>
  <rfmt sheetId="22" sqref="N27" start="0" length="0">
    <dxf>
      <numFmt numFmtId="0" formatCode="General"/>
      <alignment horizontal="left" readingOrder="0"/>
    </dxf>
  </rfmt>
  <rfmt sheetId="22" sqref="O27" start="0" length="0">
    <dxf>
      <numFmt numFmtId="0" formatCode="General"/>
      <alignment horizontal="left" readingOrder="0"/>
    </dxf>
  </rfmt>
  <rfmt sheetId="22" sqref="P27" start="0" length="0">
    <dxf>
      <numFmt numFmtId="0" formatCode="General"/>
      <alignment horizontal="left" readingOrder="0"/>
    </dxf>
  </rfmt>
  <rfmt sheetId="22" sqref="Q27" start="0" length="0">
    <dxf>
      <numFmt numFmtId="0" formatCode="General"/>
      <alignment horizontal="left" readingOrder="0"/>
    </dxf>
  </rfmt>
  <rfmt sheetId="22" sqref="R27" start="0" length="0">
    <dxf>
      <numFmt numFmtId="0" formatCode="General"/>
      <alignment horizontal="left" readingOrder="0"/>
    </dxf>
  </rfmt>
  <rfmt sheetId="22" sqref="S27" start="0" length="0">
    <dxf>
      <numFmt numFmtId="0" formatCode="General"/>
      <alignment horizontal="left" readingOrder="0"/>
    </dxf>
  </rfmt>
  <rfmt sheetId="22" sqref="T27" start="0" length="0">
    <dxf>
      <numFmt numFmtId="0" formatCode="General"/>
      <alignment horizontal="left" readingOrder="0"/>
    </dxf>
  </rfmt>
  <rfmt sheetId="22" sqref="U27" start="0" length="0">
    <dxf>
      <numFmt numFmtId="0" formatCode="General"/>
      <alignment horizontal="left" readingOrder="0"/>
    </dxf>
  </rfmt>
  <rfmt sheetId="22" sqref="V27" start="0" length="0">
    <dxf>
      <numFmt numFmtId="0" formatCode="General"/>
      <alignment horizontal="left" readingOrder="0"/>
    </dxf>
  </rfmt>
  <rfmt sheetId="22" sqref="W27" start="0" length="0">
    <dxf>
      <numFmt numFmtId="0" formatCode="General"/>
      <alignment horizontal="left" readingOrder="0"/>
    </dxf>
  </rfmt>
  <rfmt sheetId="22" sqref="X27" start="0" length="0">
    <dxf>
      <numFmt numFmtId="0" formatCode="General"/>
      <alignment horizontal="left" readingOrder="0"/>
    </dxf>
  </rfmt>
  <rfmt sheetId="22" sqref="Y27" start="0" length="0">
    <dxf>
      <numFmt numFmtId="0" formatCode="General"/>
      <alignment horizontal="left" readingOrder="0"/>
    </dxf>
  </rfmt>
  <rfmt sheetId="22" sqref="Z27" start="0" length="0">
    <dxf>
      <numFmt numFmtId="0" formatCode="General"/>
      <alignment horizontal="left" readingOrder="0"/>
    </dxf>
  </rfmt>
  <rfmt sheetId="22" sqref="AA27" start="0" length="0">
    <dxf>
      <numFmt numFmtId="0" formatCode="General"/>
      <alignment horizontal="left" readingOrder="0"/>
    </dxf>
  </rfmt>
  <rfmt sheetId="22" sqref="AB27" start="0" length="0">
    <dxf>
      <numFmt numFmtId="0" formatCode="General"/>
      <alignment horizontal="left" readingOrder="0"/>
    </dxf>
  </rfmt>
  <rfmt sheetId="22" sqref="AC27" start="0" length="0">
    <dxf>
      <numFmt numFmtId="0" formatCode="General"/>
      <alignment horizontal="left" readingOrder="0"/>
    </dxf>
  </rfmt>
  <rfmt sheetId="22" sqref="AD27" start="0" length="0">
    <dxf>
      <numFmt numFmtId="0" formatCode="General"/>
      <alignment horizontal="left" readingOrder="0"/>
    </dxf>
  </rfmt>
  <rfmt sheetId="22" sqref="AE27" start="0" length="0">
    <dxf>
      <numFmt numFmtId="0" formatCode="General"/>
      <alignment horizontal="left" readingOrder="0"/>
    </dxf>
  </rfmt>
  <rcc rId="13890" sId="22">
    <nc r="A27" t="inlineStr">
      <is>
        <t>П.1.1.1.2. Объект благоустройства  "Парк Первопроходцев в городе Когалыме"</t>
      </is>
    </nc>
  </rcc>
  <rrc rId="13891" sId="22" ref="A28:XFD28" action="insertRow"/>
  <rrc rId="13892" sId="22" ref="A29:XFD29" action="insertRow"/>
  <rm rId="13893" sheetId="22" source="A29:XFD29" destination="A28:XFD28" sourceSheetId="22">
    <rfmt sheetId="22" xfDxf="1" s="1" sqref="A28:XFD28" start="0" length="0">
      <dxf>
        <font>
          <b val="0"/>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22" sqref="A28" start="0" length="0">
      <dxf>
        <font>
          <sz val="12"/>
          <color auto="1"/>
          <name val="Times New Roman"/>
          <scheme val="none"/>
        </font>
        <alignment horizontal="left" vertical="center" wrapText="1" readingOrder="0"/>
        <border outline="0">
          <left style="thin">
            <color indexed="64"/>
          </left>
          <top style="thin">
            <color indexed="64"/>
          </top>
          <bottom style="thin">
            <color indexed="64"/>
          </bottom>
        </border>
      </dxf>
    </rfmt>
    <rfmt sheetId="22" sqref="B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C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D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E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F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G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H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I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J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K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L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M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N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O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P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Q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R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S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T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U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V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W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X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Y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Z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AA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AB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AC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AD28" start="0" length="0">
      <dxf>
        <font>
          <sz val="12"/>
          <color auto="1"/>
          <name val="Times New Roman"/>
          <scheme val="none"/>
        </font>
        <alignment horizontal="left" vertical="center" wrapText="1" readingOrder="0"/>
        <border outline="0">
          <top style="thin">
            <color indexed="64"/>
          </top>
          <bottom style="thin">
            <color indexed="64"/>
          </bottom>
        </border>
      </dxf>
    </rfmt>
    <rfmt sheetId="22" sqref="AE28" start="0" length="0">
      <dxf>
        <font>
          <sz val="12"/>
          <color auto="1"/>
          <name val="Times New Roman"/>
          <scheme val="none"/>
        </font>
        <alignment horizontal="left" vertical="center" wrapText="1" readingOrder="0"/>
        <border outline="0">
          <right style="thin">
            <color indexed="64"/>
          </right>
          <top style="thin">
            <color indexed="64"/>
          </top>
          <bottom style="thin">
            <color indexed="64"/>
          </bottom>
        </border>
      </dxf>
    </rfmt>
    <rfmt sheetId="22" sqref="AF28" start="0" length="0">
      <dxf>
        <font>
          <sz val="12"/>
          <color auto="1"/>
          <name val="Times New Roman"/>
          <scheme val="none"/>
        </font>
        <fill>
          <patternFill patternType="solid">
            <bgColor theme="0"/>
          </patternFill>
        </fill>
        <alignment horizontal="left" vertical="top" wrapText="1" readingOrder="0"/>
        <border outline="0">
          <left style="thin">
            <color indexed="64"/>
          </left>
          <right style="thin">
            <color indexed="64"/>
          </right>
        </border>
      </dxf>
    </rfmt>
  </rm>
  <rcc rId="13894" sId="22" odxf="1" dxf="1">
    <nc r="A28" t="inlineStr">
      <is>
        <t>Всего</t>
      </is>
    </nc>
    <odxf>
      <font>
        <b val="0"/>
        <sz val="12"/>
        <color auto="1"/>
        <name val="Times New Roman"/>
        <scheme val="none"/>
      </font>
    </odxf>
    <ndxf>
      <font>
        <b/>
        <sz val="12"/>
        <color auto="1"/>
        <name val="Times New Roman"/>
        <scheme val="none"/>
      </font>
    </ndxf>
  </rcc>
  <rrc rId="13895" sId="22" ref="A29:XFD29" action="insertRow"/>
  <rrc rId="13896" sId="22" ref="A30:XFD30" action="insertRow"/>
  <rcc rId="13897" sId="22" odxf="1" dxf="1">
    <nc r="A29" t="inlineStr">
      <is>
        <t>федеральный бюджет</t>
      </is>
    </nc>
    <odxf>
      <font>
        <b/>
        <sz val="12"/>
        <color auto="1"/>
        <name val="Times New Roman"/>
        <scheme val="none"/>
      </font>
      <border outline="0">
        <left/>
        <right/>
        <top/>
        <bottom/>
      </border>
    </odxf>
    <ndxf>
      <font>
        <b val="0"/>
        <sz val="12"/>
        <color auto="1"/>
        <name val="Times New Roman"/>
        <scheme val="none"/>
      </font>
      <border outline="0">
        <left style="thin">
          <color indexed="64"/>
        </left>
        <right style="thin">
          <color indexed="64"/>
        </right>
        <top style="thin">
          <color indexed="64"/>
        </top>
        <bottom style="thin">
          <color indexed="64"/>
        </bottom>
      </border>
    </ndxf>
  </rcc>
  <rcc rId="13898" sId="22" odxf="1" dxf="1">
    <nc r="A30" t="inlineStr">
      <is>
        <t>бюджет автономного округа</t>
      </is>
    </nc>
    <odxf>
      <font>
        <b/>
        <sz val="12"/>
        <color auto="1"/>
        <name val="Times New Roman"/>
        <scheme val="none"/>
      </font>
      <border outline="0">
        <left/>
        <right/>
        <top/>
        <bottom/>
      </border>
    </odxf>
    <ndxf>
      <font>
        <b val="0"/>
        <sz val="12"/>
        <color auto="1"/>
        <name val="Times New Roman"/>
        <scheme val="none"/>
      </font>
      <border outline="0">
        <left style="thin">
          <color indexed="64"/>
        </left>
        <right style="thin">
          <color indexed="64"/>
        </right>
        <top style="thin">
          <color indexed="64"/>
        </top>
        <bottom style="thin">
          <color indexed="64"/>
        </bottom>
      </border>
    </ndxf>
  </rcc>
  <rcc rId="13899" sId="22" odxf="1" dxf="1">
    <nc r="A31" t="inlineStr">
      <is>
        <t>бюджет города Когалыма</t>
      </is>
    </nc>
    <odxf>
      <font>
        <sz val="12"/>
      </font>
      <alignment horizontal="general" vertical="bottom" wrapText="0" readingOrder="0"/>
      <border outline="0">
        <left/>
        <right/>
        <top/>
        <bottom/>
      </border>
    </odxf>
    <ndxf>
      <font>
        <sz val="12"/>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rc rId="13900" sId="22" ref="A32:XFD32" action="insertRow"/>
  <rcc rId="13901" sId="22" odxf="1" dxf="1">
    <nc r="A32" t="inlineStr">
      <is>
        <t>в т.ч. бюджет города Когалыма в части софинансирования</t>
      </is>
    </nc>
    <odxf>
      <alignment horizontal="left" readingOrder="0"/>
      <border outline="0">
        <right/>
      </border>
    </odxf>
    <ndxf>
      <alignment horizontal="right" readingOrder="0"/>
      <border outline="0">
        <right style="thin">
          <color indexed="64"/>
        </right>
      </border>
    </ndxf>
  </rcc>
  <rrc rId="13902" sId="22" ref="A33:XFD33" action="insertRow"/>
  <rfmt sheetId="22" sqref="A33" start="0" length="0">
    <dxf>
      <alignment horizontal="left" readingOrder="0"/>
      <border outline="0">
        <right style="thin">
          <color indexed="64"/>
        </right>
      </border>
    </dxf>
  </rfmt>
  <rcc rId="13903" sId="22" odxf="1" dxf="1">
    <nc r="A33" t="inlineStr">
      <is>
        <t>привлеченные средства</t>
      </is>
    </nc>
    <ndxf>
      <border outline="0">
        <right/>
      </border>
    </ndxf>
  </rcc>
  <rcc rId="13904" sId="22" odxf="1" dxf="1" numFmtId="4">
    <nc r="B33">
      <v>373000</v>
    </nc>
    <odxf>
      <numFmt numFmtId="0" formatCode="General"/>
    </odxf>
    <ndxf>
      <numFmt numFmtId="4" formatCode="#,##0.00"/>
    </ndxf>
  </rcc>
  <rcc rId="13905" sId="22" odxf="1" dxf="1" numFmtId="4">
    <nc r="B28">
      <v>373000</v>
    </nc>
    <ndxf>
      <numFmt numFmtId="4" formatCode="#,##0.00"/>
    </ndxf>
  </rcc>
  <rcc rId="13906" sId="22" odxf="1" dxf="1">
    <nc r="C28">
      <f>H28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07" sId="22" odxf="1" dxf="1">
    <nc r="C29">
      <f>H29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08" sId="22" odxf="1" dxf="1">
    <nc r="B29">
      <f>G29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09" sId="22" odxf="1" dxf="1">
    <nc r="B30">
      <f>G30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10" sId="22" odxf="1" dxf="1">
    <nc r="B31">
      <f>G31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11" sId="22" odxf="1" dxf="1">
    <nc r="B32">
      <f>G32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12" sId="22" odxf="1" dxf="1">
    <nc r="C30">
      <f>H30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13" sId="22" odxf="1" dxf="1">
    <nc r="C31">
      <f>H31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14" sId="22" odxf="1" dxf="1">
    <nc r="C32">
      <f>H32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15" sId="22" odxf="1" dxf="1">
    <nc r="C33">
      <f>H33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16" sId="22" odxf="1" dxf="1">
    <nc r="D28">
      <f>I28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17" sId="22" odxf="1" dxf="1">
    <nc r="D29">
      <f>I29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18" sId="22" odxf="1" dxf="1">
    <nc r="D30">
      <f>I30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19" sId="22" odxf="1" dxf="1">
    <nc r="D31">
      <f>I31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20" sId="22" odxf="1" dxf="1">
    <nc r="D32">
      <f>I32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21" sId="22" odxf="1" dxf="1">
    <nc r="D33">
      <f>I33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22" sId="22" odxf="1" dxf="1">
    <nc r="E28">
      <f>J28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23" sId="22" odxf="1" dxf="1">
    <nc r="F28">
      <f>K28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24" sId="22" odxf="1" dxf="1">
    <nc r="G28">
      <f>L28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25" sId="22" odxf="1" dxf="1">
    <nc r="H28">
      <f>M28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26" sId="22" odxf="1" dxf="1">
    <nc r="I28">
      <f>N28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27" sId="22" odxf="1" dxf="1">
    <nc r="I29">
      <f>N29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28" sId="22" odxf="1" dxf="1">
    <nc r="H29">
      <f>M29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29" sId="22" odxf="1" dxf="1">
    <nc r="G29">
      <f>L29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30" sId="22" odxf="1" dxf="1">
    <nc r="F29">
      <f>K29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31" sId="22" odxf="1" dxf="1">
    <nc r="E29">
      <f>J29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32" sId="22" odxf="1" dxf="1">
    <nc r="E30">
      <f>J30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33" sId="22" odxf="1" dxf="1">
    <nc r="E31">
      <f>J31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34" sId="22" odxf="1" dxf="1">
    <nc r="E32">
      <f>J32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35" sId="22" odxf="1" dxf="1">
    <nc r="E33">
      <f>J33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36" sId="22" odxf="1" dxf="1">
    <nc r="F30">
      <f>K30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37" sId="22" odxf="1" dxf="1">
    <nc r="F31">
      <f>K31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38" sId="22" odxf="1" dxf="1">
    <nc r="F32">
      <f>K32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39" sId="22" odxf="1" dxf="1">
    <nc r="F33">
      <f>K33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0" sId="22" odxf="1" dxf="1">
    <nc r="G30">
      <f>L30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41" sId="22" odxf="1" dxf="1">
    <nc r="G31">
      <f>L31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2" sId="22" odxf="1" dxf="1">
    <nc r="G32">
      <f>L32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3" sId="22" odxf="1" dxf="1">
    <nc r="G33">
      <f>L33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4" sId="22" odxf="1" dxf="1">
    <nc r="H33">
      <f>M33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5" sId="22" odxf="1" dxf="1">
    <nc r="H32">
      <f>M32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6" sId="22" odxf="1" dxf="1">
    <nc r="H31">
      <f>M31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47" sId="22" odxf="1" dxf="1">
    <nc r="H30">
      <f>M30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48" sId="22" odxf="1" dxf="1">
    <nc r="I30">
      <f>N30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49" sId="22" odxf="1" dxf="1">
    <nc r="I31">
      <f>N31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0" sId="22" odxf="1" dxf="1">
    <nc r="I32">
      <f>N32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1" sId="22" odxf="1" dxf="1">
    <nc r="I33">
      <f>N33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2" sId="22" odxf="1" dxf="1">
    <nc r="J28">
      <f>O28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53" sId="22" odxf="1" dxf="1">
    <nc r="J29">
      <f>O29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54" sId="22" odxf="1" dxf="1">
    <nc r="J30">
      <f>O30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55" sId="22" odxf="1" dxf="1">
    <nc r="J31">
      <f>O31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6" sId="22" odxf="1" dxf="1">
    <nc r="J32">
      <f>O32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7" sId="22" odxf="1" dxf="1">
    <nc r="J33">
      <f>O33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8" sId="22" odxf="1" dxf="1">
    <nc r="K33">
      <f>P33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59" sId="22" odxf="1" dxf="1">
    <nc r="K32">
      <f>P32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60" sId="22" odxf="1" dxf="1">
    <nc r="K31">
      <f>P31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61" sId="22" odxf="1" dxf="1">
    <nc r="K30">
      <f>P30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62" sId="22" odxf="1" dxf="1">
    <nc r="K29">
      <f>P29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63" sId="22" odxf="1" dxf="1">
    <nc r="K28">
      <f>P28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64" sId="22" odxf="1" dxf="1">
    <nc r="L28">
      <f>Q28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65" sId="22" odxf="1" dxf="1">
    <nc r="M28">
      <f>R28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3966" sId="22" odxf="1" dxf="1">
    <nc r="L29">
      <f>Q29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67" sId="22" odxf="1" dxf="1">
    <nc r="L30">
      <f>Q30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68" sId="22" odxf="1" dxf="1">
    <nc r="L31">
      <f>Q31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69" sId="22" odxf="1" dxf="1">
    <nc r="L32">
      <f>Q32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0" sId="22" odxf="1" dxf="1">
    <nc r="L33">
      <f>Q33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1" sId="22" odxf="1" dxf="1">
    <nc r="M30">
      <f>R30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72" sId="22" odxf="1" dxf="1">
    <nc r="M29">
      <f>R29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73" sId="22" odxf="1" dxf="1">
    <nc r="M31">
      <f>R31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4" sId="22" odxf="1" dxf="1">
    <nc r="M32">
      <f>R32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5" sId="22" odxf="1" dxf="1">
    <nc r="M33">
      <f>R33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6" sId="22" odxf="1" dxf="1">
    <nc r="N33">
      <f>S33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fmt sheetId="22" sqref="O33" start="0" length="0">
    <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dxf>
  </rfmt>
  <rcc rId="13977" sId="22" odxf="1" dxf="1">
    <nc r="O32">
      <f>T32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8" sId="22" odxf="1" dxf="1">
    <nc r="N32">
      <f>S32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79" sId="22" odxf="1" dxf="1">
    <nc r="N30">
      <f>S30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80" sId="22" odxf="1" dxf="1">
    <nc r="N31">
      <f>S31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81" sId="22" odxf="1" dxf="1">
    <nc r="O31">
      <f>T31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82" sId="22" odxf="1" dxf="1">
    <nc r="O30">
      <f>T30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83" sId="22" odxf="1" dxf="1">
    <nc r="O29">
      <f>T29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84" sId="22" odxf="1" dxf="1">
    <nc r="N29">
      <f>S29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85" sId="22" odxf="1" dxf="1">
    <nc r="N28">
      <f>S28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fmt sheetId="22" sqref="O28" start="0" length="0">
    <dxf>
      <numFmt numFmtId="172" formatCode="#,##0.00_р_."/>
      <alignment horizontal="center" readingOrder="0"/>
      <border outline="0">
        <left style="thin">
          <color indexed="64"/>
        </left>
        <right style="thin">
          <color indexed="64"/>
        </right>
      </border>
    </dxf>
  </rfmt>
  <rcc rId="13986" sId="22" odxf="1" dxf="1" numFmtId="4">
    <nc r="AD28">
      <v>373000</v>
    </nc>
    <odxf>
      <numFmt numFmtId="0" formatCode="General"/>
    </odxf>
    <ndxf>
      <numFmt numFmtId="4" formatCode="#,##0.00"/>
    </ndxf>
  </rcc>
  <rfmt sheetId="22" xfDxf="1" s="1" sqref="AD33" start="0" length="0">
    <dxf>
      <font>
        <b val="0"/>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cc rId="13987" sId="22" odxf="1" dxf="1" numFmtId="4">
    <nc r="AD33">
      <v>373000</v>
    </nc>
    <ndxf>
      <numFmt numFmtId="4" formatCode="#,##0.00"/>
    </ndxf>
  </rcc>
  <rcc rId="13988" sId="22" odxf="1" dxf="1">
    <nc r="AD32">
      <f>AI32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89" sId="22" odxf="1" dxf="1">
    <nc r="AD31">
      <f>AI31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90" sId="22" odxf="1" dxf="1">
    <nc r="AD30">
      <f>AI30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91" sId="22" odxf="1" dxf="1">
    <nc r="AD29">
      <f>AI29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92" sId="22" odxf="1" dxf="1">
    <nc r="AC29">
      <f>AH29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93" sId="22" odxf="1" dxf="1">
    <nc r="AC30">
      <f>AH30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3994" sId="22" odxf="1" dxf="1">
    <nc r="AC31">
      <f>AH31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95" sId="22" odxf="1" dxf="1">
    <nc r="AC32">
      <f>AH32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96" sId="22" odxf="1" dxf="1">
    <nc r="AC33">
      <f>AH33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97" sId="22" odxf="1" dxf="1">
    <nc r="AB33">
      <f>AG33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98" sId="22" odxf="1" dxf="1">
    <nc r="AB32">
      <f>AG32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3999" sId="22" odxf="1" dxf="1">
    <nc r="AB30">
      <f>AG30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00" sId="22" odxf="1" dxf="1">
    <nc r="AB31">
      <f>AG31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01" sId="22" odxf="1" dxf="1">
    <nc r="AB29">
      <f>AG29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02" sId="22" odxf="1" dxf="1">
    <nc r="AB28">
      <f>AG28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03" sId="22" odxf="1" dxf="1">
    <nc r="AC28">
      <f>AH28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04" sId="22" odxf="1" dxf="1">
    <nc r="AE28">
      <f>AJ28</f>
    </nc>
    <odxf>
      <numFmt numFmtId="0" formatCode="General"/>
      <alignment horizontal="left" readingOrder="0"/>
      <border outline="0">
        <left/>
      </border>
    </odxf>
    <ndxf>
      <numFmt numFmtId="172" formatCode="#,##0.00_р_."/>
      <alignment horizontal="center" readingOrder="0"/>
      <border outline="0">
        <left style="thin">
          <color indexed="64"/>
        </left>
      </border>
    </ndxf>
  </rcc>
  <rcc rId="14005" sId="22" odxf="1" dxf="1">
    <nc r="AE29">
      <f>AJ29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06" sId="22" odxf="1" dxf="1">
    <nc r="AE30">
      <f>AJ30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07" sId="22" odxf="1" dxf="1">
    <nc r="AE31">
      <f>AJ31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08" sId="22" odxf="1" dxf="1">
    <nc r="AE32">
      <f>AJ32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09" sId="22" odxf="1" dxf="1">
    <nc r="AE33">
      <f>AJ33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10" sId="22" odxf="1" dxf="1">
    <nc r="P28">
      <f>U28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1" sId="22" odxf="1" dxf="1">
    <nc r="Q28">
      <f>V28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2" sId="22" odxf="1" dxf="1">
    <nc r="R28">
      <f>W28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3" sId="22" odxf="1" dxf="1">
    <nc r="S28">
      <f>X28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fmt sheetId="22" sqref="T28" start="0" length="0">
    <dxf>
      <numFmt numFmtId="172" formatCode="#,##0.00_р_."/>
      <alignment horizontal="center" readingOrder="0"/>
      <border outline="0">
        <left style="thin">
          <color indexed="64"/>
        </left>
        <right style="thin">
          <color indexed="64"/>
        </right>
      </border>
    </dxf>
  </rfmt>
  <rcc rId="14014" sId="22" odxf="1" dxf="1">
    <nc r="U28">
      <f>Z28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5" sId="22" odxf="1" dxf="1">
    <nc r="V28">
      <f>AA28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6" sId="22" odxf="1" dxf="1">
    <nc r="W28">
      <f>AB28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7" sId="22" odxf="1" dxf="1">
    <nc r="X28">
      <f>AC28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fmt sheetId="22" sqref="Y28" start="0" length="0">
    <dxf>
      <numFmt numFmtId="172" formatCode="#,##0.00_р_."/>
      <alignment horizontal="center" readingOrder="0"/>
      <border outline="0">
        <left style="thin">
          <color indexed="64"/>
        </left>
        <right style="thin">
          <color indexed="64"/>
        </right>
      </border>
    </dxf>
  </rfmt>
  <rcc rId="14018" sId="22" odxf="1" dxf="1">
    <nc r="Z28">
      <f>AE28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19" sId="22" odxf="1" dxf="1">
    <nc r="AA28">
      <f>AF28</f>
    </nc>
    <odxf>
      <numFmt numFmtId="0" formatCode="General"/>
      <alignment horizontal="left" readingOrder="0"/>
      <border outline="0">
        <left/>
        <right/>
      </border>
    </odxf>
    <ndxf>
      <numFmt numFmtId="172" formatCode="#,##0.00_р_."/>
      <alignment horizontal="center" readingOrder="0"/>
      <border outline="0">
        <left style="thin">
          <color indexed="64"/>
        </left>
        <right style="thin">
          <color indexed="64"/>
        </right>
      </border>
    </ndxf>
  </rcc>
  <rcc rId="14020" sId="22" odxf="1" dxf="1">
    <nc r="AA29">
      <f>AF29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1" sId="22" odxf="1" dxf="1">
    <nc r="Z29">
      <f>AE29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2" sId="22" odxf="1" dxf="1">
    <nc r="Y29">
      <f>AD29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3" sId="22" odxf="1" dxf="1">
    <nc r="X29">
      <f>AC29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4" sId="22" odxf="1" dxf="1">
    <nc r="W29">
      <f>AB29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5" sId="22" odxf="1" dxf="1">
    <nc r="V29">
      <f>AA29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6" sId="22" odxf="1" dxf="1">
    <nc r="U29">
      <f>Z29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7" sId="22" odxf="1" dxf="1">
    <nc r="T29">
      <f>Y29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8" sId="22" odxf="1" dxf="1">
    <nc r="S29">
      <f>X29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29" sId="22" odxf="1" dxf="1">
    <nc r="R29">
      <f>W29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0" sId="22" odxf="1" dxf="1">
    <nc r="Q29">
      <f>V29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1" sId="22" odxf="1" dxf="1">
    <nc r="P29">
      <f>U29</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2" sId="22" odxf="1" dxf="1">
    <nc r="P30">
      <f>U30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3" sId="22" odxf="1" dxf="1">
    <nc r="Q30">
      <f>V30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4" sId="22" odxf="1" dxf="1">
    <nc r="R30">
      <f>W30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5" sId="22" odxf="1" dxf="1">
    <nc r="S30">
      <f>X30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6" sId="22" odxf="1" dxf="1">
    <nc r="T30">
      <f>Y30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7" sId="22" odxf="1" dxf="1">
    <nc r="U30">
      <f>Z30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8" sId="22" odxf="1" dxf="1">
    <nc r="V30">
      <f>AA30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39" sId="22" odxf="1" dxf="1">
    <nc r="W30">
      <f>AB30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40" sId="22" odxf="1" dxf="1">
    <nc r="X30">
      <f>AC30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41" sId="22" odxf="1" dxf="1">
    <nc r="Y30">
      <f>AD30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42" sId="22" odxf="1" dxf="1">
    <nc r="Z30">
      <f>AE30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43" sId="22" odxf="1" dxf="1">
    <nc r="AA30">
      <f>AF30</f>
    </nc>
    <odxf>
      <numFmt numFmtId="0" formatCode="General"/>
      <alignment horizontal="left" readingOrder="0"/>
      <border outline="0">
        <left/>
        <right/>
        <top/>
        <bottom/>
      </border>
    </odxf>
    <ndxf>
      <numFmt numFmtId="172" formatCode="#,##0.00_р_."/>
      <alignment horizontal="center" readingOrder="0"/>
      <border outline="0">
        <left style="thin">
          <color indexed="64"/>
        </left>
        <right style="thin">
          <color indexed="64"/>
        </right>
        <top style="thin">
          <color indexed="64"/>
        </top>
        <bottom style="thin">
          <color indexed="64"/>
        </bottom>
      </border>
    </ndxf>
  </rcc>
  <rcc rId="14044" sId="22" odxf="1" dxf="1">
    <nc r="AA31">
      <f>AF31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45" sId="22" odxf="1" dxf="1">
    <nc r="AA32">
      <f>AF32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46" sId="22" odxf="1" dxf="1">
    <nc r="AA33">
      <f>AF33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47" sId="22" odxf="1" dxf="1">
    <nc r="Z33">
      <f>AE33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48" sId="22" odxf="1" dxf="1">
    <nc r="Z32">
      <f>AE32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49" sId="22" odxf="1" dxf="1">
    <nc r="Z31">
      <f>AE31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0" sId="22" odxf="1" dxf="1">
    <nc r="Y31">
      <f>AD31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1" sId="22" odxf="1" dxf="1">
    <nc r="Y32">
      <f>AD32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fmt sheetId="22" sqref="Y33" start="0" length="0">
    <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dxf>
  </rfmt>
  <rcc rId="14052" sId="22" odxf="1" dxf="1">
    <nc r="X33">
      <f>AC33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3" sId="22" odxf="1" dxf="1">
    <nc r="X32">
      <f>AC32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4" sId="22" odxf="1" dxf="1">
    <nc r="X31">
      <f>AC31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5" sId="22" odxf="1" dxf="1">
    <nc r="W31">
      <f>AB31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6" sId="22" odxf="1" dxf="1">
    <nc r="W32">
      <f>AB32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7" sId="22" odxf="1" dxf="1">
    <nc r="W33">
      <f>AB33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8" sId="22" odxf="1" dxf="1">
    <nc r="V33">
      <f>AA33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59" sId="22" odxf="1" dxf="1">
    <nc r="V32">
      <f>AA32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0" sId="22" odxf="1" dxf="1">
    <nc r="V31">
      <f>AA31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1" sId="22" odxf="1" dxf="1">
    <nc r="U31">
      <f>Z31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2" sId="22" odxf="1" dxf="1">
    <nc r="U32">
      <f>Z32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3" sId="22" odxf="1" dxf="1">
    <nc r="U33">
      <f>Z33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fmt sheetId="22" sqref="T33" start="0" length="0">
    <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dxf>
  </rfmt>
  <rcc rId="14064" sId="22" odxf="1" dxf="1">
    <nc r="T32">
      <f>Y32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5" sId="22" odxf="1" dxf="1">
    <nc r="T31">
      <f>Y31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6" sId="22" odxf="1" dxf="1">
    <nc r="S32">
      <f>X32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7" sId="22" odxf="1" dxf="1">
    <nc r="S31">
      <f>X31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8" sId="22" odxf="1" dxf="1">
    <nc r="S33">
      <f>X33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69" sId="22" odxf="1" dxf="1">
    <nc r="P31">
      <f>U31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0" sId="22" odxf="1" dxf="1">
    <nc r="Q31">
      <f>V31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1" sId="22" odxf="1" dxf="1">
    <nc r="R31">
      <f>W31</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2" sId="22" odxf="1" dxf="1">
    <nc r="R32">
      <f>W32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3" sId="22" odxf="1" dxf="1">
    <nc r="Q32">
      <f>V32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4" sId="22" odxf="1" dxf="1">
    <nc r="P32">
      <f>U32</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5" sId="22" odxf="1" dxf="1">
    <nc r="P33">
      <f>U33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6" sId="22" odxf="1" dxf="1">
    <nc r="Q33">
      <f>V33</f>
    </nc>
    <odxf>
      <font>
        <sz val="12"/>
      </font>
      <numFmt numFmtId="0" formatCode="General"/>
      <alignment horizontal="general" vertical="bottom" wrapText="0" readingOrder="0"/>
      <border outline="0">
        <left/>
        <right/>
        <top/>
        <bottom/>
      </border>
    </odxf>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cc rId="14077" sId="22" odxf="1" dxf="1">
    <nc r="R34">
      <f>W34</f>
    </nc>
    <odxf>
      <numFmt numFmtId="4" formatCode="#,##0.00"/>
      <border outline="0">
        <left/>
        <right/>
      </border>
    </odxf>
    <ndxf>
      <numFmt numFmtId="172" formatCode="#,##0.00_р_."/>
      <border outline="0">
        <left style="thin">
          <color indexed="64"/>
        </left>
        <right style="thin">
          <color indexed="64"/>
        </right>
      </border>
    </ndxf>
  </rcc>
  <rcc rId="14078" sId="22" numFmtId="4">
    <nc r="O28">
      <v>0</v>
    </nc>
  </rcc>
  <rcc rId="14079" sId="22" numFmtId="4">
    <nc r="O33">
      <v>0</v>
    </nc>
  </rcc>
  <rcc rId="14080" sId="22" numFmtId="4">
    <nc r="T28">
      <v>0</v>
    </nc>
  </rcc>
  <rcc rId="14081" sId="22" numFmtId="4">
    <nc r="T33">
      <v>0</v>
    </nc>
  </rcc>
  <rcc rId="14082" sId="22" numFmtId="4">
    <nc r="Y28">
      <v>0</v>
    </nc>
  </rcc>
  <rcc rId="14083" sId="22" numFmtId="4">
    <nc r="Y33">
      <v>0</v>
    </nc>
  </rcc>
  <rcc rId="14084" sId="22" odxf="1" dxf="1">
    <nc r="R33">
      <f>W33</f>
    </nc>
    <ndxf>
      <font>
        <sz val="12"/>
        <color auto="1"/>
        <name val="Times New Roman"/>
        <scheme val="none"/>
      </font>
      <numFmt numFmtId="172" formatCode="#,##0.00_р_."/>
      <alignment horizontal="center" vertical="center" wrapText="1" readingOrder="0"/>
      <border outline="0">
        <left style="thin">
          <color indexed="64"/>
        </left>
        <right style="thin">
          <color indexed="64"/>
        </right>
        <top style="thin">
          <color indexed="64"/>
        </top>
        <bottom style="thin">
          <color indexed="64"/>
        </bottom>
      </border>
    </ndxf>
  </rcc>
  <rfmt sheetId="22" sqref="AD28">
    <dxf>
      <alignment horizontal="center" readingOrder="0"/>
    </dxf>
  </rfmt>
  <rfmt sheetId="22" sqref="AD33">
    <dxf>
      <alignment horizontal="right" readingOrder="0"/>
    </dxf>
  </rfmt>
  <rfmt sheetId="22" sqref="AD33">
    <dxf>
      <alignment horizontal="center" readingOrder="0"/>
    </dxf>
  </rfmt>
  <rfmt sheetId="22" sqref="B28">
    <dxf>
      <alignment horizontal="center" readingOrder="0"/>
    </dxf>
  </rfmt>
  <rfmt sheetId="22" sqref="B33">
    <dxf>
      <alignment horizontal="right" readingOrder="0"/>
    </dxf>
  </rfmt>
  <rfmt sheetId="22" sqref="B33">
    <dxf>
      <alignment horizontal="center" readingOrder="0"/>
    </dxf>
  </rfmt>
  <rcc rId="14085" sId="22" numFmtId="4">
    <oc r="B84">
      <v>108149.75999999999</v>
    </oc>
    <nc r="B84">
      <v>481149.75</v>
    </nc>
  </rcc>
  <rcc rId="14086" sId="22" numFmtId="4">
    <oc r="C84">
      <v>25255.96</v>
    </oc>
    <nc r="C84">
      <v>25534.93</v>
    </nc>
  </rcc>
  <rcc rId="14087" sId="22" numFmtId="4">
    <oc r="D84">
      <v>25255.96</v>
    </oc>
    <nc r="D84">
      <v>25534.93</v>
    </nc>
  </rcc>
  <rcc rId="14088" sId="22" numFmtId="4">
    <oc r="E84">
      <v>24644.42</v>
    </oc>
    <nc r="E84">
      <v>24923.39</v>
    </nc>
  </rcc>
  <rcc rId="14089" sId="22" numFmtId="4">
    <oc r="G84">
      <v>97.58</v>
    </oc>
    <nc r="G84">
      <v>97.61</v>
    </nc>
  </rcc>
  <rcc rId="14090" sId="22" numFmtId="4">
    <oc r="G86">
      <v>100</v>
    </oc>
    <nc r="G86">
      <v>94.76</v>
    </nc>
  </rcc>
  <rcc rId="14091" sId="22" numFmtId="4">
    <oc r="B87">
      <v>70101.13</v>
    </oc>
    <nc r="B87">
      <v>70101.14</v>
    </nc>
  </rcc>
  <rcc rId="14092" sId="22" numFmtId="4">
    <oc r="C87">
      <v>9215.26</v>
    </oc>
    <nc r="C87">
      <v>9494.24</v>
    </nc>
  </rcc>
  <rcc rId="14093" sId="22" numFmtId="4">
    <oc r="D87">
      <v>9215.26</v>
    </oc>
    <nc r="D87">
      <v>9494.24</v>
    </nc>
  </rcc>
  <rcc rId="14094" sId="22" numFmtId="4">
    <oc r="E87">
      <v>9215.17</v>
    </oc>
    <nc r="E87">
      <v>9494.14</v>
    </nc>
  </rcc>
  <rcc rId="14095" sId="22" numFmtId="4">
    <oc r="G87">
      <v>200</v>
    </oc>
    <nc r="G87">
      <v>100</v>
    </nc>
  </rcc>
  <rcc rId="14096" sId="22" numFmtId="4">
    <oc r="B88">
      <v>3128.2</v>
    </oc>
    <nc r="B88">
      <v>4628.1499999999996</v>
    </nc>
  </rcc>
  <rcc rId="14097" sId="22" numFmtId="4">
    <oc r="B89">
      <v>15536</v>
    </oc>
    <nc r="B89">
      <v>388536</v>
    </nc>
  </rcc>
  <rcc rId="14098" sId="22" numFmtId="4">
    <nc r="H85">
      <v>0</v>
    </nc>
  </rcc>
  <rcc rId="14099" sId="22" numFmtId="4">
    <nc r="H86">
      <v>0</v>
    </nc>
  </rcc>
  <rcc rId="14100" sId="22" numFmtId="4">
    <nc r="H88">
      <v>0</v>
    </nc>
  </rcc>
  <rcc rId="14101" sId="22" numFmtId="4">
    <nc r="I85">
      <v>0</v>
    </nc>
  </rcc>
  <rcc rId="14102" sId="22" numFmtId="4">
    <nc r="I86">
      <v>0</v>
    </nc>
  </rcc>
  <rcc rId="14103" sId="22" numFmtId="4">
    <nc r="I88">
      <v>0</v>
    </nc>
  </rcc>
  <rcc rId="14104" sId="22" numFmtId="4">
    <oc r="T84">
      <f>T85+T86+T87+T89</f>
    </oc>
    <nc r="T84">
      <v>278.97000000000003</v>
    </nc>
  </rcc>
  <rcc rId="14105" sId="22" numFmtId="4">
    <oc r="V84">
      <v>8986.2099999999991</v>
    </oc>
    <nc r="V84">
      <v>8986.2000000000007</v>
    </nc>
  </rcc>
  <rcc rId="14106" sId="22" numFmtId="4">
    <oc r="AD84">
      <v>1199.0999999999999</v>
    </oc>
    <nc r="AD84">
      <v>920.13</v>
    </nc>
  </rcc>
  <rcc rId="14107" sId="22" numFmtId="4">
    <oc r="AD87">
      <v>1199.0999999999999</v>
    </oc>
    <nc r="AD87">
      <v>920.13</v>
    </nc>
  </rcc>
  <rcc rId="14108" sId="22" numFmtId="4">
    <oc r="T87">
      <v>0</v>
    </oc>
    <nc r="T87">
      <v>278.97000000000003</v>
    </nc>
  </rcc>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9" sId="22">
    <nc r="AF27" t="inlineStr">
      <is>
        <t>Размещение электронного аукциона на строительство обьекта возможно после завершения ПСД и получения положительного заключения экспертизы, ожидаемый срок 3 декада августа 2024.</t>
      </is>
    </nc>
  </rcc>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0" sId="22">
    <oc r="AF56" t="inlineStr">
      <is>
        <t xml:space="preserve"> 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3.На основании решения Думы города Когалыма от 19.06.2024 № 410-ГД выделены ПА, в размере 15536,0 тыс.руб. - средства посоглашению с ПАО "Лукойл"</t>
      </is>
    </oc>
    <nc r="AF56" t="inlineStr">
      <is>
        <t xml:space="preserve"> 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3.Контракт № 5 от 25.07.2024 (переданы функции заказчика 29.07.2024) на выполнение работ по устройству основания, инженерных сетей для объекта "Архитектурная композиция "Термометр"в городе Когалыме" и благоустройству прилегающей территории в рамках реализациимероприятия "Благоустройство городских территорий"
- цена контракта 15 133,18  тыс.руб.; 
- срок выполнения работ: 30.08.2024 г.
</t>
      </is>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1" sId="22">
    <oc r="AF56" t="inlineStr">
      <is>
        <t xml:space="preserve"> 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3.Контракт № 5 от 25.07.2024 (переданы функции заказчика 29.07.2024) на выполнение работ по устройству основания, инженерных сетей для объекта "Архитектурная композиция "Термометр"в городе Когалыме" и благоустройству прилегающей территории в рамках реализациимероприятия "Благоустройство городских территорий"
- цена контракта 15 133,18  тыс.руб.; 
- срок выполнения работ: 30.08.2024 г.
</t>
      </is>
    </oc>
    <nc r="AF56" t="inlineStr">
      <is>
        <t xml:space="preserve">1. Муниципальный контракт № 117/2023 от 15.12.2023 на поставку и монтаж светильников объекта благоустройства "Литературный сквер в городе Когалыме"
-цена контракта 580,00 тыс.руб; (произведена частичная оплата за фактически поставленные и установленные светильники в размере 348,0 тыс.руб. в 2023 году)
-срок поставки и монтажа:22.12.2023;
-работы выполнены и оплачены в полном объеме.
2. Договор № Т2/24/0007-ДТП от 16.05.2024 на Осуществление технологического присоединения к электрическим сетям (Архитектурная композиция "Термометр").
- цена контракта 43,55 тыс.руб.;  перечислен аванс в сумме 34,84 тыс.руб. (80%), 
- срлк выполнения работ: 01.12.2024 г.
-ведется выполнение работ.
3.Контракт № 5 от 25.07.2024 (переданы функции заказчика 29.07.2024) на выполнение работ по устройству основания, инженерных сетей для объекта "Архитектурная композиция "Термометр"в городе Когалыме" и благоустройству прилегающей территории в рамках реализациимероприятия "Благоустройство городских территорий"
- цена контракта 15 133,18  тыс.руб.; 
- срок выполнения работ: 30.08.2024 г.
</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2" sId="22">
    <oc r="AF65" t="inlineStr">
      <is>
        <t>1. Муниципальный контракт № 12/2024 от 12.02.2024 на выполнение инженерных изысканий для объекта благоустройства "Этностойбище коренных народов ХМАО-Югры "Вонт-Лунг" (лесной дух) в г. Когалыме"
-цена контракта 594,1 тыс.руб.;
-срок выполнения работ: 29.02.2024 г.
-работы выполнены и оплачены в полном объеме.
2. Муниципальный контракт №15/2024 от 07.03.2024 на выполнение работ по разработке проектно-сметной документации на строительство объекта благоустройства "Этностойбище коренных народов ХМАО-Югры "Вонт-Корт" (лесное стойбище) в г. Когалыме:
- цена контракта 597,01 тыс.руб.;
- срок выполнения работ: 31.05.2024 г. 
3.  Муниципальный контракт №36/2024 от 27.05.2024 на оказание услуг по проведению негосударственной экспертизы сметной документации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 цена контракта 15,0 тыс.руб.;
- срок выполнения работ: 25.06.2024г.;
-услуги оказаны и оплачены в полном объеме.
4. Муниципальный контракт № 0187300013724000129 от 24.06.2024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-цена контракта 13 699,46 тыс.руб.;
-срок выполнения работ: 20.09.2024г.
5. Размещен электронный аукцион на  выполнение работ по строительству объекта благоустройства "Этностойбище коренных народов ХМАО-Югры "Вонт-Корт (лесное стойбище) в городе Когалыме"   дата проведения торгов: 11.07.2024.</t>
      </is>
    </oc>
    <nc r="AF65" t="inlineStr">
      <is>
        <t>1. Муниципальный контракт № 12/2024 от 12.02.2024 на выполнение инженерных изысканий для объекта благоустройства "Этностойбище коренных народов ХМАО-Югры "Вонт-Лунг" (лесной дух) в г. Когалыме"
-цена контракта 594,1 тыс.руб.;
-срок выполнения работ: 29.02.2024 г.
-работы выполнены и оплачены в полном объеме.
2. Муниципальный контракт №15/2024 от 07.03.2024 на выполнение работ по разработке проектно-сметной документации на строительство объекта благоустройства "Этностойбище коренных народов ХМАО-Югры "Вонт-Корт" (лесное стойбище) в г. Когалыме:
- цена контракта 597,01 тыс.руб.;
- срок выполнения работ: 31.05.2024 г. 
3.  Муниципальный контракт №36/2024 от 27.05.2024 на оказание услуг по проведению негосударственной экспертизы сметной документации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 цена контракта 15,0 тыс.руб.;
- срок выполнения работ: 25.06.2024г.;
-услуги оказаны и оплачены в полном объеме.
4. Муниципальный контракт № 0187300013724000129 от 24.06.2024 на выполнение работ по устройству этнических сооружений на объекте благоустройства «Этностойбище коренных народов ХМАО-Югры «Вонт-Корт» (лесное стойбище) в г. Когалыме»
-цена контракта 13 699,46 тыс.руб.;
-срок выполнения работ: 20.09.2024г.
5. Муниципальный контракт № 0187300013724000169 от 23.07.2024 на  выполнение работ по строительству объекта благоустройства "Этностойбище коренных народов ХМАО-Югры "Вонт-Корт (лесное стойбище) в городе Когалыме".
- цена контракта 5 367,06 тыс.руб.;
- срок выполнения работ: 01.11.2024г.</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3" sId="22">
    <oc r="AF77" t="inlineStr">
      <is>
        <t xml:space="preserve">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                                                                                       </t>
      </is>
    </oc>
    <nc r="AF77" t="inlineStr">
      <is>
        <t xml:space="preserve">Муниципальный контракт № 46/2024 от 28.06.2024 на Выполнение работ по разработке проектно-сметной документации на строительство объекта благоустройства "Сквер по проезду Солнечному в городе  Когалыме"
- цена контракта:595,00  тыс.руб.;
- срок выполнения работ: 31.07.2024 г.
- ведется выполнение работ.                                                                Муниципальный контракт № 51/2024 от 01.07.2024 на выполнение инженерных изысканий для объекта благоустройства "Сквер по проезду Солнечный  в городе Когалыме"
- цена контракта:278,97  тыс.руб.;
- срок выполнения работ: 10.07.2024 г.
- работы выполнены и оплачены в полном объеме                                                                                      </t>
      </is>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4" sId="22" numFmtId="4">
    <oc r="B21">
      <v>23028.33</v>
    </oc>
    <nc r="B21">
      <v>23028.32</v>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5" sId="18" numFmtId="19">
    <oc r="C6">
      <v>45474</v>
    </oc>
    <nc r="C6">
      <v>45505</v>
    </nc>
  </rcc>
  <rcv guid="{602C8EDB-B9EF-4C85-B0D5-0558C3A0ABAB}" action="delete"/>
  <rdn rId="0" localSheetId="2" customView="1" name="Z_602C8EDB_B9EF_4C85_B0D5_0558C3A0ABAB_.wvu.Rows" hidden="1" oldHidden="1">
    <formula>'1.СЗН'!$69:$73</formula>
    <oldFormula>'1.СЗН'!$69:$73</oldFormula>
  </rdn>
  <rdn rId="0" localSheetId="2" customView="1" name="Z_602C8EDB_B9EF_4C85_B0D5_0558C3A0ABAB_.wvu.FilterData" hidden="1" oldHidden="1">
    <formula>'1.СЗН'!$A$1:$AF$63</formula>
    <oldFormula>'1.СЗН'!$A$1:$AF$63</oldFormula>
  </rdn>
  <rdn rId="0" localSheetId="3" customView="1" name="Z_602C8EDB_B9EF_4C85_B0D5_0558C3A0ABAB_.wvu.FilterData" hidden="1" oldHidden="1">
    <formula>'2.АПК'!$A$1:$AF$36</formula>
    <oldFormula>'2.АПК'!$A$1:$AF$36</oldFormula>
  </rdn>
  <rdn rId="0" localSheetId="4" customView="1" name="Z_602C8EDB_B9EF_4C85_B0D5_0558C3A0ABAB_.wvu.FilterData" hidden="1" oldHidden="1">
    <formula>'3.БЖД'!$A$1:$AF$17</formula>
    <oldFormula>'3.БЖД'!$A$1:$AF$17</oldFormula>
  </rdn>
  <rdn rId="0" localSheetId="5" customView="1" name="Z_602C8EDB_B9EF_4C85_B0D5_0558C3A0ABAB_.wvu.FilterData" hidden="1" oldHidden="1">
    <formula>'4.УМИ'!$A$1:$AF$11</formula>
    <oldFormula>'4.УМИ'!$A$1:$AF$11</oldFormula>
  </rdn>
  <rdn rId="0" localSheetId="6" customView="1" name="Z_602C8EDB_B9EF_4C85_B0D5_0558C3A0ABAB_.wvu.FilterData" hidden="1" oldHidden="1">
    <formula>'5.Проф. прав.'!$A$1:$AF$12</formula>
    <oldFormula>'5.Проф. прав.'!$A$1:$AF$12</oldFormula>
  </rdn>
  <rdn rId="0" localSheetId="7" customView="1" name="Z_602C8EDB_B9EF_4C85_B0D5_0558C3A0ABAB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602C8EDB_B9EF_4C85_B0D5_0558C3A0ABAB_.wvu.FilterData" hidden="1" oldHidden="1">
    <formula>'6.Экстримизм'!$A$1:$AF$11</formula>
    <oldFormula>'6.Экстримизм'!$A$1:$AF$11</oldFormula>
  </rdn>
  <rdn rId="0" localSheetId="14" customView="1" name="Z_602C8EDB_B9EF_4C85_B0D5_0558C3A0ABAB_.wvu.FilterData" hidden="1" oldHidden="1">
    <formula>'11.МП РО'!$A$4:$A$380</formula>
    <oldFormula>'11.МП РО'!$A$4:$A$380</oldFormula>
  </rdn>
  <rdn rId="0" localSheetId="17" customView="1" name="Z_602C8EDB_B9EF_4C85_B0D5_0558C3A0ABAB_.wvu.Rows" hidden="1" oldHidden="1">
    <formula>'13.МП РЖС'!$122:$127</formula>
    <oldFormula>'13.МП РЖС'!$122:$127</oldFormula>
  </rdn>
  <rdn rId="0" localSheetId="17" customView="1" name="Z_602C8EDB_B9EF_4C85_B0D5_0558C3A0ABAB_.wvu.Cols" hidden="1" oldHidden="1">
    <formula>'13.МП РЖС'!$AG:$AG</formula>
    <oldFormula>'13.МП РЖС'!$AG:$AG</oldFormula>
  </rdn>
  <rcv guid="{602C8EDB-B9EF-4C85-B0D5-0558C3A0ABAB}" action="add"/>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7" sId="11">
    <oc r="E69">
      <f>I69+K69+M69+O69+Q69+E66</f>
    </oc>
    <nc r="E69">
      <f>I69+K69+M69+O69+Q69+S69+U69</f>
    </nc>
  </rcc>
  <rfmt sheetId="11" sqref="D69:F69">
    <dxf>
      <fill>
        <patternFill>
          <bgColor rgb="FFFF0000"/>
        </patternFill>
      </fill>
    </dxf>
  </rfmt>
  <rcc rId="14128" sId="11">
    <oc r="E75">
      <f>I75+K75+M75+O75+Q75+S75</f>
    </oc>
    <nc r="E75">
      <f>I75+K75+M75+O75+Q75+S75+U75</f>
    </nc>
  </rcc>
  <rcc rId="14129" sId="11">
    <oc r="E78">
      <f>E79+E81+E82</f>
    </oc>
    <nc r="E78">
      <f>E79+E81+E80+E82</f>
    </nc>
  </rcc>
  <rcc rId="14130" sId="11">
    <oc r="D78">
      <f>D79+C78+D81+D82</f>
    </oc>
    <nc r="D78">
      <f>D79+D81+D80+D82</f>
    </nc>
  </rcc>
  <rcc rId="14131" sId="11">
    <nc r="B77">
      <f>B78</f>
    </nc>
  </rcc>
  <rcc rId="14132" sId="11">
    <nc r="C77">
      <f>C78</f>
    </nc>
  </rcc>
  <rcc rId="14133" sId="11">
    <nc r="D77">
      <f>D78</f>
    </nc>
  </rcc>
  <rcc rId="14134" sId="11">
    <nc r="E77">
      <f>E78</f>
    </nc>
  </rcc>
  <rcc rId="14135" sId="11">
    <nc r="F77">
      <f>F78</f>
    </nc>
  </rcc>
  <rcc rId="14136" sId="11">
    <nc r="G77">
      <f>G78</f>
    </nc>
  </rcc>
  <rcc rId="14137" sId="11">
    <nc r="H77">
      <f>H78</f>
    </nc>
  </rcc>
  <rcc rId="14138" sId="11">
    <nc r="I77">
      <f>I78</f>
    </nc>
  </rcc>
  <rcc rId="14139" sId="11">
    <nc r="J77">
      <f>J78</f>
    </nc>
  </rcc>
  <rcc rId="14140" sId="11">
    <nc r="K77">
      <f>K78</f>
    </nc>
  </rcc>
  <rcc rId="14141" sId="11">
    <nc r="L77">
      <f>L78</f>
    </nc>
  </rcc>
  <rcc rId="14142" sId="11">
    <nc r="M77">
      <f>M78</f>
    </nc>
  </rcc>
  <rcc rId="14143" sId="11">
    <nc r="N77">
      <f>N78</f>
    </nc>
  </rcc>
  <rcc rId="14144" sId="11">
    <nc r="O77">
      <f>O78</f>
    </nc>
  </rcc>
  <rcc rId="14145" sId="11">
    <nc r="P77">
      <f>P78</f>
    </nc>
  </rcc>
  <rcc rId="14146" sId="11">
    <nc r="Q77">
      <f>Q78</f>
    </nc>
  </rcc>
  <rcc rId="14147" sId="11">
    <nc r="R77">
      <f>R78</f>
    </nc>
  </rcc>
  <rcc rId="14148" sId="11">
    <nc r="S77">
      <f>S78</f>
    </nc>
  </rcc>
  <rcc rId="14149" sId="11">
    <nc r="T77">
      <f>T78</f>
    </nc>
  </rcc>
  <rcc rId="14150" sId="11">
    <nc r="U77">
      <f>U78</f>
    </nc>
  </rcc>
  <rcc rId="14151" sId="11">
    <nc r="V77">
      <f>V78</f>
    </nc>
  </rcc>
  <rcc rId="14152" sId="11">
    <nc r="W77">
      <f>W78</f>
    </nc>
  </rcc>
  <rcc rId="14153" sId="11">
    <nc r="X77">
      <f>X78</f>
    </nc>
  </rcc>
  <rcc rId="14154" sId="11">
    <nc r="Z77">
      <f>Z78</f>
    </nc>
  </rcc>
  <rcc rId="14155" sId="11">
    <nc r="AB77">
      <f>AB78</f>
    </nc>
  </rcc>
  <rcc rId="14156" sId="11">
    <nc r="AD77">
      <f>AD78</f>
    </nc>
  </rcc>
  <rcc rId="14157" sId="11">
    <nc r="B83">
      <f>B84</f>
    </nc>
  </rcc>
  <rcc rId="14158" sId="11">
    <nc r="C83">
      <f>C84</f>
    </nc>
  </rcc>
  <rcc rId="14159" sId="11">
    <nc r="D83">
      <f>D84</f>
    </nc>
  </rcc>
  <rcc rId="14160" sId="11">
    <nc r="E83">
      <f>E84</f>
    </nc>
  </rcc>
  <rcc rId="14161" sId="11">
    <nc r="F83">
      <f>F84</f>
    </nc>
  </rcc>
  <rcc rId="14162" sId="11">
    <nc r="G83">
      <f>G84</f>
    </nc>
  </rcc>
  <rcc rId="14163" sId="11">
    <nc r="H83">
      <f>H84</f>
    </nc>
  </rcc>
  <rcc rId="14164" sId="11">
    <nc r="I83">
      <f>I84</f>
    </nc>
  </rcc>
  <rcc rId="14165" sId="11">
    <nc r="J83">
      <f>J84</f>
    </nc>
  </rcc>
  <rcc rId="14166" sId="11">
    <nc r="K83">
      <f>K84</f>
    </nc>
  </rcc>
  <rcc rId="14167" sId="11">
    <nc r="L83">
      <f>L84</f>
    </nc>
  </rcc>
  <rcc rId="14168" sId="11">
    <nc r="M83">
      <f>M84</f>
    </nc>
  </rcc>
  <rcc rId="14169" sId="11">
    <nc r="N83">
      <f>N84</f>
    </nc>
  </rcc>
  <rcc rId="14170" sId="11">
    <nc r="O83">
      <f>O84</f>
    </nc>
  </rcc>
  <rcc rId="14171" sId="11">
    <nc r="P83">
      <f>P84</f>
    </nc>
  </rcc>
  <rcc rId="14172" sId="11">
    <nc r="Q83">
      <f>Q84</f>
    </nc>
  </rcc>
  <rcc rId="14173" sId="11">
    <nc r="R83">
      <f>R84</f>
    </nc>
  </rcc>
  <rcc rId="14174" sId="11">
    <nc r="S83">
      <f>S84</f>
    </nc>
  </rcc>
  <rcc rId="14175" sId="11">
    <nc r="T83">
      <f>T84</f>
    </nc>
  </rcc>
  <rcc rId="14176" sId="11">
    <nc r="U83">
      <f>U84</f>
    </nc>
  </rcc>
  <rcc rId="14177" sId="11">
    <nc r="V83">
      <f>V84</f>
    </nc>
  </rcc>
  <rcc rId="14178" sId="11">
    <nc r="X83">
      <f>X84</f>
    </nc>
  </rcc>
  <rcc rId="14179" sId="11">
    <nc r="Z83">
      <f>Z84</f>
    </nc>
  </rcc>
  <rcc rId="14180" sId="11">
    <nc r="AB83">
      <f>AB84</f>
    </nc>
  </rcc>
  <rcc rId="14181" sId="11">
    <nc r="AD83">
      <f>AD84</f>
    </nc>
  </rcc>
  <rcc rId="14182" sId="11">
    <oc r="B91">
      <f>T57=U61=B14+B34+B40+V72B48+B68</f>
    </oc>
    <nc r="B91">
      <f>B74+B80+B86</f>
    </nc>
  </rcc>
  <rrc rId="14183" sId="11" ref="A29:XFD29" action="insertRow"/>
  <rrc rId="14184" sId="11" ref="A29:XFD29" action="insertRow"/>
  <rrc rId="14185" sId="11" ref="A30:XFD30" action="insertRow"/>
  <rrc rId="14186" sId="11" ref="A30:XFD30" action="insertRow"/>
  <rrc rId="14187" sId="11" ref="A31:XFD31" action="insertRow"/>
  <rrc rId="14188" sId="11" ref="A33:XFD33" action="insertRow"/>
  <rcc rId="14189" sId="11">
    <nc r="A30" t="inlineStr">
      <is>
        <t>Всего</t>
      </is>
    </nc>
  </rcc>
  <rcc rId="14190" sId="11">
    <nc r="A31" t="inlineStr">
      <is>
        <t>федеральный бюджет</t>
      </is>
    </nc>
  </rcc>
  <rcc rId="14191" sId="11">
    <nc r="A32" t="inlineStr">
      <is>
        <t>бюджет автономного округа</t>
      </is>
    </nc>
  </rcc>
  <rcc rId="14192" sId="11">
    <nc r="A33" t="inlineStr">
      <is>
        <t>бюджет города Когалыма</t>
      </is>
    </nc>
  </rcc>
  <rcc rId="14193" sId="11">
    <nc r="A34" t="inlineStr">
      <is>
        <t>иные внебюджетные источники</t>
      </is>
    </nc>
  </rcc>
  <rcc rId="14194" sId="11">
    <nc r="A29" t="inlineStr">
      <is>
        <t xml:space="preserve">1.1.3.  Предоставление субсидии некоммерческой организации, не являющейся государственным (муниципальным) учреждением, в целях финансового обеспечения затрат в связи с организацией и проведением общественно значимых мероприятий по укреплению межнпационального мира и согласия </t>
      </is>
    </nc>
  </rcc>
  <rcc rId="14195" sId="11" numFmtId="4">
    <nc r="B29">
      <v>0</v>
    </nc>
  </rcc>
  <rcc rId="14196" sId="11" numFmtId="4">
    <nc r="C29">
      <v>0</v>
    </nc>
  </rcc>
  <rcc rId="14197" sId="11" numFmtId="4">
    <nc r="D29">
      <v>0</v>
    </nc>
  </rcc>
  <rcc rId="14198" sId="11" numFmtId="4">
    <nc r="E29">
      <v>0</v>
    </nc>
  </rcc>
  <rcc rId="14199" sId="11" numFmtId="4">
    <nc r="F29">
      <v>0</v>
    </nc>
  </rcc>
  <rcc rId="14200" sId="11" numFmtId="4">
    <nc r="G29">
      <v>0</v>
    </nc>
  </rcc>
  <rcc rId="14201" sId="11" numFmtId="4">
    <nc r="H29">
      <v>0</v>
    </nc>
  </rcc>
  <rcc rId="14202" sId="11" numFmtId="4">
    <nc r="I29">
      <v>0</v>
    </nc>
  </rcc>
  <rcc rId="14203" sId="11" numFmtId="4">
    <nc r="J29">
      <v>0</v>
    </nc>
  </rcc>
  <rcc rId="14204" sId="11" numFmtId="4">
    <nc r="K29">
      <v>0</v>
    </nc>
  </rcc>
  <rcc rId="14205" sId="11" numFmtId="4">
    <nc r="L29">
      <v>0</v>
    </nc>
  </rcc>
  <rcc rId="14206" sId="11" numFmtId="4">
    <nc r="M29">
      <v>0</v>
    </nc>
  </rcc>
  <rcc rId="14207" sId="11" numFmtId="4">
    <nc r="N29">
      <v>0</v>
    </nc>
  </rcc>
  <rcc rId="14208" sId="11" numFmtId="4">
    <nc r="O29">
      <v>0</v>
    </nc>
  </rcc>
  <rcc rId="14209" sId="11" numFmtId="4">
    <nc r="P29">
      <v>0</v>
    </nc>
  </rcc>
  <rcc rId="14210" sId="11" numFmtId="4">
    <nc r="Q29">
      <v>0</v>
    </nc>
  </rcc>
  <rcc rId="14211" sId="11" numFmtId="4">
    <nc r="R29">
      <v>0</v>
    </nc>
  </rcc>
  <rcc rId="14212" sId="11" numFmtId="4">
    <nc r="S29">
      <v>0</v>
    </nc>
  </rcc>
  <rcc rId="14213" sId="11" numFmtId="4">
    <nc r="T29">
      <v>0</v>
    </nc>
  </rcc>
  <rcc rId="14214" sId="11" numFmtId="4">
    <nc r="U29">
      <v>0</v>
    </nc>
  </rcc>
  <rcc rId="14215" sId="11" numFmtId="4">
    <nc r="B30">
      <v>0</v>
    </nc>
  </rcc>
  <rcc rId="14216" sId="11" numFmtId="4">
    <nc r="C30">
      <v>0</v>
    </nc>
  </rcc>
  <rcc rId="14217" sId="11" numFmtId="4">
    <nc r="D30">
      <v>0</v>
    </nc>
  </rcc>
  <rcc rId="14218" sId="11" numFmtId="4">
    <nc r="E30">
      <v>0</v>
    </nc>
  </rcc>
  <rcc rId="14219" sId="11" numFmtId="4">
    <nc r="F30">
      <v>0</v>
    </nc>
  </rcc>
  <rcc rId="14220" sId="11" numFmtId="4">
    <nc r="G30">
      <v>0</v>
    </nc>
  </rcc>
  <rcc rId="14221" sId="11" numFmtId="4">
    <nc r="H30">
      <v>0</v>
    </nc>
  </rcc>
  <rcc rId="14222" sId="11" numFmtId="4">
    <nc r="I30">
      <v>0</v>
    </nc>
  </rcc>
  <rcc rId="14223" sId="11" numFmtId="4">
    <nc r="J30">
      <v>0</v>
    </nc>
  </rcc>
  <rcc rId="14224" sId="11" numFmtId="4">
    <nc r="K30">
      <v>0</v>
    </nc>
  </rcc>
  <rcc rId="14225" sId="11" numFmtId="4">
    <nc r="L30">
      <v>0</v>
    </nc>
  </rcc>
  <rcc rId="14226" sId="11" numFmtId="4">
    <nc r="M30">
      <v>0</v>
    </nc>
  </rcc>
  <rcc rId="14227" sId="11" numFmtId="4">
    <nc r="N30">
      <v>0</v>
    </nc>
  </rcc>
  <rcc rId="14228" sId="11" numFmtId="4">
    <nc r="O30">
      <v>0</v>
    </nc>
  </rcc>
  <rcc rId="14229" sId="11" numFmtId="4">
    <nc r="P30">
      <v>0</v>
    </nc>
  </rcc>
  <rcc rId="14230" sId="11" numFmtId="4">
    <nc r="Q30">
      <v>0</v>
    </nc>
  </rcc>
  <rcc rId="14231" sId="11" numFmtId="4">
    <nc r="R30">
      <v>0</v>
    </nc>
  </rcc>
  <rcc rId="14232" sId="11" numFmtId="4">
    <nc r="S30">
      <v>0</v>
    </nc>
  </rcc>
  <rcc rId="14233" sId="11" numFmtId="4">
    <nc r="T30">
      <v>0</v>
    </nc>
  </rcc>
  <rcc rId="14234" sId="11" numFmtId="4">
    <nc r="U30">
      <v>0</v>
    </nc>
  </rcc>
  <rcc rId="14235" sId="11" numFmtId="4">
    <nc r="J31">
      <v>0</v>
    </nc>
  </rcc>
  <rcc rId="14236" sId="11" numFmtId="4">
    <nc r="K31">
      <v>0</v>
    </nc>
  </rcc>
  <rcc rId="14237" sId="11" numFmtId="4">
    <nc r="L31">
      <v>0</v>
    </nc>
  </rcc>
  <rcc rId="14238" sId="11" numFmtId="4">
    <nc r="M31">
      <v>0</v>
    </nc>
  </rcc>
  <rcc rId="14239" sId="11" numFmtId="4">
    <nc r="N31">
      <v>0</v>
    </nc>
  </rcc>
  <rcc rId="14240" sId="11" numFmtId="4">
    <nc r="O31">
      <v>0</v>
    </nc>
  </rcc>
  <rcc rId="14241" sId="11" numFmtId="4">
    <nc r="P31">
      <v>0</v>
    </nc>
  </rcc>
  <rcc rId="14242" sId="11" numFmtId="4">
    <nc r="Q31">
      <v>0</v>
    </nc>
  </rcc>
  <rcc rId="14243" sId="11" numFmtId="4">
    <nc r="R31">
      <v>0</v>
    </nc>
  </rcc>
  <rcc rId="14244" sId="11" numFmtId="4">
    <nc r="S31">
      <v>0</v>
    </nc>
  </rcc>
  <rcc rId="14245" sId="11" numFmtId="4">
    <nc r="T31">
      <v>0</v>
    </nc>
  </rcc>
  <rcc rId="14246" sId="11" numFmtId="4">
    <nc r="U31">
      <v>0</v>
    </nc>
  </rcc>
  <rcc rId="14247" sId="11" numFmtId="4">
    <nc r="B32">
      <v>0</v>
    </nc>
  </rcc>
  <rcc rId="14248" sId="11" numFmtId="4">
    <nc r="C32">
      <v>0</v>
    </nc>
  </rcc>
  <rcc rId="14249" sId="11" numFmtId="4">
    <nc r="D32">
      <v>0</v>
    </nc>
  </rcc>
  <rcc rId="14250" sId="11" numFmtId="4">
    <nc r="E32">
      <v>0</v>
    </nc>
  </rcc>
  <rcc rId="14251" sId="11" numFmtId="4">
    <nc r="F32">
      <v>0</v>
    </nc>
  </rcc>
  <rcc rId="14252" sId="11" numFmtId="4">
    <nc r="G32">
      <v>0</v>
    </nc>
  </rcc>
  <rcc rId="14253" sId="11" numFmtId="4">
    <nc r="H32">
      <v>0</v>
    </nc>
  </rcc>
  <rcc rId="14254" sId="11" numFmtId="4">
    <nc r="I32">
      <v>0</v>
    </nc>
  </rcc>
  <rcc rId="14255" sId="11" numFmtId="4">
    <nc r="J32">
      <v>0</v>
    </nc>
  </rcc>
  <rcc rId="14256" sId="11" numFmtId="4">
    <nc r="K32">
      <v>0</v>
    </nc>
  </rcc>
  <rcc rId="14257" sId="11" numFmtId="4">
    <nc r="L32">
      <v>0</v>
    </nc>
  </rcc>
  <rcc rId="14258" sId="11" numFmtId="4">
    <nc r="M32">
      <v>0</v>
    </nc>
  </rcc>
  <rcc rId="14259" sId="11" numFmtId="4">
    <nc r="N32">
      <v>0</v>
    </nc>
  </rcc>
  <rcc rId="14260" sId="11" numFmtId="4">
    <nc r="O32">
      <v>0</v>
    </nc>
  </rcc>
  <rcc rId="14261" sId="11" numFmtId="4">
    <nc r="P32">
      <v>0</v>
    </nc>
  </rcc>
  <rcc rId="14262" sId="11" numFmtId="4">
    <nc r="Q32">
      <v>0</v>
    </nc>
  </rcc>
  <rcc rId="14263" sId="11" numFmtId="4">
    <nc r="R32">
      <v>0</v>
    </nc>
  </rcc>
  <rcc rId="14264" sId="11" numFmtId="4">
    <nc r="S32">
      <v>0</v>
    </nc>
  </rcc>
  <rcc rId="14265" sId="11" numFmtId="4">
    <nc r="T32">
      <v>0</v>
    </nc>
  </rcc>
  <rcc rId="14266" sId="11" numFmtId="4">
    <nc r="U32">
      <v>0</v>
    </nc>
  </rcc>
  <rfmt sheetId="11" sqref="B29:Z34">
    <dxf>
      <border>
        <left style="thin">
          <color indexed="64"/>
        </left>
        <right style="thin">
          <color indexed="64"/>
        </right>
        <vertical style="thin">
          <color indexed="64"/>
        </vertical>
      </border>
    </dxf>
  </rfmt>
  <rfmt sheetId="11" sqref="A29:B34">
    <dxf>
      <border>
        <left style="thin">
          <color indexed="64"/>
        </left>
        <right style="thin">
          <color indexed="64"/>
        </right>
        <vertical style="thin">
          <color indexed="64"/>
        </vertical>
      </border>
    </dxf>
  </rfmt>
  <rfmt sheetId="11" sqref="Z29:AE34">
    <dxf>
      <border>
        <left style="thin">
          <color indexed="64"/>
        </left>
        <right style="thin">
          <color indexed="64"/>
        </right>
        <vertical style="thin">
          <color indexed="64"/>
        </vertical>
      </border>
    </dxf>
  </rfmt>
  <rcc rId="14267" sId="11" numFmtId="4">
    <nc r="W33">
      <v>628.79999999999995</v>
    </nc>
  </rcc>
  <rcc rId="14268" sId="11" numFmtId="4">
    <nc r="C33">
      <v>0</v>
    </nc>
  </rcc>
  <rcc rId="14269" sId="11" numFmtId="4">
    <nc r="D33">
      <v>0</v>
    </nc>
  </rcc>
  <rcc rId="14270" sId="11" numFmtId="4">
    <nc r="E33">
      <v>0</v>
    </nc>
  </rcc>
  <rcc rId="14271" sId="11" numFmtId="4">
    <nc r="F33">
      <v>0</v>
    </nc>
  </rcc>
  <rcc rId="14272" sId="11" numFmtId="4">
    <nc r="G33">
      <v>0</v>
    </nc>
  </rcc>
  <rcc rId="14273" sId="11" numFmtId="4">
    <nc r="H33">
      <v>0</v>
    </nc>
  </rcc>
  <rcc rId="14274" sId="11" numFmtId="4">
    <nc r="I33">
      <v>0</v>
    </nc>
  </rcc>
  <rcc rId="14275" sId="11" numFmtId="4">
    <nc r="J33">
      <v>0</v>
    </nc>
  </rcc>
  <rcc rId="14276" sId="11" numFmtId="4">
    <nc r="K33">
      <v>0</v>
    </nc>
  </rcc>
  <rcc rId="14277" sId="11" numFmtId="4">
    <nc r="L33">
      <v>0</v>
    </nc>
  </rcc>
  <rcc rId="14278" sId="11" numFmtId="4">
    <nc r="M33">
      <v>0</v>
    </nc>
  </rcc>
  <rcc rId="14279" sId="11" numFmtId="4">
    <nc r="N33">
      <v>0</v>
    </nc>
  </rcc>
  <rcc rId="14280" sId="11" numFmtId="4">
    <nc r="O33">
      <v>0</v>
    </nc>
  </rcc>
  <rcc rId="14281" sId="11" numFmtId="4">
    <nc r="P33">
      <v>0</v>
    </nc>
  </rcc>
  <rcc rId="14282" sId="11" numFmtId="4">
    <nc r="Q33">
      <v>0</v>
    </nc>
  </rcc>
  <rcc rId="14283" sId="11" numFmtId="4">
    <nc r="R33">
      <v>0</v>
    </nc>
  </rcc>
  <rcc rId="14284" sId="11" numFmtId="4">
    <nc r="S33">
      <v>0</v>
    </nc>
  </rcc>
  <rcc rId="14285" sId="11" numFmtId="4">
    <nc r="T33">
      <v>0</v>
    </nc>
  </rcc>
  <rcc rId="14286" sId="11" numFmtId="4">
    <nc r="U33">
      <v>0</v>
    </nc>
  </rcc>
  <rcc rId="14287" sId="11" numFmtId="4">
    <nc r="B34">
      <v>0</v>
    </nc>
  </rcc>
  <rcc rId="14288" sId="11" numFmtId="4">
    <nc r="C34">
      <v>0</v>
    </nc>
  </rcc>
  <rcc rId="14289" sId="11" numFmtId="4">
    <nc r="D34">
      <v>0</v>
    </nc>
  </rcc>
  <rcc rId="14290" sId="11" numFmtId="4">
    <nc r="E34">
      <v>0</v>
    </nc>
  </rcc>
  <rcc rId="14291" sId="11" numFmtId="4">
    <nc r="F34">
      <v>0</v>
    </nc>
  </rcc>
  <rcc rId="14292" sId="11" numFmtId="4">
    <nc r="G34">
      <v>0</v>
    </nc>
  </rcc>
  <rcc rId="14293" sId="11" numFmtId="4">
    <nc r="H34">
      <v>0</v>
    </nc>
  </rcc>
  <rcc rId="14294" sId="11" numFmtId="4">
    <nc r="I34">
      <v>0</v>
    </nc>
  </rcc>
  <rcc rId="14295" sId="11" numFmtId="4">
    <nc r="J34">
      <v>0</v>
    </nc>
  </rcc>
  <rcc rId="14296" sId="11" numFmtId="4">
    <nc r="K34">
      <v>0</v>
    </nc>
  </rcc>
  <rcc rId="14297" sId="11" numFmtId="4">
    <nc r="L34">
      <v>0</v>
    </nc>
  </rcc>
  <rcc rId="14298" sId="11" numFmtId="4">
    <nc r="M34">
      <v>0</v>
    </nc>
  </rcc>
  <rcc rId="14299" sId="11" numFmtId="4">
    <nc r="N34">
      <v>0</v>
    </nc>
  </rcc>
  <rcc rId="14300" sId="11" numFmtId="4">
    <nc r="O34">
      <v>0</v>
    </nc>
  </rcc>
  <rcc rId="14301" sId="11" numFmtId="4">
    <nc r="P34">
      <v>0</v>
    </nc>
  </rcc>
  <rcc rId="14302" sId="11" numFmtId="4">
    <nc r="Q34">
      <v>0</v>
    </nc>
  </rcc>
  <rcc rId="14303" sId="11" numFmtId="4">
    <nc r="R34">
      <v>0</v>
    </nc>
  </rcc>
  <rcc rId="14304" sId="11" numFmtId="4">
    <nc r="S34">
      <v>0</v>
    </nc>
  </rcc>
  <rcc rId="14305" sId="11" numFmtId="4">
    <nc r="T34">
      <v>0</v>
    </nc>
  </rcc>
  <rcc rId="14306" sId="11" numFmtId="4">
    <nc r="U34">
      <v>0</v>
    </nc>
  </rcc>
  <rm rId="14307" sheetId="11" source="W33" destination="X33" sourceSheetId="11">
    <rfmt sheetId="11" s="1" sqref="X33"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m>
  <rcc rId="14308" sId="11" numFmtId="4">
    <nc r="V30">
      <v>0</v>
    </nc>
  </rcc>
  <rcc rId="14309" sId="11" numFmtId="4">
    <nc r="W30">
      <v>0</v>
    </nc>
  </rcc>
  <rcc rId="14310" sId="11" numFmtId="4">
    <nc r="V31">
      <v>0</v>
    </nc>
  </rcc>
  <rcc rId="14311" sId="11" numFmtId="4">
    <nc r="W31">
      <v>0</v>
    </nc>
  </rcc>
  <rcc rId="14312" sId="11" numFmtId="4">
    <nc r="V32">
      <v>0</v>
    </nc>
  </rcc>
  <rcc rId="14313" sId="11" numFmtId="4">
    <nc r="W32">
      <v>0</v>
    </nc>
  </rcc>
  <rcc rId="14314" sId="11" numFmtId="4">
    <nc r="V33">
      <v>0</v>
    </nc>
  </rcc>
  <rcc rId="14315" sId="11" numFmtId="4">
    <nc r="V34">
      <v>0</v>
    </nc>
  </rcc>
  <rcc rId="14316" sId="11" numFmtId="4">
    <nc r="W34">
      <v>0</v>
    </nc>
  </rcc>
  <rfmt sheetId="11" s="1" sqref="W33"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4317" sId="11" numFmtId="4">
    <nc r="W33">
      <v>0</v>
    </nc>
  </rcc>
  <rcc rId="14318" sId="11" numFmtId="4">
    <nc r="B33">
      <f>X33</f>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30" sId="11" numFmtId="4">
    <oc r="C33">
      <v>0</v>
    </oc>
    <nc r="C33">
      <f>V33</f>
    </nc>
  </rcc>
  <rcc rId="14331" sId="11" numFmtId="4">
    <nc r="B31">
      <v>0</v>
    </nc>
  </rcc>
  <rcc rId="14332" sId="11" numFmtId="4">
    <nc r="C31">
      <v>0</v>
    </nc>
  </rcc>
  <rcc rId="14333" sId="11" numFmtId="4">
    <nc r="D31">
      <v>0</v>
    </nc>
  </rcc>
  <rcc rId="14334" sId="11" numFmtId="4">
    <nc r="E31">
      <v>0</v>
    </nc>
  </rcc>
  <rcc rId="14335" sId="11" numFmtId="4">
    <nc r="F31">
      <v>0</v>
    </nc>
  </rcc>
  <rcc rId="14336" sId="11" numFmtId="4">
    <nc r="G31">
      <v>0</v>
    </nc>
  </rcc>
  <rcc rId="14337" sId="11" numFmtId="4">
    <nc r="H31">
      <v>0</v>
    </nc>
  </rcc>
  <rcc rId="14338" sId="11" numFmtId="4">
    <nc r="I31">
      <v>0</v>
    </nc>
  </rcc>
  <rrc rId="14339" sId="11" ref="A35:XFD35" action="insertRow"/>
  <rrc rId="14340" sId="11" ref="A35:XFD35" action="insertRow"/>
  <rrc rId="14341" sId="11" ref="A35:XFD35" action="insertRow"/>
  <rrc rId="14342" sId="11" ref="A35:XFD35" action="insertRow"/>
  <rrc rId="14343" sId="11" ref="A36:XFD36" action="insertRow"/>
  <rrc rId="14344" sId="11" ref="A36:XFD36" action="insertRow"/>
  <rfmt sheetId="11" sqref="B35:AE40">
    <dxf>
      <border>
        <left style="thin">
          <color indexed="64"/>
        </left>
        <right style="thin">
          <color indexed="64"/>
        </right>
        <vertical style="thin">
          <color indexed="64"/>
        </vertical>
      </border>
    </dxf>
  </rfmt>
  <rfmt sheetId="11" sqref="AE29:AF40">
    <dxf>
      <border>
        <left style="thin">
          <color indexed="64"/>
        </left>
        <right style="thin">
          <color indexed="64"/>
        </right>
        <vertical style="thin">
          <color indexed="64"/>
        </vertical>
      </border>
    </dxf>
  </rfmt>
  <rfmt sheetId="11" sqref="A35:B40">
    <dxf>
      <border>
        <left style="thin">
          <color indexed="64"/>
        </left>
        <right style="thin">
          <color indexed="64"/>
        </right>
        <vertical style="thin">
          <color indexed="64"/>
        </vertical>
      </border>
    </dxf>
  </rfmt>
  <rcc rId="14345" sId="11">
    <nc r="A36" t="inlineStr">
      <is>
        <t>Всего</t>
      </is>
    </nc>
  </rcc>
  <rcc rId="14346" sId="11">
    <nc r="A37" t="inlineStr">
      <is>
        <t>федеральный бюджет</t>
      </is>
    </nc>
  </rcc>
  <rcc rId="14347" sId="11">
    <nc r="A38" t="inlineStr">
      <is>
        <t>бюджет автономного округа</t>
      </is>
    </nc>
  </rcc>
  <rcc rId="14348" sId="11">
    <nc r="A39" t="inlineStr">
      <is>
        <t>бюджет города Когалыма</t>
      </is>
    </nc>
  </rcc>
  <rcc rId="14349" sId="11">
    <nc r="A40" t="inlineStr">
      <is>
        <t>иные внебюджетные источники</t>
      </is>
    </nc>
  </rcc>
  <rcc rId="14350" sId="11">
    <nc r="A35" t="inlineStr">
      <is>
        <t>1.1.4.Постановление об утверждении порядка предоставления из бюджета города Когалыма субсидий территориальным общественным самоуправлениям города Когалыма на осуществление собственных инициатив по вопросам местного значения</t>
      </is>
    </nc>
  </rcc>
  <rcc rId="14351" sId="11" numFmtId="4">
    <nc r="B35">
      <v>0</v>
    </nc>
  </rcc>
  <rcc rId="14352" sId="11" numFmtId="4">
    <nc r="C35">
      <v>0</v>
    </nc>
  </rcc>
  <rcc rId="14353" sId="11" numFmtId="4">
    <nc r="D35">
      <v>0</v>
    </nc>
  </rcc>
  <rcc rId="14354" sId="11" numFmtId="4">
    <nc r="E35">
      <v>0</v>
    </nc>
  </rcc>
  <rcc rId="14355" sId="11" numFmtId="4">
    <nc r="F35">
      <v>0</v>
    </nc>
  </rcc>
  <rcc rId="14356" sId="11" numFmtId="4">
    <nc r="G35">
      <v>0</v>
    </nc>
  </rcc>
  <rcc rId="14357" sId="11" numFmtId="4">
    <nc r="H35">
      <v>0</v>
    </nc>
  </rcc>
  <rcc rId="14358" sId="11" numFmtId="4">
    <nc r="I35">
      <v>0</v>
    </nc>
  </rcc>
  <rcc rId="14359" sId="11" numFmtId="4">
    <nc r="J35">
      <v>0</v>
    </nc>
  </rcc>
  <rcc rId="14360" sId="11" numFmtId="4">
    <nc r="K35">
      <v>0</v>
    </nc>
  </rcc>
  <rcc rId="14361" sId="11" numFmtId="4">
    <nc r="L35">
      <v>0</v>
    </nc>
  </rcc>
  <rcc rId="14362" sId="11" numFmtId="4">
    <nc r="M35">
      <v>0</v>
    </nc>
  </rcc>
  <rcc rId="14363" sId="11" numFmtId="4">
    <nc r="N35">
      <v>0</v>
    </nc>
  </rcc>
  <rcc rId="14364" sId="11" numFmtId="4">
    <nc r="O35">
      <v>0</v>
    </nc>
  </rcc>
  <rcc rId="14365" sId="11" numFmtId="4">
    <nc r="P35">
      <v>0</v>
    </nc>
  </rcc>
  <rcc rId="14366" sId="11" numFmtId="4">
    <nc r="Q35">
      <v>0</v>
    </nc>
  </rcc>
  <rcc rId="14367" sId="11" numFmtId="4">
    <nc r="R35">
      <v>0</v>
    </nc>
  </rcc>
  <rcc rId="14368" sId="11" numFmtId="4">
    <nc r="S35">
      <v>0</v>
    </nc>
  </rcc>
  <rcc rId="14369" sId="11" numFmtId="4">
    <nc r="T35">
      <v>0</v>
    </nc>
  </rcc>
  <rcc rId="14370" sId="11" numFmtId="4">
    <nc r="U35">
      <v>0</v>
    </nc>
  </rcc>
  <rcc rId="14371" sId="11" numFmtId="4">
    <nc r="V35">
      <v>0</v>
    </nc>
  </rcc>
  <rcc rId="14372" sId="11" numFmtId="4">
    <nc r="W35">
      <v>0</v>
    </nc>
  </rcc>
  <rcc rId="14373" sId="11" numFmtId="4">
    <nc r="B36">
      <v>0</v>
    </nc>
  </rcc>
  <rcc rId="14374" sId="11" numFmtId="4">
    <nc r="C36">
      <v>0</v>
    </nc>
  </rcc>
  <rcc rId="14375" sId="11" numFmtId="4">
    <nc r="D36">
      <v>0</v>
    </nc>
  </rcc>
  <rcc rId="14376" sId="11" numFmtId="4">
    <nc r="E36">
      <v>0</v>
    </nc>
  </rcc>
  <rcc rId="14377" sId="11" numFmtId="4">
    <nc r="F36">
      <v>0</v>
    </nc>
  </rcc>
  <rcc rId="14378" sId="11" numFmtId="4">
    <nc r="G36">
      <v>0</v>
    </nc>
  </rcc>
  <rcc rId="14379" sId="11" numFmtId="4">
    <nc r="H36">
      <v>0</v>
    </nc>
  </rcc>
  <rcc rId="14380" sId="11" numFmtId="4">
    <nc r="I36">
      <v>0</v>
    </nc>
  </rcc>
  <rcc rId="14381" sId="11" numFmtId="4">
    <nc r="J36">
      <v>0</v>
    </nc>
  </rcc>
  <rcc rId="14382" sId="11" numFmtId="4">
    <nc r="K36">
      <v>0</v>
    </nc>
  </rcc>
  <rcc rId="14383" sId="11" numFmtId="4">
    <nc r="L36">
      <v>0</v>
    </nc>
  </rcc>
  <rcc rId="14384" sId="11" numFmtId="4">
    <nc r="M36">
      <v>0</v>
    </nc>
  </rcc>
  <rcc rId="14385" sId="11" numFmtId="4">
    <nc r="N36">
      <v>0</v>
    </nc>
  </rcc>
  <rcc rId="14386" sId="11" numFmtId="4">
    <nc r="O36">
      <v>0</v>
    </nc>
  </rcc>
  <rcc rId="14387" sId="11" numFmtId="4">
    <nc r="P36">
      <v>0</v>
    </nc>
  </rcc>
  <rcc rId="14388" sId="11" numFmtId="4">
    <nc r="Q36">
      <v>0</v>
    </nc>
  </rcc>
  <rcc rId="14389" sId="11" numFmtId="4">
    <nc r="R36">
      <v>0</v>
    </nc>
  </rcc>
  <rcc rId="14390" sId="11" numFmtId="4">
    <nc r="S36">
      <v>0</v>
    </nc>
  </rcc>
  <rcc rId="14391" sId="11" numFmtId="4">
    <nc r="T36">
      <v>0</v>
    </nc>
  </rcc>
  <rcc rId="14392" sId="11" numFmtId="4">
    <nc r="U36">
      <v>0</v>
    </nc>
  </rcc>
  <rcc rId="14393" sId="11" numFmtId="4">
    <nc r="V36">
      <v>0</v>
    </nc>
  </rcc>
  <rcc rId="14394" sId="11" numFmtId="4">
    <nc r="W36">
      <v>0</v>
    </nc>
  </rcc>
  <rcc rId="14395" sId="11" numFmtId="4">
    <nc r="B37">
      <v>0</v>
    </nc>
  </rcc>
  <rcc rId="14396" sId="11" numFmtId="4">
    <nc r="C37">
      <v>0</v>
    </nc>
  </rcc>
  <rcc rId="14397" sId="11" numFmtId="4">
    <nc r="D37">
      <v>0</v>
    </nc>
  </rcc>
  <rcc rId="14398" sId="11" numFmtId="4">
    <nc r="E37">
      <v>0</v>
    </nc>
  </rcc>
  <rcc rId="14399" sId="11" numFmtId="4">
    <nc r="F37">
      <v>0</v>
    </nc>
  </rcc>
  <rcc rId="14400" sId="11" numFmtId="4">
    <nc r="G37">
      <v>0</v>
    </nc>
  </rcc>
  <rcc rId="14401" sId="11" numFmtId="4">
    <nc r="H37">
      <v>0</v>
    </nc>
  </rcc>
  <rcc rId="14402" sId="11" numFmtId="4">
    <nc r="I37">
      <v>0</v>
    </nc>
  </rcc>
  <rcc rId="14403" sId="11" numFmtId="4">
    <nc r="J37">
      <v>0</v>
    </nc>
  </rcc>
  <rcc rId="14404" sId="11" numFmtId="4">
    <nc r="K37">
      <v>0</v>
    </nc>
  </rcc>
  <rcc rId="14405" sId="11" numFmtId="4">
    <nc r="L37">
      <v>0</v>
    </nc>
  </rcc>
  <rcc rId="14406" sId="11" numFmtId="4">
    <nc r="M37">
      <v>0</v>
    </nc>
  </rcc>
  <rcc rId="14407" sId="11" numFmtId="4">
    <nc r="N37">
      <v>0</v>
    </nc>
  </rcc>
  <rcc rId="14408" sId="11" numFmtId="4">
    <nc r="O37">
      <v>0</v>
    </nc>
  </rcc>
  <rcc rId="14409" sId="11" numFmtId="4">
    <nc r="P37">
      <v>0</v>
    </nc>
  </rcc>
  <rcc rId="14410" sId="11" numFmtId="4">
    <nc r="Q37">
      <v>0</v>
    </nc>
  </rcc>
  <rcc rId="14411" sId="11" numFmtId="4">
    <nc r="R37">
      <v>0</v>
    </nc>
  </rcc>
  <rcc rId="14412" sId="11" numFmtId="4">
    <nc r="S37">
      <v>0</v>
    </nc>
  </rcc>
  <rcc rId="14413" sId="11" numFmtId="4">
    <nc r="T37">
      <v>0</v>
    </nc>
  </rcc>
  <rcc rId="14414" sId="11" numFmtId="4">
    <nc r="U37">
      <v>0</v>
    </nc>
  </rcc>
  <rcc rId="14415" sId="11" numFmtId="4">
    <nc r="V37">
      <v>0</v>
    </nc>
  </rcc>
  <rcc rId="14416" sId="11" numFmtId="4">
    <nc r="W37">
      <v>0</v>
    </nc>
  </rcc>
  <rcc rId="14417" sId="11" numFmtId="4">
    <nc r="C38">
      <v>0</v>
    </nc>
  </rcc>
  <rcc rId="14418" sId="11" numFmtId="4">
    <nc r="D38">
      <v>0</v>
    </nc>
  </rcc>
  <rcc rId="14419" sId="11" numFmtId="4">
    <nc r="E38">
      <v>0</v>
    </nc>
  </rcc>
  <rcc rId="14420" sId="11" numFmtId="4">
    <nc r="F38">
      <v>0</v>
    </nc>
  </rcc>
  <rcc rId="14421" sId="11" numFmtId="4">
    <nc r="G38">
      <v>0</v>
    </nc>
  </rcc>
  <rcc rId="14422" sId="11" numFmtId="4">
    <nc r="H38">
      <v>0</v>
    </nc>
  </rcc>
  <rcc rId="14423" sId="11" numFmtId="4">
    <nc r="I38">
      <v>0</v>
    </nc>
  </rcc>
  <rcc rId="14424" sId="11" numFmtId="4">
    <nc r="J38">
      <v>0</v>
    </nc>
  </rcc>
  <rcc rId="14425" sId="11" numFmtId="4">
    <nc r="K38">
      <v>0</v>
    </nc>
  </rcc>
  <rcc rId="14426" sId="11" numFmtId="4">
    <nc r="L38">
      <v>0</v>
    </nc>
  </rcc>
  <rcc rId="14427" sId="11" numFmtId="4">
    <nc r="M38">
      <v>0</v>
    </nc>
  </rcc>
  <rcc rId="14428" sId="11" numFmtId="4">
    <nc r="N38">
      <v>0</v>
    </nc>
  </rcc>
  <rcc rId="14429" sId="11" numFmtId="4">
    <nc r="O38">
      <v>0</v>
    </nc>
  </rcc>
  <rcc rId="14430" sId="11" numFmtId="4">
    <nc r="P38">
      <v>0</v>
    </nc>
  </rcc>
  <rcc rId="14431" sId="11" numFmtId="4">
    <nc r="Q38">
      <v>0</v>
    </nc>
  </rcc>
  <rcc rId="14432" sId="11" numFmtId="4">
    <nc r="R38">
      <v>0</v>
    </nc>
  </rcc>
  <rcc rId="14433" sId="11" numFmtId="4">
    <nc r="S38">
      <v>0</v>
    </nc>
  </rcc>
  <rcc rId="14434" sId="11" numFmtId="4">
    <nc r="T38">
      <v>0</v>
    </nc>
  </rcc>
  <rcc rId="14435" sId="11" numFmtId="4">
    <nc r="U38">
      <v>0</v>
    </nc>
  </rcc>
  <rcc rId="14436" sId="11" numFmtId="4">
    <nc r="V38">
      <v>0</v>
    </nc>
  </rcc>
  <rcc rId="14437" sId="11" numFmtId="4">
    <nc r="W38">
      <v>0</v>
    </nc>
  </rcc>
  <rcc rId="14438" sId="11" numFmtId="4">
    <nc r="B39">
      <v>0</v>
    </nc>
  </rcc>
  <rcc rId="14439" sId="11" numFmtId="4">
    <nc r="C39">
      <v>0</v>
    </nc>
  </rcc>
  <rcc rId="14440" sId="11" numFmtId="4">
    <nc r="D39">
      <v>0</v>
    </nc>
  </rcc>
  <rcc rId="14441" sId="11" numFmtId="4">
    <nc r="E39">
      <v>0</v>
    </nc>
  </rcc>
  <rcc rId="14442" sId="11" numFmtId="4">
    <nc r="F39">
      <v>0</v>
    </nc>
  </rcc>
  <rcc rId="14443" sId="11" numFmtId="4">
    <nc r="G39">
      <v>0</v>
    </nc>
  </rcc>
  <rcc rId="14444" sId="11" numFmtId="4">
    <nc r="H39">
      <v>0</v>
    </nc>
  </rcc>
  <rcc rId="14445" sId="11" numFmtId="4">
    <nc r="I39">
      <v>0</v>
    </nc>
  </rcc>
  <rcc rId="14446" sId="11" numFmtId="4">
    <nc r="J39">
      <v>0</v>
    </nc>
  </rcc>
  <rcc rId="14447" sId="11" numFmtId="4">
    <nc r="K39">
      <v>0</v>
    </nc>
  </rcc>
  <rcc rId="14448" sId="11" numFmtId="4">
    <nc r="L39">
      <v>0</v>
    </nc>
  </rcc>
  <rcc rId="14449" sId="11" numFmtId="4">
    <nc r="M39">
      <v>0</v>
    </nc>
  </rcc>
  <rcc rId="14450" sId="11" numFmtId="4">
    <nc r="N39">
      <v>0</v>
    </nc>
  </rcc>
  <rcc rId="14451" sId="11" numFmtId="4">
    <nc r="O39">
      <v>0</v>
    </nc>
  </rcc>
  <rcc rId="14452" sId="11" numFmtId="4">
    <nc r="P39">
      <v>0</v>
    </nc>
  </rcc>
  <rcc rId="14453" sId="11" numFmtId="4">
    <nc r="Q39">
      <v>0</v>
    </nc>
  </rcc>
  <rcc rId="14454" sId="11" numFmtId="4">
    <nc r="R39">
      <v>0</v>
    </nc>
  </rcc>
  <rcc rId="14455" sId="11" numFmtId="4">
    <nc r="S39">
      <v>0</v>
    </nc>
  </rcc>
  <rcc rId="14456" sId="11" numFmtId="4">
    <nc r="T39">
      <v>0</v>
    </nc>
  </rcc>
  <rcc rId="14457" sId="11" numFmtId="4">
    <nc r="U39">
      <v>0</v>
    </nc>
  </rcc>
  <rcc rId="14458" sId="11" numFmtId="4">
    <nc r="V39">
      <v>0</v>
    </nc>
  </rcc>
  <rcc rId="14459" sId="11" numFmtId="4">
    <nc r="W39">
      <v>0</v>
    </nc>
  </rcc>
  <rcc rId="14460" sId="11" numFmtId="4">
    <nc r="B40">
      <v>0</v>
    </nc>
  </rcc>
  <rcc rId="14461" sId="11" numFmtId="4">
    <nc r="C40">
      <v>0</v>
    </nc>
  </rcc>
  <rcc rId="14462" sId="11" numFmtId="4">
    <nc r="D40">
      <v>0</v>
    </nc>
  </rcc>
  <rcc rId="14463" sId="11" numFmtId="4">
    <nc r="E40">
      <v>0</v>
    </nc>
  </rcc>
  <rcc rId="14464" sId="11" numFmtId="4">
    <nc r="F40">
      <v>0</v>
    </nc>
  </rcc>
  <rcc rId="14465" sId="11" numFmtId="4">
    <nc r="G40">
      <v>0</v>
    </nc>
  </rcc>
  <rcc rId="14466" sId="11" numFmtId="4">
    <nc r="H40">
      <v>0</v>
    </nc>
  </rcc>
  <rcc rId="14467" sId="11" numFmtId="4">
    <nc r="I40">
      <v>0</v>
    </nc>
  </rcc>
  <rcc rId="14468" sId="11" numFmtId="4">
    <nc r="J40">
      <v>0</v>
    </nc>
  </rcc>
  <rcc rId="14469" sId="11" numFmtId="4">
    <nc r="K40">
      <v>0</v>
    </nc>
  </rcc>
  <rcc rId="14470" sId="11" numFmtId="4">
    <nc r="L40">
      <v>0</v>
    </nc>
  </rcc>
  <rcc rId="14471" sId="11" numFmtId="4">
    <nc r="M40">
      <v>0</v>
    </nc>
  </rcc>
  <rcc rId="14472" sId="11" numFmtId="4">
    <nc r="N40">
      <v>0</v>
    </nc>
  </rcc>
  <rcc rId="14473" sId="11" numFmtId="4">
    <nc r="O40">
      <v>0</v>
    </nc>
  </rcc>
  <rcc rId="14474" sId="11" numFmtId="4">
    <nc r="P40">
      <v>0</v>
    </nc>
  </rcc>
  <rcc rId="14475" sId="11" numFmtId="4">
    <nc r="Q40">
      <v>0</v>
    </nc>
  </rcc>
  <rcc rId="14476" sId="11" numFmtId="4">
    <nc r="R40">
      <v>0</v>
    </nc>
  </rcc>
  <rcc rId="14477" sId="11" numFmtId="4">
    <nc r="S40">
      <v>0</v>
    </nc>
  </rcc>
  <rcc rId="14478" sId="11" numFmtId="4">
    <nc r="T40">
      <v>0</v>
    </nc>
  </rcc>
  <rcc rId="14479" sId="11" numFmtId="4">
    <nc r="U40">
      <v>0</v>
    </nc>
  </rcc>
  <rcc rId="14480" sId="11" numFmtId="4">
    <nc r="V40">
      <v>0</v>
    </nc>
  </rcc>
  <rcc rId="14481" sId="11" numFmtId="4">
    <nc r="W40">
      <v>0</v>
    </nc>
  </rcc>
  <rcc rId="14482" sId="11" numFmtId="4">
    <nc r="B38">
      <v>0</v>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2" customView="1" name="Z_3C3F523F_5F34_4CF7_831E_F1ABC4278CEB_.wvu.Rows" hidden="1" oldHidden="1">
    <formula>'1.СЗН'!$69:$73</formula>
  </rdn>
  <rdn rId="0" localSheetId="2" customView="1" name="Z_3C3F523F_5F34_4CF7_831E_F1ABC4278CEB_.wvu.FilterData" hidden="1" oldHidden="1">
    <formula>'1.СЗН'!$A$1:$AF$63</formula>
  </rdn>
  <rdn rId="0" localSheetId="3" customView="1" name="Z_3C3F523F_5F34_4CF7_831E_F1ABC4278CEB_.wvu.FilterData" hidden="1" oldHidden="1">
    <formula>'2.АПК'!$A$1:$AF$36</formula>
  </rdn>
  <rdn rId="0" localSheetId="4" customView="1" name="Z_3C3F523F_5F34_4CF7_831E_F1ABC4278CEB_.wvu.FilterData" hidden="1" oldHidden="1">
    <formula>'3.БЖД'!$A$1:$AF$17</formula>
  </rdn>
  <rdn rId="0" localSheetId="5" customView="1" name="Z_3C3F523F_5F34_4CF7_831E_F1ABC4278CEB_.wvu.FilterData" hidden="1" oldHidden="1">
    <formula>'4.УМИ'!$A$1:$AF$11</formula>
  </rdn>
  <rdn rId="0" localSheetId="6" customView="1" name="Z_3C3F523F_5F34_4CF7_831E_F1ABC4278CEB_.wvu.FilterData" hidden="1" oldHidden="1">
    <formula>'5.Проф. прав.'!$A$1:$AF$12</formula>
  </rdn>
  <rdn rId="0" localSheetId="7" customView="1" name="Z_3C3F523F_5F34_4CF7_831E_F1ABC4278CEB_.wvu.Rows" hidden="1" oldHidden="1">
    <formula>'6.Экстримизм'!$9:$23,'6.Экстримизм'!$30:$38,'6.Экстримизм'!$44:$49,'6.Экстримизм'!$65:$67,'6.Экстримизм'!$71:$76,'6.Экстримизм'!$86:$88,'6.Экстримизм'!$95:$97</formula>
  </rdn>
  <rdn rId="0" localSheetId="7" customView="1" name="Z_3C3F523F_5F34_4CF7_831E_F1ABC4278CEB_.wvu.FilterData" hidden="1" oldHidden="1">
    <formula>'6.Экстримизм'!$A$1:$AF$11</formula>
  </rdn>
  <rdn rId="0" localSheetId="14" customView="1" name="Z_3C3F523F_5F34_4CF7_831E_F1ABC4278CEB_.wvu.FilterData" hidden="1" oldHidden="1">
    <formula>'11.МП РО'!$A$4:$A$380</formula>
  </rdn>
  <rdn rId="0" localSheetId="17" customView="1" name="Z_3C3F523F_5F34_4CF7_831E_F1ABC4278CEB_.wvu.Rows" hidden="1" oldHidden="1">
    <formula>'13.МП РЖС'!$122:$127</formula>
  </rdn>
  <rdn rId="0" localSheetId="17" customView="1" name="Z_3C3F523F_5F34_4CF7_831E_F1ABC4278CEB_.wvu.Cols" hidden="1" oldHidden="1">
    <formula>'13.МП РЖС'!$AG:$AG</formula>
  </rdn>
  <rcv guid="{3C3F523F-5F34-4CF7-831E-F1ABC4278CEB}" action="add"/>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94" sId="18">
    <oc r="C15">
      <f>H15+J15+L15+N15+P15+R15</f>
    </oc>
    <nc r="C15">
      <f>H15+J15+L15+N15+P15+R15+T15</f>
    </nc>
  </rcc>
  <rcc rId="14495" sId="18">
    <oc r="C21">
      <f>SUM(H21+J21+L21+N21+P21+R21)</f>
    </oc>
    <nc r="C21">
      <f>SUM(H21+J21+L21+N21+P21+T211)</f>
    </nc>
  </rcc>
  <rcc rId="14496" sId="18">
    <oc r="C22">
      <f>SUM(H22+J22+L22+N22+P22+R22)</f>
    </oc>
    <nc r="C22">
      <f>SUM(H22+J22+L22+N22+P22+R22+T22)</f>
    </nc>
  </rcc>
  <rcc rId="14497" sId="18">
    <oc r="C25">
      <f>H25+J25+L25+N25+P25+R25</f>
    </oc>
    <nc r="C25">
      <f>H25+J25+L25+N25+P25+R25+T25</f>
    </nc>
  </rcc>
  <rcc rId="14498" sId="18">
    <oc r="C26">
      <f>H26+J26+L26+N26+P26+R26</f>
    </oc>
    <nc r="C26">
      <f>H26+J26+L26+N26+P26+R26+T26</f>
    </nc>
  </rcc>
  <rcc rId="14499" sId="18">
    <oc r="C29">
      <f>H29+J29+L29+N29+P29+R29</f>
    </oc>
    <nc r="C29">
      <f>H29+J29+L29+N29+P29+R29+T29</f>
    </nc>
  </rcc>
  <rcc rId="14500" sId="18">
    <oc r="C30">
      <f>H30+J30+L30+N30+P30+R30</f>
    </oc>
    <nc r="C30">
      <f>H30+J30+L30+N30+P30+R30+T30</f>
    </nc>
  </rcc>
  <rcc rId="14501" sId="18">
    <oc r="C34">
      <f>H34+J34+L34+N34+P34+R34</f>
    </oc>
    <nc r="C34">
      <f>H34+J34+L34+N34+P34+R34+T34</f>
    </nc>
  </rcc>
  <rcc rId="14502" sId="18">
    <oc r="C44">
      <f>H44+J44+L44+N44+P44+R44</f>
    </oc>
    <nc r="C44">
      <f>H44+J44+L44+N44+P44+R44+T44</f>
    </nc>
  </rcc>
  <rcc rId="14503" sId="18">
    <oc r="C45">
      <f>H45+J45+L45+N45+P45+R45</f>
    </oc>
    <nc r="C45">
      <f>H45+J45+L45+N45+P45+R45+T45</f>
    </nc>
  </rcc>
  <rcc rId="14504" sId="18">
    <oc r="C46">
      <f>H46+J46+L46+N46+P46+R46</f>
    </oc>
    <nc r="C46">
      <f>H46+J46+L46+N46+P46+R46+T46</f>
    </nc>
  </rcc>
  <rcc rId="14505" sId="18">
    <oc r="C49">
      <f>H49+J49+L49+N49+P49+R49</f>
    </oc>
    <nc r="C49">
      <f>H49+J49+L49+N49+P49+R49+T49</f>
    </nc>
  </rcc>
  <rcc rId="14506" sId="18">
    <oc r="C50">
      <f>H50+J50+L50+N50+P50+R50</f>
    </oc>
    <nc r="C50">
      <f>H50+J50+L50+N50+P50+R50+T50</f>
    </nc>
  </rcc>
  <rcc rId="14507" sId="18">
    <oc r="C51">
      <f>H51+J51+L51+N51+P51+R51</f>
    </oc>
    <nc r="C51">
      <f>H51+J51+L51+N51+P51+R51+T51</f>
    </nc>
  </rcc>
  <rcc rId="14508" sId="18">
    <oc r="C54">
      <f>H54+J54+L54+N54+P54+R54</f>
    </oc>
    <nc r="C54">
      <f>H54+J54+L54+N54+P54+R54+T54</f>
    </nc>
  </rcc>
  <rcc rId="14509" sId="18">
    <oc r="C55">
      <f>H55+J55+L55+N55+P55+R55</f>
    </oc>
    <nc r="C55">
      <f>H55+J55+L55+N55+P55+R55+T55</f>
    </nc>
  </rcc>
  <rcc rId="14510" sId="18">
    <oc r="C56">
      <f>H56+J56+L56+N56+P56+R56</f>
    </oc>
    <nc r="C56">
      <f>H56+J56+L56+N56+P56+R56+T56</f>
    </nc>
  </rcc>
  <rcc rId="14511" sId="18">
    <oc r="C69">
      <f>H69+J69+L69+N69+P69+R69</f>
    </oc>
    <nc r="C69">
      <f>H69+J69+L69+N69+P69+R69+T69</f>
    </nc>
  </rcc>
  <rcc rId="14512" sId="18">
    <oc r="C70">
      <f>H70+J70+L70+N70+P70+R70</f>
    </oc>
    <nc r="C70">
      <f>H70+J70+L70+N70+P70+R70+T70</f>
    </nc>
  </rcc>
  <rcc rId="14513" sId="18">
    <oc r="C71">
      <f>H71+J71+L71+N71+P71+R71</f>
    </oc>
    <nc r="C71">
      <f>H71+J71+L71+N71+P71+R71+T71</f>
    </nc>
  </rcc>
  <rcc rId="14514" sId="18">
    <oc r="C74">
      <f>H74+J74+L74+N74+P74+R74</f>
    </oc>
    <nc r="C74">
      <f>H74+J74+L74+N74+P74+R74+T74</f>
    </nc>
  </rcc>
  <rcc rId="14515" sId="18">
    <oc r="C75">
      <f>H75+J75+L75+N75+P75+R75</f>
    </oc>
    <nc r="C75">
      <f>H75+J75+L75+N75+P75+R75+T75</f>
    </nc>
  </rcc>
  <rcc rId="14516" sId="18">
    <oc r="C76">
      <f>H76+J76+L76+N76+P76+R76</f>
    </oc>
    <nc r="C76">
      <f>H76+J76+L76+N76+P76+R76+T76</f>
    </nc>
  </rcc>
  <rcc rId="14517" sId="18" numFmtId="4">
    <oc r="AD22">
      <v>1461.1559999999999</v>
    </oc>
    <nc r="AD22">
      <v>1446.056</v>
    </nc>
  </rcc>
  <rcc rId="14518" sId="18" numFmtId="4">
    <oc r="T22">
      <v>2727.8290000000002</v>
    </oc>
    <nc r="T22">
      <v>2742.9290000000001</v>
    </nc>
  </rcc>
  <rcc rId="14519" sId="18" numFmtId="4">
    <oc r="U15">
      <v>0</v>
    </oc>
    <nc r="U15">
      <v>8.2119999999999997</v>
    </nc>
  </rcc>
  <rcc rId="14520" sId="18" numFmtId="4">
    <oc r="U22">
      <v>0</v>
    </oc>
    <nc r="U22">
      <v>2614.6689999999999</v>
    </nc>
  </rcc>
  <rcc rId="14521" sId="18" numFmtId="4">
    <oc r="U26">
      <v>0</v>
    </oc>
    <nc r="U26">
      <v>1953.75</v>
    </nc>
  </rcc>
  <rcc rId="14522" sId="18" numFmtId="4">
    <oc r="U30">
      <v>0</v>
    </oc>
    <nc r="U30">
      <v>701.524</v>
    </nc>
  </rcc>
  <rcc rId="14523" sId="18" numFmtId="4">
    <oc r="U110">
      <v>0</v>
    </oc>
    <nc r="U110">
      <v>1000</v>
    </nc>
  </rcc>
  <rcc rId="14524" sId="18" numFmtId="4">
    <oc r="U115">
      <v>0</v>
    </oc>
    <nc r="U115">
      <v>600</v>
    </nc>
  </rcc>
  <rcc rId="14525" sId="18" numFmtId="4">
    <oc r="U120">
      <v>0</v>
    </oc>
    <nc r="U120">
      <v>600</v>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26" sId="18">
    <oc r="AF103" t="inlineStr">
      <is>
        <t>4 субъекта предпринимательской деятельности стали получателями финансовой поддержки по данному мероприятию.
На оставшийся объем финансирования (504 724 руб)  объявлен дополнительный приём заявок (срок приёма с 09.07 по 19.07.2024).</t>
      </is>
    </oc>
    <nc r="AF103" t="inlineStr">
      <is>
        <t xml:space="preserve">4 субъекта предпринимательской деятельности стали получателями финансовой поддержки по данному мероприятию.
На оставшийся объем финансирования (504 724 руб)  объявлен дополнительный приём заявок </t>
      </is>
    </nc>
  </rcc>
  <rcc rId="14527" sId="18">
    <oc r="AF108"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500 тыс. рублей каждый для реализацииследующих проектв:
- ИП Богдановой О.В. «Туристический центр «Йети»;
- ИП Дёмина О. Н. «Логопедический центр «Кубик» 
(перечисление денежных средств в июле 2024 года). </t>
      </is>
    </oc>
    <nc r="AF108"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500 тыс. рублей каждый для реализацииследующих проектв:
- ИП Богдановой О.В. «Туристический центр «Йети»;
- ИП Дёмина О. Н. «Логопедический центр «Кубик» 
</t>
      </is>
    </nc>
  </rcc>
  <rcc rId="14528" sId="18">
    <oc r="AF113"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300 тыс. рублей каждый для реализацииследующих проектв:
- ИП Фаритов Р.Ф. «Проведение интеллектуально-развлекательных игр»;
- ИП Зырянов М. И.
«Прокат детских электромобилей»
(перечисление денежных средств в июле 2024 года). </t>
      </is>
    </oc>
    <nc r="AF113"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2-х грантов в размере 300 тыс. рублей каждый для реализацииследующих проектв:
- ИП Фаритов Р.Ф. «Проведение интеллектуально-развлекательных игр»;
- ИП Зырянов М. И.
«Прокат детских электромобилей»
</t>
      </is>
    </nc>
  </rcc>
  <rcc rId="14529" sId="18">
    <oc r="AF118"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гранта в размере 600 тыс. рублей для реализации следующего  проека:
- ИП Голуб К.А. «Собственное производство одежды. Создание и реализация бренда в г. Когалыме"
(перечисление денежных средств в июле 2024 года). </t>
      </is>
    </oc>
    <nc r="AF118" t="inlineStr">
      <is>
        <t xml:space="preserve">26.06.2024 комиссией по рассмотрению заявок участников отбора на получение грантов в форме субсидий субъектам МСП принято решение о предоставлении гранта в размере 600 тыс. рублей для реализации следующего  проека:
- ИП Голуб К.А. «Собственное производство одежды. Создание и реализация бренда в г. Когалыме"
</t>
      </is>
    </nc>
  </rcc>
  <rcc rId="14530" sId="18">
    <oc r="AF123" t="inlineStr">
      <is>
        <t>1 субъект предпринимательской деятельности стал получателем финансовой поддержки по данному мероприятию.
На оставшийся объем финансирования (85 600 руб)  объявлен дополнительный приём заявок (срок приёма с 09.07 по 19.07.2024).</t>
      </is>
    </oc>
    <nc r="AF123" t="inlineStr">
      <is>
        <t xml:space="preserve">1 субъект предпринимательской деятельности стал получателем финансовой поддержки по данному мероприятию.
На оставшийся объем финансирования (85 600 руб)  объявлен дополнительный приём заявок </t>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31" sId="11" numFmtId="4">
    <oc r="P87">
      <v>500.596</v>
    </oc>
    <nc r="P87">
      <v>424.59899999999999</v>
    </nc>
  </rcc>
  <rcc rId="14532" sId="11" numFmtId="4">
    <oc r="P99">
      <v>1925.296</v>
    </oc>
    <nc r="P99">
      <v>1424.414</v>
    </nc>
  </rcc>
  <rcc rId="14533" sId="11">
    <oc r="B81">
      <f>H81+J81+L81+N81+P81+R81+T81+V81+X81+Z81+AB81+AD81</f>
    </oc>
    <nc r="B81">
      <f>B87+B93+B99</f>
    </nc>
  </rcc>
  <rcc rId="14534" sId="11">
    <oc r="B104">
      <f>B15+B47+B53+B61+B81</f>
    </oc>
    <nc r="B104">
      <f>B15+B47+B61+B81</f>
    </nc>
  </rcc>
  <rcc rId="14535" sId="11">
    <oc r="X15">
      <f>X21+X27</f>
    </oc>
    <nc r="X15">
      <f>X21+X27+X33</f>
    </nc>
  </rcc>
  <rcc rId="14536" sId="11">
    <oc r="O80">
      <f>O86+O92+O98</f>
    </oc>
    <nc r="O80">
      <f>O86+O92+O98</f>
    </nc>
  </rcc>
  <rcc rId="14537" sId="11">
    <oc r="Q80">
      <f>Q86+Q92+Q98</f>
    </oc>
    <nc r="Q80">
      <f>Q86+Q92+Q98</f>
    </nc>
  </rcc>
  <rcc rId="14538" sId="11" numFmtId="4">
    <oc r="R73">
      <v>1519.51</v>
    </oc>
    <nc r="R73">
      <v>1636.0219999999999</v>
    </nc>
  </rcc>
  <rcc rId="14539" sId="11" numFmtId="4">
    <oc r="V73">
      <v>1397.84</v>
    </oc>
    <nc r="V73">
      <v>1461.037</v>
    </nc>
  </rcc>
  <rcc rId="14540" sId="11" numFmtId="4">
    <oc r="X73">
      <v>1397.84</v>
    </oc>
    <nc r="X73">
      <v>1461.037</v>
    </nc>
  </rcc>
  <rcc rId="14541" sId="11" numFmtId="4">
    <oc r="Z73">
      <v>1399.2149999999999</v>
    </oc>
    <nc r="Z73">
      <v>1462.412</v>
    </nc>
  </rcc>
  <rcc rId="14542" sId="11" numFmtId="4">
    <oc r="AB73">
      <v>1237.9949999999999</v>
    </oc>
    <nc r="AB73">
      <v>1301.193</v>
    </nc>
  </rcc>
  <rcc rId="14543" sId="11" numFmtId="4">
    <oc r="T73">
      <v>1740.86</v>
    </oc>
    <nc r="T73">
      <v>1804.0619999999999</v>
    </nc>
  </rcc>
  <rcc rId="14544" sId="11" numFmtId="4">
    <oc r="AD73">
      <v>1181.42</v>
    </oc>
    <nc r="AD73">
      <v>1249.028</v>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45" sId="11">
    <oc r="B109">
      <f>B15+B47+B53+B61+B78</f>
    </oc>
    <nc r="B109">
      <f>B15+B47+B53+B61+B81</f>
    </nc>
  </rcc>
  <rcc rId="14546" sId="11">
    <nc r="D109">
      <f>D15+D47+D53+D61+D81</f>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58" sId="11">
    <nc r="AG106">
      <f>AD106+AB106+Z106+X106+V106+T106+R106+P106+N106+L106+J106+H106</f>
    </nc>
  </rcc>
  <rcc rId="14559" sId="11">
    <nc r="AG11">
      <f>AB11+X11+H11</f>
    </nc>
  </rcc>
  <rcc rId="14560" sId="11">
    <nc r="AG57">
      <f>AD57</f>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61" sId="11">
    <oc r="C106">
      <f>C104</f>
    </oc>
    <nc r="C106">
      <f>C104+C103</f>
    </nc>
  </rcc>
  <rcc rId="14562" sId="11">
    <oc r="D106">
      <f>D109</f>
    </oc>
    <nc r="D106">
      <f>D109+D103</f>
    </nc>
  </rcc>
  <rcc rId="14563" sId="11">
    <nc r="AG70">
      <f>AD70+AB70+Z70+X70+V70+T70+R70+P70+N70+L70+J70+H70</f>
    </nc>
  </rcc>
  <rcc rId="14564" sId="11">
    <nc r="AG64">
      <f>AD64+AB64+Z64+X64+V64+T64+R64+P64+N64+L64+J64+H64</f>
    </nc>
  </rcc>
  <rcc rId="14565" sId="11">
    <nc r="AG78">
      <f>AD78+AB78+Z78+X78+V78+T78+R78+P78+N78+L78+J78+H78</f>
    </nc>
  </rcc>
  <rcc rId="14566" sId="11">
    <nc r="AG81">
      <f>AD81+AB81+Z81+X81+V81+T81+R81+P81+N81+L81+J81+H81</f>
    </nc>
  </rcc>
  <rcc rId="14567" sId="11">
    <nc r="AG84">
      <f>AD84+AB84+Z84+X84+V84+T84+R84+P84+N84+L84+J84+H84</f>
    </nc>
  </rcc>
  <rcc rId="14568" sId="11">
    <nc r="AG90">
      <f>AD90+AB90+Z90+X90+V90+T90+R90+P90+N90+L90+J90+H90</f>
    </nc>
  </rcc>
  <rcc rId="14569" sId="11">
    <nc r="AG96">
      <f>AD96+AB96+Z96+X96+V96+T96+R96+P96+N96+L96+J96+H96</f>
    </nc>
  </rcc>
  <rcc rId="14570" sId="11">
    <oc r="O78">
      <f>O79+O80+O81+O82</f>
    </oc>
    <nc r="O78">
      <f>O79+O80+O81+O82</f>
    </nc>
  </rcc>
  <rcc rId="14571" sId="11">
    <oc r="O80">
      <f>O86+O92+O98</f>
    </oc>
    <nc r="O80">
      <f>R82</f>
    </nc>
  </rcc>
  <rcc rId="14572" sId="11">
    <oc r="P78">
      <f>P79+P80+P81+P82</f>
    </oc>
    <nc r="P78">
      <f>P79+P80+P81+P82</f>
    </nc>
  </rcc>
  <rcc rId="14573" sId="11">
    <oc r="H81">
      <f>H87+H93+H99</f>
    </oc>
    <nc r="H81">
      <f>H87+H93+H99</f>
    </nc>
  </rcc>
  <rcc rId="14574" sId="11">
    <oc r="P81">
      <f>P86+P92+P98</f>
    </oc>
    <nc r="P81">
      <f>P87+P93+P99</f>
    </nc>
  </rcc>
  <rcc rId="14575" sId="11">
    <oc r="D101">
      <f>D104</f>
    </oc>
    <nc r="D101">
      <f>D104+D103</f>
    </nc>
  </rcc>
  <rcc rId="14576" sId="11" odxf="1" dxf="1">
    <oc r="D81">
      <f>E81</f>
    </oc>
    <nc r="D81">
      <f>E81</f>
    </nc>
    <odxf>
      <fill>
        <patternFill>
          <bgColor rgb="FFFF0000"/>
        </patternFill>
      </fill>
      <border outline="0">
        <right/>
      </border>
    </odxf>
    <ndxf>
      <fill>
        <patternFill>
          <bgColor theme="7" tint="0.79998168889431442"/>
        </patternFill>
      </fill>
      <border outline="0">
        <right style="thin">
          <color indexed="64"/>
        </right>
      </border>
    </ndxf>
  </rcc>
  <rcc rId="14577" sId="11" odxf="1" dxf="1">
    <oc r="E81">
      <f>I81+K81+M81+O81+Q81+S81+U81</f>
    </oc>
    <nc r="E81">
      <f>I81+K81+M81+O81+Q81+S81+U81</f>
    </nc>
    <odxf>
      <fill>
        <patternFill>
          <bgColor rgb="FFFF0000"/>
        </patternFill>
      </fill>
      <border outline="0">
        <right/>
      </border>
      <protection hidden="1"/>
    </odxf>
    <ndxf>
      <fill>
        <patternFill>
          <bgColor theme="7" tint="0.79998168889431442"/>
        </patternFill>
      </fill>
      <border outline="0">
        <right style="thin">
          <color indexed="64"/>
        </right>
      </border>
      <protection hidden="0"/>
    </ndxf>
  </rcc>
  <rcc rId="14578" sId="11" odxf="1" dxf="1">
    <oc r="F81">
      <f>E81/B81*100</f>
    </oc>
    <nc r="F81">
      <f>E81/B81*100</f>
    </nc>
    <odxf>
      <fill>
        <patternFill>
          <bgColor rgb="FFFF0000"/>
        </patternFill>
      </fill>
    </odxf>
    <ndxf>
      <fill>
        <patternFill>
          <bgColor theme="7" tint="0.79998168889431442"/>
        </patternFill>
      </fill>
    </ndxf>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79" sId="11">
    <oc r="B63">
      <f>B64</f>
    </oc>
    <nc r="B63"/>
  </rcc>
  <rcc rId="14580" sId="11">
    <oc r="C63">
      <f>C64</f>
    </oc>
    <nc r="C63"/>
  </rcc>
  <rcc rId="14581" sId="11">
    <oc r="D63">
      <f>D64</f>
    </oc>
    <nc r="D63"/>
  </rcc>
  <rcc rId="14582" sId="11">
    <oc r="E63">
      <f>E64</f>
    </oc>
    <nc r="E63"/>
  </rcc>
  <rcc rId="14583" sId="11" numFmtId="4">
    <oc r="F63">
      <v>0</v>
    </oc>
    <nc r="F63"/>
  </rcc>
  <rcc rId="14584" sId="11" numFmtId="4">
    <oc r="G63">
      <v>0</v>
    </oc>
    <nc r="G63"/>
  </rcc>
  <rcc rId="14585" sId="11">
    <oc r="H63">
      <f>H64</f>
    </oc>
    <nc r="H63"/>
  </rcc>
  <rcc rId="14586" sId="11">
    <oc r="I63">
      <f>I64</f>
    </oc>
    <nc r="I63"/>
  </rcc>
  <rcc rId="14587" sId="11">
    <oc r="J63">
      <f>J64</f>
    </oc>
    <nc r="J63"/>
  </rcc>
  <rcc rId="14588" sId="11">
    <oc r="K63">
      <f>K64</f>
    </oc>
    <nc r="K63"/>
  </rcc>
  <rcc rId="14589" sId="11">
    <oc r="L63">
      <f>L64</f>
    </oc>
    <nc r="L63"/>
  </rcc>
  <rcc rId="14590" sId="11">
    <oc r="M63">
      <f>M64</f>
    </oc>
    <nc r="M63"/>
  </rcc>
  <rcc rId="14591" sId="11">
    <oc r="N63">
      <f>N64</f>
    </oc>
    <nc r="N63"/>
  </rcc>
  <rcc rId="14592" sId="11">
    <oc r="O63">
      <f>O64</f>
    </oc>
    <nc r="O63"/>
  </rcc>
  <rcc rId="14593" sId="11">
    <oc r="P63">
      <f>P64</f>
    </oc>
    <nc r="P63"/>
  </rcc>
  <rcc rId="14594" sId="11">
    <oc r="Q63">
      <f>Q64</f>
    </oc>
    <nc r="Q63"/>
  </rcc>
  <rcc rId="14595" sId="11">
    <oc r="R63">
      <f>R64</f>
    </oc>
    <nc r="R63"/>
  </rcc>
  <rcc rId="14596" sId="11">
    <oc r="S63">
      <f>S64</f>
    </oc>
    <nc r="S63"/>
  </rcc>
  <rcc rId="14597" sId="11">
    <oc r="T63">
      <f>T64</f>
    </oc>
    <nc r="T63"/>
  </rcc>
  <rcc rId="14598" sId="11">
    <oc r="V63">
      <f>V64</f>
    </oc>
    <nc r="V63"/>
  </rcc>
  <rcc rId="14599" sId="11">
    <oc r="X63">
      <f>X64</f>
    </oc>
    <nc r="X63"/>
  </rcc>
  <rcc rId="14600" sId="11">
    <oc r="Z63">
      <f>Z64</f>
    </oc>
    <nc r="Z63"/>
  </rcc>
  <rcc rId="14601" sId="11">
    <oc r="AB63">
      <f>AB64</f>
    </oc>
    <nc r="AB63"/>
  </rcc>
  <rcc rId="14602" sId="11">
    <oc r="AD63">
      <f>AD64</f>
    </oc>
    <nc r="AD63"/>
  </rcc>
  <rcc rId="14603" sId="11">
    <oc r="B69">
      <f>B70</f>
    </oc>
    <nc r="B69"/>
  </rcc>
  <rcc rId="14604" sId="11">
    <oc r="C69">
      <f>C70</f>
    </oc>
    <nc r="C69"/>
  </rcc>
  <rcc rId="14605" sId="11">
    <oc r="D69">
      <f>D70</f>
    </oc>
    <nc r="D69"/>
  </rcc>
  <rcc rId="14606" sId="11">
    <oc r="E69">
      <f>E70</f>
    </oc>
    <nc r="E69"/>
  </rcc>
  <rcc rId="14607" sId="11">
    <oc r="F69">
      <f>F70</f>
    </oc>
    <nc r="F69"/>
  </rcc>
  <rcc rId="14608" sId="11">
    <oc r="G69">
      <f>G70</f>
    </oc>
    <nc r="G69"/>
  </rcc>
  <rcc rId="14609" sId="11">
    <oc r="H69">
      <f>H70</f>
    </oc>
    <nc r="H69"/>
  </rcc>
  <rcc rId="14610" sId="11">
    <oc r="I69">
      <f>I70</f>
    </oc>
    <nc r="I69"/>
  </rcc>
  <rcc rId="14611" sId="11">
    <oc r="J69">
      <f>J70</f>
    </oc>
    <nc r="J69"/>
  </rcc>
  <rcc rId="14612" sId="11">
    <oc r="K69">
      <f>K70</f>
    </oc>
    <nc r="K69"/>
  </rcc>
  <rcc rId="14613" sId="11">
    <oc r="L69">
      <f>L70</f>
    </oc>
    <nc r="L69"/>
  </rcc>
  <rcc rId="14614" sId="11">
    <oc r="M69">
      <f>M70</f>
    </oc>
    <nc r="M69"/>
  </rcc>
  <rcc rId="14615" sId="11">
    <oc r="N69">
      <f>N70</f>
    </oc>
    <nc r="N69"/>
  </rcc>
  <rcc rId="14616" sId="11">
    <oc r="O69">
      <f>O70</f>
    </oc>
    <nc r="O69"/>
  </rcc>
  <rcc rId="14617" sId="11">
    <oc r="P69">
      <f>P70</f>
    </oc>
    <nc r="P69"/>
  </rcc>
  <rcc rId="14618" sId="11">
    <oc r="Q69">
      <f>Q70</f>
    </oc>
    <nc r="Q69"/>
  </rcc>
  <rcc rId="14619" sId="11">
    <oc r="R69">
      <f>R70</f>
    </oc>
    <nc r="R69"/>
  </rcc>
  <rcc rId="14620" sId="11">
    <oc r="S69">
      <f>S70</f>
    </oc>
    <nc r="S69"/>
  </rcc>
  <rcc rId="14621" sId="11">
    <oc r="T69">
      <f>T70</f>
    </oc>
    <nc r="T69"/>
  </rcc>
  <rcc rId="14622" sId="11">
    <oc r="U69">
      <f>U70</f>
    </oc>
    <nc r="U69"/>
  </rcc>
  <rcc rId="14623" sId="11">
    <oc r="B83">
      <f>B84</f>
    </oc>
    <nc r="B83"/>
  </rcc>
  <rcc rId="14624" sId="11">
    <oc r="C83">
      <f>C84</f>
    </oc>
    <nc r="C83"/>
  </rcc>
  <rcc rId="14625" sId="11">
    <oc r="D83">
      <f>D84</f>
    </oc>
    <nc r="D83"/>
  </rcc>
  <rcc rId="14626" sId="11">
    <oc r="E83">
      <f>E84</f>
    </oc>
    <nc r="E83"/>
  </rcc>
  <rcc rId="14627" sId="11" numFmtId="4">
    <oc r="F83">
      <v>0</v>
    </oc>
    <nc r="F83"/>
  </rcc>
  <rcc rId="14628" sId="11" numFmtId="4">
    <oc r="G83">
      <v>0</v>
    </oc>
    <nc r="G83"/>
  </rcc>
  <rcc rId="14629" sId="11">
    <oc r="H83">
      <f>H84</f>
    </oc>
    <nc r="H83"/>
  </rcc>
  <rcc rId="14630" sId="11">
    <oc r="I83">
      <f>I84</f>
    </oc>
    <nc r="I83"/>
  </rcc>
  <rcc rId="14631" sId="11">
    <oc r="J83">
      <f>J84</f>
    </oc>
    <nc r="J83"/>
  </rcc>
  <rcc rId="14632" sId="11">
    <oc r="K83">
      <f>K84</f>
    </oc>
    <nc r="K83"/>
  </rcc>
  <rcc rId="14633" sId="11">
    <oc r="L83">
      <f>L84</f>
    </oc>
    <nc r="L83"/>
  </rcc>
  <rcc rId="14634" sId="11">
    <oc r="M83">
      <f>M84</f>
    </oc>
    <nc r="M83"/>
  </rcc>
  <rcc rId="14635" sId="11">
    <oc r="N83">
      <f>N84</f>
    </oc>
    <nc r="N83"/>
  </rcc>
  <rcc rId="14636" sId="11">
    <oc r="O83">
      <f>O84</f>
    </oc>
    <nc r="O83"/>
  </rcc>
  <rcc rId="14637" sId="11">
    <oc r="P83">
      <f>P84</f>
    </oc>
    <nc r="P83"/>
  </rcc>
  <rcc rId="14638" sId="11">
    <oc r="Q83">
      <f>Q84</f>
    </oc>
    <nc r="Q83"/>
  </rcc>
  <rcc rId="14639" sId="11">
    <oc r="R83">
      <f>R84</f>
    </oc>
    <nc r="R83"/>
  </rcc>
  <rcc rId="14640" sId="11">
    <oc r="S83">
      <f>S84</f>
    </oc>
    <nc r="S83"/>
  </rcc>
  <rcc rId="14641" sId="11">
    <oc r="T83">
      <f>T84</f>
    </oc>
    <nc r="T83"/>
  </rcc>
  <rcc rId="14642" sId="11">
    <oc r="U83">
      <f>U84</f>
    </oc>
    <nc r="U83"/>
  </rcc>
  <rcc rId="14643" sId="11">
    <oc r="V83">
      <f>V84</f>
    </oc>
    <nc r="V83"/>
  </rcc>
  <rcc rId="14644" sId="11">
    <oc r="X83">
      <f>X84</f>
    </oc>
    <nc r="X83"/>
  </rcc>
  <rcc rId="14645" sId="11">
    <oc r="Z83">
      <f>Z84</f>
    </oc>
    <nc r="Z83"/>
  </rcc>
  <rcc rId="14646" sId="11">
    <oc r="AB83">
      <f>AB84</f>
    </oc>
    <nc r="AB83"/>
  </rcc>
  <rcc rId="14647" sId="11">
    <oc r="AD83">
      <f>AD84</f>
    </oc>
    <nc r="AD83"/>
  </rcc>
  <rcc rId="14648" sId="11">
    <oc r="B89">
      <f>B90</f>
    </oc>
    <nc r="B89"/>
  </rcc>
  <rcc rId="14649" sId="11">
    <oc r="C89">
      <f>C90</f>
    </oc>
    <nc r="C89"/>
  </rcc>
  <rcc rId="14650" sId="11">
    <oc r="D89">
      <f>D90</f>
    </oc>
    <nc r="D89"/>
  </rcc>
  <rcc rId="14651" sId="11">
    <oc r="E89">
      <f>E90</f>
    </oc>
    <nc r="E89"/>
  </rcc>
  <rcc rId="14652" sId="11">
    <oc r="F89">
      <f>F90</f>
    </oc>
    <nc r="F89"/>
  </rcc>
  <rcc rId="14653" sId="11">
    <oc r="G89">
      <f>G90</f>
    </oc>
    <nc r="G89"/>
  </rcc>
  <rcc rId="14654" sId="11">
    <oc r="H89">
      <f>H90</f>
    </oc>
    <nc r="H89"/>
  </rcc>
  <rcc rId="14655" sId="11">
    <oc r="I89">
      <f>I90</f>
    </oc>
    <nc r="I89"/>
  </rcc>
  <rcc rId="14656" sId="11">
    <oc r="J89">
      <f>J90</f>
    </oc>
    <nc r="J89"/>
  </rcc>
  <rcc rId="14657" sId="11">
    <oc r="K89">
      <f>K90</f>
    </oc>
    <nc r="K89"/>
  </rcc>
  <rcc rId="14658" sId="11">
    <oc r="L89">
      <f>L90</f>
    </oc>
    <nc r="L89"/>
  </rcc>
  <rcc rId="14659" sId="11">
    <oc r="M89">
      <f>M90</f>
    </oc>
    <nc r="M89"/>
  </rcc>
  <rcc rId="14660" sId="11">
    <oc r="N89">
      <f>N90</f>
    </oc>
    <nc r="N89"/>
  </rcc>
  <rcc rId="14661" sId="11">
    <oc r="O89">
      <f>O90</f>
    </oc>
    <nc r="O89"/>
  </rcc>
  <rcc rId="14662" sId="11">
    <oc r="P89">
      <f>P90</f>
    </oc>
    <nc r="P89"/>
  </rcc>
  <rcc rId="14663" sId="11">
    <oc r="Q89">
      <f>Q90</f>
    </oc>
    <nc r="Q89"/>
  </rcc>
  <rcc rId="14664" sId="11">
    <oc r="R89">
      <f>R90</f>
    </oc>
    <nc r="R89"/>
  </rcc>
  <rcc rId="14665" sId="11">
    <oc r="S89">
      <f>S90</f>
    </oc>
    <nc r="S89"/>
  </rcc>
  <rcc rId="14666" sId="11">
    <oc r="T89">
      <f>T90</f>
    </oc>
    <nc r="T89"/>
  </rcc>
  <rcc rId="14667" sId="11">
    <oc r="U89">
      <f>U90</f>
    </oc>
    <nc r="U89"/>
  </rcc>
  <rcc rId="14668" sId="11">
    <oc r="V89">
      <f>V90</f>
    </oc>
    <nc r="V89"/>
  </rcc>
  <rcc rId="14669" sId="11">
    <oc r="W89">
      <f>W90</f>
    </oc>
    <nc r="W89"/>
  </rcc>
  <rcc rId="14670" sId="11">
    <oc r="X89">
      <f>X90</f>
    </oc>
    <nc r="X89"/>
  </rcc>
  <rcc rId="14671" sId="11">
    <oc r="Z89">
      <f>Z90</f>
    </oc>
    <nc r="Z89"/>
  </rcc>
  <rcc rId="14672" sId="11">
    <oc r="AB89">
      <f>AB90</f>
    </oc>
    <nc r="AB89"/>
  </rcc>
  <rcc rId="14673" sId="11">
    <oc r="AD89">
      <f>AD90</f>
    </oc>
    <nc r="AD89"/>
  </rcc>
  <rcc rId="14674" sId="11">
    <oc r="B95">
      <f>B96</f>
    </oc>
    <nc r="B95"/>
  </rcc>
  <rcc rId="14675" sId="11">
    <oc r="C95">
      <f>C96</f>
    </oc>
    <nc r="C95"/>
  </rcc>
  <rcc rId="14676" sId="11">
    <oc r="D95">
      <f>D96</f>
    </oc>
    <nc r="D95"/>
  </rcc>
  <rcc rId="14677" sId="11">
    <oc r="E95">
      <f>E96</f>
    </oc>
    <nc r="E95"/>
  </rcc>
  <rcc rId="14678" sId="11">
    <oc r="F95">
      <f>F96</f>
    </oc>
    <nc r="F95"/>
  </rcc>
  <rcc rId="14679" sId="11">
    <oc r="G95">
      <f>G96</f>
    </oc>
    <nc r="G95"/>
  </rcc>
  <rcc rId="14680" sId="11">
    <oc r="H95">
      <f>H96</f>
    </oc>
    <nc r="H95"/>
  </rcc>
  <rcc rId="14681" sId="11">
    <oc r="I95">
      <f>I96</f>
    </oc>
    <nc r="I95"/>
  </rcc>
  <rcc rId="14682" sId="11">
    <oc r="J95">
      <f>J96</f>
    </oc>
    <nc r="J95"/>
  </rcc>
  <rcc rId="14683" sId="11">
    <oc r="K95">
      <f>K96</f>
    </oc>
    <nc r="K95"/>
  </rcc>
  <rcc rId="14684" sId="11">
    <oc r="L95">
      <f>L96</f>
    </oc>
    <nc r="L95"/>
  </rcc>
  <rcc rId="14685" sId="11">
    <oc r="M95">
      <f>M96</f>
    </oc>
    <nc r="M95"/>
  </rcc>
  <rcc rId="14686" sId="11">
    <oc r="N95">
      <f>N96</f>
    </oc>
    <nc r="N95"/>
  </rcc>
  <rcc rId="14687" sId="11">
    <oc r="O95">
      <f>O96</f>
    </oc>
    <nc r="O95"/>
  </rcc>
  <rcc rId="14688" sId="11">
    <oc r="P95">
      <f>P96</f>
    </oc>
    <nc r="P95"/>
  </rcc>
  <rcc rId="14689" sId="11">
    <oc r="Q95">
      <f>Q96</f>
    </oc>
    <nc r="Q95"/>
  </rcc>
  <rcc rId="14690" sId="11">
    <oc r="R95">
      <f>R96</f>
    </oc>
    <nc r="R95"/>
  </rcc>
  <rcc rId="14691" sId="11">
    <oc r="S95">
      <f>S96</f>
    </oc>
    <nc r="S95"/>
  </rcc>
  <rcc rId="14692" sId="11">
    <oc r="T95">
      <f>T96</f>
    </oc>
    <nc r="T95"/>
  </rcc>
  <rcc rId="14693" sId="11">
    <oc r="U95">
      <f>U96</f>
    </oc>
    <nc r="U95"/>
  </rcc>
  <rcc rId="14694" sId="11">
    <oc r="V95">
      <f>V96</f>
    </oc>
    <nc r="V95"/>
  </rcc>
  <rcc rId="14695" sId="11">
    <oc r="X95">
      <f>X96</f>
    </oc>
    <nc r="X95"/>
  </rcc>
  <rcc rId="14696" sId="11">
    <oc r="Z95">
      <f>Z96</f>
    </oc>
    <nc r="Z95"/>
  </rcc>
  <rcc rId="14697" sId="11">
    <oc r="AB95">
      <f>AB96</f>
    </oc>
    <nc r="AB95"/>
  </rcc>
  <rcc rId="14698" sId="11">
    <oc r="AD95">
      <f>AD96</f>
    </oc>
    <nc r="AD95"/>
  </rcc>
  <rcc rId="14699" sId="11">
    <oc r="AG90">
      <f>AD90+AB90+Z90+X90+V90+T90+R90+P90+N90+L90+J90+H90</f>
    </oc>
    <nc r="AG90"/>
  </rcc>
  <rcc rId="14700" sId="11">
    <oc r="AG96">
      <f>AD96+AB96+Z96+X96+V96+T96+R96+P96+N96+L96+J96+H96</f>
    </oc>
    <nc r="AG96"/>
  </rcc>
  <rcc rId="14701" sId="11">
    <oc r="AG106">
      <f>AD106+AB106+Z106+X106+V106+T106+R106+P106+N106+L106+J106+H106</f>
    </oc>
    <nc r="AG106"/>
  </rcc>
  <rcc rId="14702" sId="11">
    <oc r="AG70">
      <f>AD70+AB70+Z70+X70+V70+T70+R70+P70+N70+L70+J70+H70</f>
    </oc>
    <nc r="AG70"/>
  </rcc>
  <rcc rId="14703" sId="11">
    <oc r="AG78">
      <f>AD78+AB78+Z78+X78+V78+T78+R78+P78+N78+L78+J78+H78</f>
    </oc>
    <nc r="AG78"/>
  </rcc>
  <rcc rId="14704" sId="11">
    <oc r="AG81">
      <f>AD81+AB81+Z81+X81+V81+T81+R81+P81+N81+L81+J81+H81</f>
    </oc>
    <nc r="AG81"/>
  </rcc>
  <rcc rId="14705" sId="11">
    <oc r="AG84">
      <f>AD84+AB84+Z84+X84+V84+T84+R84+P84+N84+L84+J84+H84</f>
    </oc>
    <nc r="AG84"/>
  </rcc>
  <rcc rId="14706" sId="11">
    <oc r="AG57">
      <f>AD57</f>
    </oc>
    <nc r="AG57"/>
  </rcc>
  <rcc rId="14707" sId="11">
    <oc r="AG64">
      <f>AD64+AB64+Z64+X64+V64+T64+R64+P64+N64+L64+J64+H64</f>
    </oc>
    <nc r="AG64"/>
  </rcc>
  <rcc rId="14708" sId="11">
    <oc r="AG11">
      <f>AB11+X11+H11</f>
    </oc>
    <nc r="AG11"/>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09"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U56U56U56U56U56U56U56U56U56U56                                                                                                                                                                                                                                                                                                                                   -22-28.06.2024 специалист РЦ Беседин С.Н. приял участие в Форуме уральской молодежи «Утро»: 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- 07.07.2024 специалисты РЦ приняли участие в мероприятии «Иван Купала» с мастер-классом по изготовлению славянских оьерегов,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С
- 30.07.2024 специалисты РЦ организовали и провели  второй окружной форум "Гармонизация межнациональных отношений в ХМАО-Югре. Организация мероприятий в сфере адаптации иностранных граждан, профилактики конфликтов и экстремизма" в рамках проекта "Ресурсный центр по адаптации и интеграции мигрантов, гармонизации межнациональных отношений в Югре" - победителя Гранта Губернатора.На форуме присутствовали представители муниципалитетов Югры и органов местного самоуправления города Когалыма.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U56U56U56U56U56U56U56U56U56U56                                                                                                                                                                                                                                                                                                                                   -22-28.06.2024 специалист РЦ Беседин С.Н. приял участие в Форуме уральской молодежи «Утро»: 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- 07.07.2024 специалисты РЦ приняли участие в мероприятии «Иван Купала» с мастер-классом по изготовлению славянских оьерегов,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С
- 30.07.2024 специалисты РЦ организовали и провели  второй окружной форум "Гармонизация межнациональных отношений в ХМАО-Югре. Организация мероприятий в сфере адаптации иностранных граждан, профилактики конфликтов и экстремизма" в рамках проекта "Ресурсный центр по адаптации и интеграции мигрантов, гармонизации межнациональных отношений в Югре" - победителя Гранта Губернатора.На форуме присутствовали представители муниципалитетов Югры и органов местного самоуправления города Когалыма.   
</t>
        </r>
      </is>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10" sId="11">
    <oc r="AF77" t="inlineStr">
      <is>
        <t>Отклонение по п. 4.1. составляет 2002,05 тыс.руб.</t>
      </is>
    </oc>
    <nc r="AF77" t="inlineStr">
      <is>
        <t>Отклонение по п. 4.1. составляет 1301,03 тыс.руб.</t>
      </is>
    </nc>
  </rcc>
  <rcc rId="14711" sId="11">
    <oc r="AF84" t="inlineStr">
      <is>
        <t>Расхождение фактических расходов  от плановых по  п.4.1.1. составляет 780,02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oc>
    <nc r="AF84" t="inlineStr">
      <is>
        <t>Расхождение фактических расходов  от плановых по  п.4.1.1. составляет 929,05 ты.руб.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за год была выплачены за фактически отработанное время и в связи с наличием листов временной нетрудоспособности. Кроме того,  по причине досрочной уплаты запланированных на 2024 год страховых взносов в декабре 2023 года.</t>
      </is>
    </nc>
  </rcc>
  <rcc rId="14712" sId="11">
    <oc r="AF90" t="inlineStr">
      <is>
        <t>Разница фактических расходов по п.4.1.2. от плановых составляет  222,88 тыс.руб.Расхождение фактических расходов  от плановых сложилось по причине неисполнения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is>
    </oc>
    <nc r="AF90" t="inlineStr">
      <is>
        <t>Разница фактических расходов по п.4.1.2. от плановых составляет  222,43 тыс.руб.Расхождение фактических расходов  от плановых сложилось по причине неисполнения по заработной плате и начисленниям по оплате труда, в связи с тем что выплаты денежного поощрения по результам работы за год были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cc rId="14713" sId="11">
    <oc r="AF99" t="inlineStr">
      <is>
        <t>Расхождение фактических расходов по п.4.1.3. от плановых составляет  999,16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oc>
    <nc r="AF99" t="inlineStr">
      <is>
        <t>Расхождение фактических расходов по п.4.1.3. от плановых составляет  149,48 тыс.руб. сложилось по причине неисполнения по заработной платы и начисленниям по оплате труда, в связи с тем, что выплаты денежного поощрения по результам работы  выплачены за фактически отработанное время. Кроме того,  по причине досрочной уплаты запланированных на 2024 год страховых взносов в декабре 2023 года.</t>
      </is>
    </nc>
  </rc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14" sId="11">
    <oc r="AF58" t="inlineStr">
      <is>
        <t>Расхождение фактических показателей от запланированных составляет по данному пункту -1012,65 тыс.руб.</t>
      </is>
    </oc>
    <nc r="AF58" t="inlineStr">
      <is>
        <t>Расхождение фактических показателей от запланированных составляет по данному пункту -1461,46 тыс.руб.</t>
      </is>
    </nc>
  </rcc>
  <rcc rId="14715" sId="11">
    <oc r="AF63" t="inlineStr">
      <is>
        <t>Расхождение плановых средств по п.3.1.1. от фактических расходов составляет 144,36 тыс.руб. сложилось ввиду оплаты, согласно счетов по  фактически оказаному объему услуг.</t>
      </is>
    </oc>
    <nc r="AF63" t="inlineStr">
      <is>
        <t>Расхождение плановых средств по п.3.1.1. от фактических расходов составляет 205,90 тыс.руб. сложилось ввиду оплаты, согласно счетов по  фактически оказаному объему услуг.</t>
      </is>
    </nc>
  </rcc>
  <rcc rId="14716" sId="11">
    <oc r="AF70" t="inlineStr">
      <is>
        <t xml:space="preserve">Расхождение плановых от фактических показателей по пункту 3.1.2.в размере  866,29 тыс.руб. образовалось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oc>
    <nc r="AF70" t="inlineStr">
      <is>
        <t xml:space="preserve">Расхождение плановых от фактических показателей по пункту 3.1.2.в размере  1255,56 тыс.руб. образовалось по  следующим причинам:  - работы сотрудников в режиме неполного рабочего времени (режим неполного рабочего времени, внешнее совместительство) , в  связи с тем, что оплата расходов произведена на основании выставленных счетов-фактур за работы и услуги.                                                                                                                                                                                                                                                                                                                                                                                                                                                                                                                                                                                                                                    </t>
      </is>
    </nc>
  </rcc>
  <rcc rId="14717" sId="11">
    <oc r="AF18" t="inlineStr">
      <is>
        <t>Конкурс запланирован к проведению в 4 квартале 2024 года</t>
      </is>
    </oc>
    <nc r="AF18" t="inlineStr">
      <is>
        <t>Заявочный этап запланирован к проведению в сентябре 2024 года на сервисе Единый личный кабинет активитста (ЕЛКА).</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11" sId="3" numFmtId="19">
    <oc r="C5">
      <v>45413</v>
    </oc>
    <nc r="C5">
      <v>45505</v>
    </nc>
  </rcc>
  <rcc rId="14812" sId="3" numFmtId="19">
    <oc r="D5">
      <v>45413</v>
    </oc>
    <nc r="D5">
      <v>45505</v>
    </nc>
  </rcc>
  <rcc rId="14813" sId="3" numFmtId="19">
    <oc r="E5">
      <v>45413</v>
    </oc>
    <nc r="E5">
      <v>45505</v>
    </nc>
  </rcc>
  <rcc rId="14814" sId="3" numFmtId="34">
    <nc r="S15">
      <v>246.5</v>
    </nc>
  </rcc>
  <rcc rId="14815" sId="3">
    <oc r="AF15" t="inlineStr">
      <is>
        <t xml:space="preserve">В 2024 муниципальной программой «Развитие агропромышленного комплекса в городе Когалыме» предусмотрены мероприятия по предоставлению сельскохозяйственным товаропроизводителям субсидий на содержание маточного поголовья сельскохозяйственных животных за счёт субвенций из бюджета ХМАО – Югры, в рамках реализации переданных муниципальным образованиям государственных полномочий по поддержке сельскохозяйственного производства в соответствии с Законом ХМАО – Югры от 16.12.2010 №228-оз «О наделении органов местного самоуправления муниципальных образований Ханты-Мансийского автономного округа - Югры отдельными государственными полномочиями в сфере поддержки сельскохозяйственного производства и деятельности по заготовке и переработке дикоросов». 
Порядками предоставления субсидий на поддержку сельскохозяйственного производства и деятельности по заготовке и переработке дикоросов, утвержденными постановлением Администрации города Когалыма от 15.03.2021 №500 предусмотрены следующие сроки подачи заявок:
- на субсидию на содержание маточного поголовья сельскохозяйственных животных по 06 мая.
заявка от Главы КФХ Шиманского В.М. на предоставление субсидии на содержание маточного поголовья сельскохозяйственных животных (за исключением личных подсобных хозяйств) принята 06.05.2024 г. через АИС «АПК». Список получателей субсидии на содержание маточного поголовья сельскохозяйственных животных за 2024 год утвержден постановлением Администрации города Когалыма №992 от 24 мая 2024.
</t>
      </is>
    </oc>
    <nc r="AF15" t="inlineStr">
      <is>
        <t xml:space="preserve">1. В 2024 муниципальной программой «Развитие агропромышленного комплекса в городе Когалыме» предусмотрены мероприятия по предоставлению сельскохозяйственным товаропроизводителям субсидий на содержание маточного поголовья сельскохозяйственных животных за счёт субвенций из бюджета ХМАО – Югры, в рамках реализации переданных муниципальным образованиям государственных полномочий по поддержке сельскохозяйственного производства в соответствии с Законом ХМАО – Югры от 16.12.2010 №228-оз «О наделении органов местного самоуправления муниципальных образований Ханты-Мансийского автономного округа - Югры отдельными государственными полномочиями в сфере поддержки сельскохозяйственного производства и деятельности по заготовке и переработке дикоросов». 
Порядками предоставления субсидий на поддержку сельскохозяйственного производства и деятельности по заготовке и переработке дикоросов, утвержденными постановлением Администрации города Когалыма от 15.03.2021 №500 предусмотрены следующие сроки подачи заявок:
- на субсидию на содержание маточного поголовья сельскохозяйственных животных по 06 мая.
заявка от Главы КФХ Шиманского В.М. на предоставление субсидии на содержание маточного поголовья сельскохозяйственных животных (за исключением личных подсобных хозяйств) принята 06.05.2024 г. через АИС «АПК». Список получателей субсидии на содержание маточного поголовья сельскохозяйственных животных за 2024 год утвержден постановлением Администрации города Когалыма №992 от 24 мая 2024;
2. На основании Постановления Администрации города Когалыма от 24.05.20243 № 992 плановые асигнования в сумме 240,0 тыс.руб. доведены до получателя.
3. 6,5 тыс.руб. доведены до сотрудника, осуществляющего администрирование.
</t>
      </is>
    </nc>
  </rcc>
  <rcc rId="14816" sId="3" numFmtId="34">
    <nc r="U24">
      <v>270</v>
    </nc>
  </rcc>
  <rcc rId="14817" sId="3" numFmtId="34">
    <oc r="AD24">
      <v>50</v>
    </oc>
    <nc r="AD24">
      <v>180</v>
    </nc>
  </rcc>
  <rcc rId="14818" sId="3">
    <oc r="D39">
      <f>D35</f>
    </oc>
    <nc r="D39">
      <f>D35</f>
    </nc>
  </rcc>
  <rcc rId="14819" sId="3">
    <oc r="E35">
      <f>E27</f>
    </oc>
    <nc r="E35">
      <f>E27</f>
    </nc>
  </rcc>
  <rcc rId="14820" sId="3">
    <nc r="K12">
      <f>K14</f>
    </nc>
  </rcc>
  <rcc rId="14821" sId="3">
    <nc r="M12">
      <f>M14</f>
    </nc>
  </rcc>
  <rcc rId="14822" sId="3">
    <nc r="O12">
      <f>O14</f>
    </nc>
  </rcc>
  <rcc rId="14823" sId="3">
    <nc r="Q12">
      <f>Q14</f>
    </nc>
  </rcc>
  <rcc rId="14824" sId="3">
    <nc r="S12">
      <f>S14</f>
    </nc>
  </rcc>
  <rcv guid="{47B983AB-FE5F-4725-860C-A2F29420596D}" action="delete"/>
  <rdn rId="0" localSheetId="2" customView="1" name="Z_47B983AB_FE5F_4725_860C_A2F29420596D_.wvu.Rows" hidden="1" oldHidden="1">
    <formula>'1.СЗН'!$69:$73</formula>
    <oldFormula>'1.СЗН'!$69:$73</oldFormula>
  </rdn>
  <rdn rId="0" localSheetId="2" customView="1" name="Z_47B983AB_FE5F_4725_860C_A2F29420596D_.wvu.FilterData" hidden="1" oldHidden="1">
    <formula>'1.СЗН'!$A$1:$AF$63</formula>
    <oldFormula>'1.СЗН'!$A$1:$AF$63</oldFormula>
  </rdn>
  <rdn rId="0" localSheetId="3" customView="1" name="Z_47B983AB_FE5F_4725_860C_A2F29420596D_.wvu.FilterData" hidden="1" oldHidden="1">
    <formula>'2.АПК'!$A$1:$AF$36</formula>
    <oldFormula>'2.АПК'!$A$1:$AF$36</oldFormula>
  </rdn>
  <rdn rId="0" localSheetId="4" customView="1" name="Z_47B983AB_FE5F_4725_860C_A2F29420596D_.wvu.FilterData" hidden="1" oldHidden="1">
    <formula>'3.БЖД'!$A$1:$AF$17</formula>
    <oldFormula>'3.БЖД'!$A$1:$AF$17</oldFormula>
  </rdn>
  <rdn rId="0" localSheetId="5" customView="1" name="Z_47B983AB_FE5F_4725_860C_A2F29420596D_.wvu.FilterData" hidden="1" oldHidden="1">
    <formula>'4.УМИ'!$A$1:$AF$11</formula>
    <oldFormula>'4.УМИ'!$A$1:$AF$11</oldFormula>
  </rdn>
  <rdn rId="0" localSheetId="6" customView="1" name="Z_47B983AB_FE5F_4725_860C_A2F29420596D_.wvu.FilterData" hidden="1" oldHidden="1">
    <formula>'5.Проф. прав.'!$A$1:$AF$12</formula>
    <oldFormula>'5.Проф. прав.'!$A$1:$AF$12</oldFormula>
  </rdn>
  <rdn rId="0" localSheetId="7" customView="1" name="Z_47B983AB_FE5F_4725_860C_A2F29420596D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7B983AB_FE5F_4725_860C_A2F29420596D_.wvu.FilterData" hidden="1" oldHidden="1">
    <formula>'6.Экстримизм'!$A$1:$AF$11</formula>
    <oldFormula>'6.Экстримизм'!$A$1:$AF$11</oldFormula>
  </rdn>
  <rdn rId="0" localSheetId="14" customView="1" name="Z_47B983AB_FE5F_4725_860C_A2F29420596D_.wvu.FilterData" hidden="1" oldHidden="1">
    <formula>'11.МП РО'!$A$4:$A$380</formula>
  </rdn>
  <rdn rId="0" localSheetId="17" customView="1" name="Z_47B983AB_FE5F_4725_860C_A2F29420596D_.wvu.Rows" hidden="1" oldHidden="1">
    <formula>'13.МП РЖС'!$122:$127</formula>
    <oldFormula>'13.МП РЖС'!$122:$127</oldFormula>
  </rdn>
  <rdn rId="0" localSheetId="17" customView="1" name="Z_47B983AB_FE5F_4725_860C_A2F29420596D_.wvu.Cols" hidden="1" oldHidden="1">
    <formula>'13.МП РЖС'!$AG:$AG</formula>
    <oldFormula>'13.МП РЖС'!$AG:$AG</oldFormula>
  </rdn>
  <rcv guid="{47B983AB-FE5F-4725-860C-A2F29420596D}" action="add"/>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18"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U56U56U56U56U56U56U56U56U56U56                                                                                                                                                                                                                                                                                                                                   -22-28.06.2024 специалист РЦ Беседин С.Н. приял участие в Форуме уральской молодежи «Утро»: 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- 07.07.2024 специалисты РЦ приняли участие в мероприятии «Иван Купала» с мастер-классом по изготовлению славянских оьерегов,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С
- 30.07.2024 специалисты РЦ организовали и провели  второй окружной форум "Гармонизация межнациональных отношений в ХМАО-Югре. Организация мероприятий в сфере адаптации иностранных граждан, профилактики конфликтов и экстремизма" в рамках проекта "Ресурсный центр по адаптации и интеграции мигрантов, гармонизации межнациональных отношений в Югре" - победителя Гранта Губернатора.На форуме присутствовали представители муниципалитетов Югры и органов местного самоуправления города Когалыма.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-37 , март-30, апрель- 40, май - 49, июнь -22 , июль -28 (ВСЕГО- 231).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t>
        </r>
        <r>
          <rPr>
            <u/>
            <sz val="8"/>
            <rFont val="Times New Roman"/>
            <family val="1"/>
            <charset val="204"/>
          </rPr>
          <t xml:space="preserve">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t>
        </r>
        <r>
          <rPr>
            <sz val="8"/>
            <rFont val="Times New Roman"/>
            <family val="1"/>
            <charset val="204"/>
          </rPr>
          <t xml:space="preserve">- 02.03.2024 на базе ресурсного центра прошел мастер-класс в рамках проекта Гранта Губернатора Югры «Этно-мастерская для молодежи «Юх».                                        </t>
        </r>
        <r>
          <rPr>
            <u/>
            <sz val="8"/>
            <rFont val="Times New Roman"/>
            <family val="1"/>
            <charset val="204"/>
          </rPr>
          <t xml:space="preserve">                                                   </t>
        </r>
        <r>
          <rPr>
            <sz val="8"/>
            <rFont val="Times New Roman"/>
            <family val="1"/>
            <charset val="204"/>
          </rPr>
          <t xml:space="preserve">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-22-28.06.2024 специалист РЦ Беседин С.Н. приял участие в Форуме уральской молодежи «Утро»;
- 07.07.2024 специалисты РЦ приняли участие в мероприятии «Иван Купала» с мастер-классом по изготовлению славянских оберегов,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t>
        </r>
      </is>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30"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-37 , март-30, апрель- 40, май - 49, июнь -22 , июль -28 (ВСЕГО- 231).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t>
        </r>
        <r>
          <rPr>
            <u/>
            <sz val="8"/>
            <rFont val="Times New Roman"/>
            <family val="1"/>
            <charset val="204"/>
          </rPr>
          <t xml:space="preserve">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t>
        </r>
        <r>
          <rPr>
            <sz val="8"/>
            <rFont val="Times New Roman"/>
            <family val="1"/>
            <charset val="204"/>
          </rPr>
          <t xml:space="preserve">- 02.03.2024 на базе ресурсного центра прошел мастер-класс в рамках проекта Гранта Губернатора Югры «Этно-мастерская для молодежи «Юх».                                        </t>
        </r>
        <r>
          <rPr>
            <u/>
            <sz val="8"/>
            <rFont val="Times New Roman"/>
            <family val="1"/>
            <charset val="204"/>
          </rPr>
          <t xml:space="preserve">                                                   </t>
        </r>
        <r>
          <rPr>
            <sz val="8"/>
            <rFont val="Times New Roman"/>
            <family val="1"/>
            <charset val="204"/>
          </rPr>
          <t xml:space="preserve">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-22-28.06.2024 специалист РЦ Беседин С.Н. приял участие в Форуме уральской молодежи «Утро»;
- 07.07.2024 специалисты РЦ приняли участие в мероприятии «Иван Купала» с мастер-классом по изготовлению славянских оберегов,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приняли участие в вебинаре «Правовой команды» на тему «Изменение состава учредителей НКО: новое в процедуре регистрации в 2024 году»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-37 , март-30, апрель- 40, май - 49, июнь -22 , июль -28 (ВСЕГО- 231).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t>
        </r>
        <r>
          <rPr>
            <u/>
            <sz val="8"/>
            <rFont val="Times New Roman"/>
            <family val="1"/>
            <charset val="204"/>
          </rPr>
          <t xml:space="preserve">  Проведены мероприятия в рамках проекта "Школа актива НКО ":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t>
        </r>
        <r>
          <rPr>
            <sz val="8"/>
            <rFont val="Times New Roman"/>
            <family val="1"/>
            <charset val="204"/>
          </rPr>
          <t xml:space="preserve">- 02.03.2024 на базе ресурсного центра прошел мастер-класс в рамках проекта Гранта Губернатора Югры «Этно-мастерская для молодежи «Юх».                                        </t>
        </r>
        <r>
          <rPr>
            <u/>
            <sz val="8"/>
            <rFont val="Times New Roman"/>
            <family val="1"/>
            <charset val="204"/>
          </rPr>
          <t xml:space="preserve">                                                   </t>
        </r>
        <r>
          <rPr>
            <sz val="8"/>
            <rFont val="Times New Roman"/>
            <family val="1"/>
            <charset val="204"/>
          </rPr>
          <t xml:space="preserve">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-22-28.06.2024 специалист РЦ Беседин С.Н. приял участие в Форуме уральской молодежи «Утро»;
- 07.07.2024 специалисты РЦ приняли участие в мероприятии «Иван Купала» с мастер-классом по изготовлению славянских оберегов,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t>
        </r>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36" sId="3">
    <oc r="S11">
      <f>S12</f>
    </oc>
    <nc r="S11">
      <f>S12</f>
    </nc>
  </rcc>
  <rcc rId="14837" sId="3">
    <oc r="T11">
      <f>T12</f>
    </oc>
    <nc r="T11">
      <f>T12</f>
    </nc>
  </rcc>
  <rcc rId="14838" sId="3">
    <oc r="U11">
      <f>U12</f>
    </oc>
    <nc r="U11">
      <f>U12</f>
    </nc>
  </rcc>
  <rcc rId="14839" sId="3">
    <nc r="U12">
      <f>U14</f>
    </nc>
  </rcc>
  <rcc rId="14840" sId="3">
    <nc r="W12">
      <f>W14</f>
    </nc>
  </rcc>
  <rcc rId="14841" sId="3">
    <nc r="Y12">
      <f>Y14</f>
    </nc>
  </rcc>
  <rcc rId="14842" sId="3">
    <nc r="AA12">
      <f>AA14</f>
    </nc>
  </rcc>
  <rcc rId="14843" sId="3">
    <nc r="AC12">
      <f>AC14</f>
    </nc>
  </rcc>
  <rcc rId="14844" sId="3">
    <nc r="AE12">
      <f>AE14</f>
    </nc>
  </rcc>
  <rcc rId="14845" sId="3">
    <oc r="U23">
      <f>U24</f>
    </oc>
    <nc r="U23">
      <f>U24</f>
    </nc>
  </rcc>
  <rcc rId="14846" sId="3">
    <oc r="B40">
      <f>B36</f>
    </oc>
    <nc r="B40">
      <f>B36</f>
    </nc>
  </rcc>
  <rcc rId="14847" sId="3">
    <oc r="B39">
      <f>B35</f>
    </oc>
    <nc r="B39">
      <f>B35</f>
    </nc>
  </rcc>
  <rcc rId="14848" sId="3">
    <oc r="C24">
      <f>H24+J24+L24+N24+P24</f>
    </oc>
    <nc r="C24">
      <f>H24+J24+L24+N24+P24+R24+T24</f>
    </nc>
  </rcc>
  <rcc rId="14849" sId="3">
    <oc r="D31">
      <f>D27</f>
    </oc>
    <nc r="D31">
      <f>D27</f>
    </nc>
  </rcc>
  <rcc rId="14850" sId="3">
    <oc r="D32">
      <f>D28</f>
    </oc>
    <nc r="D32">
      <f>D28</f>
    </nc>
  </rcc>
  <rcc rId="14851" sId="3">
    <oc r="E31">
      <f>E27</f>
    </oc>
    <nc r="E31">
      <f>E27</f>
    </nc>
  </rcc>
  <rcc rId="14852" sId="3">
    <oc r="S27">
      <f>S12</f>
    </oc>
    <nc r="S27">
      <f>S12</f>
    </nc>
  </rcc>
  <rcc rId="14853" sId="3">
    <nc r="N12">
      <f>N14</f>
    </nc>
  </rcc>
  <rcc rId="14854" sId="3">
    <nc r="L12">
      <f>L14</f>
    </nc>
  </rcc>
  <rcc rId="14855" sId="3">
    <nc r="J12">
      <f>J14</f>
    </nc>
  </rcc>
  <rcc rId="14856" sId="3">
    <nc r="H12">
      <f>H14</f>
    </nc>
  </rcc>
  <rcc rId="14857" sId="3">
    <nc r="P12">
      <f>P14</f>
    </nc>
  </rcc>
  <rcc rId="14858" sId="3">
    <oc r="N40">
      <f>N36</f>
    </oc>
    <nc r="N40">
      <f>N36</f>
    </nc>
  </rcc>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2" sId="2" numFmtId="34">
    <nc r="D23">
      <v>2450</v>
    </nc>
  </rcc>
  <rcc rId="10043" sId="2" numFmtId="34">
    <oc r="D27">
      <v>600</v>
    </oc>
    <nc r="D27">
      <v>800</v>
    </nc>
  </rcc>
  <rcc rId="10044" sId="2" numFmtId="34">
    <oc r="D48">
      <v>1147.90652</v>
    </oc>
    <nc r="D48">
      <v>1924.4999700000001</v>
    </nc>
  </rcc>
  <rcc rId="10045" sId="2" numFmtId="34">
    <nc r="Q48">
      <v>488.02</v>
    </nc>
  </rcc>
  <rcc rId="10046" sId="2" numFmtId="34">
    <nc r="S48">
      <v>288.58</v>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7" sId="2" numFmtId="34">
    <oc r="P48">
      <v>294.02600000000001</v>
    </oc>
    <nc r="P48">
      <v>304.93</v>
    </nc>
  </rcc>
  <rcc rId="10048" sId="2" numFmtId="34">
    <oc r="R48">
      <v>252.583</v>
    </oc>
    <nc r="R48">
      <v>255.97</v>
    </nc>
  </rcc>
  <rcc rId="10049" sId="2" numFmtId="34">
    <oc r="T48">
      <v>390.779</v>
    </oc>
    <nc r="T48">
      <v>387.39</v>
    </nc>
  </rcc>
  <rcc rId="10050" sId="2" numFmtId="34">
    <oc r="Z48">
      <v>391.27800000000002</v>
    </oc>
    <nc r="Z48">
      <v>380.38</v>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3"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- 07.07.2024 специалисты РЦ приняли участие в мероприятии «Иван Купала» с мастер-классом по изготовлению славянских оьерегов,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С
- 30.07.2024 специалисты РЦ организовали и провели  второй окружной форум "Гармонизация межнациональных отношений в ХМАО-Югре. Организация мероприятий в сфере адаптации иностранных граждан, профилактики конфликтов и экстремизма" в рамках проекта "Ресурсный центр по адаптации и интеграции мигрантов, гармонизации межнациональных отношений в Югре" - победителя Гранта Губернатора.На форуме присутствовали представители муниципалитетов Югры и органов местного самоуправления города Когалыма.   
</t>
        </r>
      </is>
    </nc>
  </rcc>
  <rcc rId="10084" sId="11">
    <oc r="C27">
      <f>H27+J27+L27+N27</f>
    </oc>
    <nc r="C27">
      <f>H27+J27+L27+N27+P27+R27+T27</f>
    </nc>
  </rcc>
  <rcc rId="10085" sId="11" numFmtId="4">
    <nc r="R25">
      <v>0</v>
    </nc>
  </rcc>
  <rcc rId="10086" sId="11" numFmtId="4">
    <nc r="S25">
      <v>0</v>
    </nc>
  </rcc>
  <rcc rId="10087" sId="11" numFmtId="4">
    <nc r="T25">
      <v>0</v>
    </nc>
  </rcc>
  <rcc rId="10088" sId="11" numFmtId="4">
    <nc r="R26">
      <v>0</v>
    </nc>
  </rcc>
  <rcc rId="10089" sId="11" numFmtId="4">
    <nc r="S26">
      <v>0</v>
    </nc>
  </rcc>
  <rcc rId="10090" sId="11" numFmtId="4">
    <nc r="T26">
      <v>0</v>
    </nc>
  </rcc>
  <rcc rId="10091" sId="11" numFmtId="4">
    <nc r="R27">
      <v>0</v>
    </nc>
  </rcc>
  <rcc rId="10092" sId="11" numFmtId="4">
    <nc r="S27">
      <v>0</v>
    </nc>
  </rcc>
  <rcc rId="10093" sId="11" numFmtId="4">
    <nc r="T27">
      <v>0</v>
    </nc>
  </rcc>
  <rcc rId="10094" sId="11" numFmtId="4">
    <nc r="R28">
      <v>0</v>
    </nc>
  </rcc>
  <rcc rId="10095" sId="11" numFmtId="4">
    <nc r="S28">
      <v>0</v>
    </nc>
  </rcc>
  <rcc rId="10096" sId="11" numFmtId="4">
    <nc r="T28">
      <v>0</v>
    </nc>
  </rcc>
  <rcc rId="10097" sId="11" numFmtId="4">
    <nc r="S24">
      <v>0</v>
    </nc>
  </rcc>
  <rcc rId="10098" sId="11" numFmtId="4">
    <nc r="U24">
      <v>0</v>
    </nc>
  </rcc>
  <rcc rId="10099" sId="11" numFmtId="4">
    <nc r="U25">
      <v>0</v>
    </nc>
  </rcc>
  <rcc rId="10100" sId="11" numFmtId="4">
    <nc r="U26">
      <v>0</v>
    </nc>
  </rcc>
  <rcc rId="10101" sId="11" numFmtId="4">
    <nc r="U27">
      <v>0</v>
    </nc>
  </rcc>
  <rcc rId="10102" sId="11" numFmtId="4">
    <nc r="U28">
      <v>0</v>
    </nc>
  </rcc>
  <rcc rId="10103" sId="11" numFmtId="4">
    <nc r="U18">
      <v>0</v>
    </nc>
  </rcc>
  <rcc rId="10104" sId="11" numFmtId="4">
    <nc r="U19">
      <v>0</v>
    </nc>
  </rcc>
  <rcc rId="10105" sId="11" numFmtId="4">
    <nc r="U20">
      <v>0</v>
    </nc>
  </rcc>
  <rcc rId="10106" sId="11" numFmtId="4">
    <nc r="U21">
      <v>0</v>
    </nc>
  </rcc>
  <rcc rId="10107" sId="11" numFmtId="4">
    <nc r="U22">
      <v>0</v>
    </nc>
  </rcc>
  <rcc rId="10108" sId="11" numFmtId="4">
    <nc r="U11">
      <v>0</v>
    </nc>
  </rcc>
  <rcc rId="10109" sId="11" numFmtId="4">
    <nc r="U12">
      <v>0</v>
    </nc>
  </rcc>
  <rcc rId="10110" sId="11">
    <oc r="C46">
      <f>H46+J46+L46+N46+P46+R46</f>
    </oc>
    <nc r="C46">
      <f>H46+J46+L46+N46+P46+R46+T46</f>
    </nc>
  </rcc>
  <rcc rId="10111" sId="11">
    <oc r="C55">
      <f>H55+J55+L55+N55+P55+R55</f>
    </oc>
    <nc r="C55">
      <f>H55+J55+L55+N55+P55+R55+T55</f>
    </nc>
  </rcc>
  <rcc rId="10112" sId="11">
    <oc r="C61">
      <f>H61+J61+L61+N61+P61+R61</f>
    </oc>
    <nc r="C61">
      <f>H61+J61+L61+N61+P61+R61+T61</f>
    </nc>
  </rcc>
  <rcc rId="10113" sId="11">
    <oc r="C69">
      <f>H69+J69+L69+N69+P69+R69</f>
    </oc>
    <nc r="C69">
      <f>H69+J69+L69+N69+P69+R69+T69</f>
    </nc>
  </rcc>
  <rcc rId="10114" sId="11">
    <oc r="C76">
      <f>H76+J76+L76+N76+P76+R76</f>
    </oc>
    <nc r="C76">
      <f>H76+J76+L76+N76+P76+R76+T76</f>
    </nc>
  </rcc>
  <rcc rId="10115" sId="11">
    <oc r="C83">
      <f>H83+J83+L83+N83+P83+R83</f>
    </oc>
    <nc r="C83">
      <f>H83+J83+L83+N83+P83+R83+T83</f>
    </nc>
  </rcc>
  <rcc rId="10116" sId="11">
    <oc r="C90">
      <f>H90+J90+L90+N90+P90+R90</f>
    </oc>
    <nc r="C90">
      <f>H90+J90+L90+N90+P90+R90+T90</f>
    </nc>
  </rcc>
  <rcc rId="10117" sId="11" numFmtId="4">
    <oc r="P75">
      <v>0</v>
    </oc>
    <nc r="P75">
      <v>76</v>
    </nc>
  </rcc>
  <rcc rId="10118" sId="11" numFmtId="4">
    <oc r="Q75">
      <v>0</v>
    </oc>
    <nc r="Q75">
      <v>76</v>
    </nc>
  </rcc>
  <rcc rId="10119" sId="11" numFmtId="4">
    <oc r="P77">
      <v>75.997</v>
    </oc>
    <nc r="P77"/>
  </rcc>
  <rcc rId="10120" sId="11" numFmtId="4">
    <oc r="Q77">
      <v>76</v>
    </oc>
    <nc r="Q77"/>
  </rcc>
  <rcc rId="10121" sId="11">
    <oc r="C75">
      <f>H75+J75</f>
    </oc>
    <nc r="C75">
      <f>P75</f>
    </nc>
  </rcc>
  <rcc rId="10122" sId="11" numFmtId="4">
    <oc r="E75">
      <v>0</v>
    </oc>
    <nc r="E75">
      <f>Q75</f>
    </nc>
  </rcc>
  <rcc rId="10123" sId="11" numFmtId="4">
    <oc r="F75">
      <v>0</v>
    </oc>
    <nc r="F75">
      <v>100</v>
    </nc>
  </rcc>
  <rcc rId="10124" sId="11" numFmtId="4">
    <oc r="G75">
      <v>0</v>
    </oc>
    <nc r="G75">
      <v>100</v>
    </nc>
  </rcc>
  <rrc rId="10125" sId="11" ref="A77:XFD77" action="deleteRow">
    <rfmt sheetId="11" xfDxf="1" sqref="A77:XFD77" start="0" length="0">
      <dxf>
        <font>
          <color auto="1"/>
        </font>
      </dxf>
    </rfmt>
    <rcc rId="0" sId="11" s="1" dxf="1">
      <nc r="A77" t="inlineStr">
        <is>
          <t xml:space="preserve">межбюджетные трансферты  за счет бюджетных ассигнований  резервного фонда  Правительства ХМАО-Югры </t>
        </is>
      </nc>
      <ndxf>
        <font>
          <sz val="13"/>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1" s="1" dxf="1">
      <nc r="B77">
        <f>P77</f>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c r="C77">
        <f>P77</f>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c r="D77">
        <f>E77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ndxf>
    </rcc>
    <rcc rId="0" sId="11" s="1" dxf="1">
      <nc r="E77">
        <f>Q77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protection hidden="1"/>
      </ndxf>
    </rcc>
    <rcc rId="0" sId="11" s="1" dxf="1" numFmtId="4">
      <nc r="F77">
        <v>100</v>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umFmtId="4">
      <nc r="G77">
        <v>100</v>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1" s="1" sqref="H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I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J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K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L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M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N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O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P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Q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R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S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T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U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V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W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X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Y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Z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A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B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C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D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E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F77" start="0" length="0">
      <dxf>
        <font>
          <b/>
          <sz val="9"/>
          <color auto="1"/>
          <name val="Times New Roman"/>
          <scheme val="none"/>
        </font>
        <alignment vertical="center" wrapText="1" readingOrder="0"/>
        <border outline="0">
          <left style="thin">
            <color indexed="64"/>
          </left>
          <right style="thin">
            <color indexed="64"/>
          </right>
          <top style="thin">
            <color indexed="64"/>
          </top>
          <bottom style="thin">
            <color indexed="64"/>
          </bottom>
        </border>
      </dxf>
    </rfmt>
    <rfmt sheetId="11" sqref="AG77" start="0" length="0">
      <dxf>
        <font>
          <sz val="14"/>
          <color auto="1"/>
          <name val="Times New Roman"/>
          <scheme val="none"/>
        </font>
        <numFmt numFmtId="4" formatCode="#,##0.00"/>
      </dxf>
    </rfmt>
    <rfmt sheetId="11" sqref="AH77" start="0" length="0">
      <dxf>
        <numFmt numFmtId="4" formatCode="#,##0.00"/>
      </dxf>
    </rfmt>
  </rrc>
  <rrc rId="10126" sId="11" ref="A77:XFD77" action="deleteRow">
    <undo index="3" exp="ref" v="1" dr="P77" r="P103" sId="11"/>
    <undo index="1" exp="ref" v="1" dr="P77" r="Q73" sId="11"/>
    <undo index="1" exp="ref" v="1" dr="P77" r="P73" sId="11"/>
    <undo index="5" exp="ref" v="1" dr="E77" r="E73" sId="11"/>
    <undo index="5" exp="ref" v="1" dr="D77" r="D73" sId="11"/>
    <undo index="5" exp="ref" v="1" dr="C77" r="C73" sId="11"/>
    <undo index="5" exp="ref" v="1" dr="B77" r="B73" sId="11"/>
    <undo index="0" exp="ref" v="1" dr="Q77" r="Q70" sId="11"/>
    <undo index="0" exp="ref" v="1" dr="P77" r="P70" sId="11"/>
    <undo index="0" exp="ref" v="1" dr="E77" r="E70" sId="11"/>
    <undo index="0" exp="ref" v="1" dr="D77" r="D70" sId="11"/>
    <undo index="0" exp="ref" v="1" dr="C77" r="C70" sId="11"/>
    <undo index="0" exp="ref" v="1" dr="B77" r="B70" sId="11"/>
    <rfmt sheetId="11" xfDxf="1" sqref="A77:XFD77" start="0" length="0">
      <dxf>
        <font>
          <color auto="1"/>
        </font>
      </dxf>
    </rfmt>
    <rcc rId="0" sId="11" s="1" dxf="1">
      <nc r="A77" t="inlineStr">
        <is>
          <t xml:space="preserve">межбюджетные трансферты  за счет бюджетных ассигнований  резервного фонда  Правительства ХМАО-Югры </t>
        </is>
      </nc>
      <ndxf>
        <font>
          <sz val="13"/>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1" s="1" dxf="1">
      <nc r="B77">
        <f>P77</f>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c r="C77">
        <f>P77</f>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c r="D77">
        <f>E77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ndxf>
    </rcc>
    <rcc rId="0" sId="11" s="1" dxf="1">
      <nc r="E77">
        <f>Q77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protection hidden="1"/>
      </ndxf>
    </rcc>
    <rcc rId="0" sId="11" s="1" dxf="1" numFmtId="4">
      <nc r="F77">
        <v>100</v>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umFmtId="4">
      <nc r="G77">
        <v>100</v>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fmt sheetId="11" s="1" sqref="H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I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J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K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L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M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N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O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P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Q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R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S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T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U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V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W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X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Y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Z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A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B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C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D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E77"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F77" start="0" length="0">
      <dxf>
        <font>
          <b/>
          <sz val="9"/>
          <color auto="1"/>
          <name val="Times New Roman"/>
          <scheme val="none"/>
        </font>
        <alignment vertical="center" wrapText="1" readingOrder="0"/>
        <border outline="0">
          <left style="thin">
            <color indexed="64"/>
          </left>
          <right style="thin">
            <color indexed="64"/>
          </right>
          <top style="thin">
            <color indexed="64"/>
          </top>
          <bottom style="thin">
            <color indexed="64"/>
          </bottom>
        </border>
      </dxf>
    </rfmt>
    <rfmt sheetId="11" sqref="AG77" start="0" length="0">
      <dxf>
        <font>
          <sz val="14"/>
          <color auto="1"/>
          <name val="Times New Roman"/>
          <scheme val="none"/>
        </font>
        <numFmt numFmtId="4" formatCode="#,##0.00"/>
      </dxf>
    </rfmt>
    <rfmt sheetId="11" sqref="AH77" start="0" length="0">
      <dxf>
        <numFmt numFmtId="4" formatCode="#,##0.00"/>
      </dxf>
    </rfmt>
  </rrc>
  <rcc rId="10127" sId="11">
    <oc r="B73">
      <f>B74+B75+B76+#REF!+B77</f>
    </oc>
    <nc r="B73">
      <f>B74+B75+B76+B77</f>
    </nc>
  </rcc>
  <rcc rId="10128" sId="11">
    <oc r="C73">
      <f>C74+C75+C76+#REF!+C77</f>
    </oc>
    <nc r="C73">
      <f>C74+C75+C76+C77</f>
    </nc>
  </rcc>
  <rcc rId="10129" sId="11">
    <oc r="D73">
      <f>D74+D75+D76+#REF!+D77</f>
    </oc>
    <nc r="D73">
      <f>D74+D75+D76+D77</f>
    </nc>
  </rcc>
  <rcc rId="10130" sId="11">
    <oc r="E73">
      <f>E74+E75+E76+#REF!+E77</f>
    </oc>
    <nc r="E73">
      <f>E74+E75+E76+E77</f>
    </nc>
  </rcc>
  <rcc rId="10131" sId="11">
    <oc r="P73">
      <f>P76+#REF!</f>
    </oc>
    <nc r="P73">
      <f>P74+P75+P76+P77</f>
    </nc>
  </rcc>
  <rcc rId="10132" sId="11">
    <oc r="Q73">
      <f>Q76+#REF!</f>
    </oc>
    <nc r="Q73">
      <f>Q74+Q75+Q76+Q77</f>
    </nc>
  </rcc>
  <rrc rId="10133" sId="11" ref="A70:XFD70" action="deleteRow">
    <undo index="0" exp="ref" v="1" dr="F70" r="F102" sId="11"/>
    <undo index="9" exp="ref" v="1" dr="D70" r="D101" sId="11"/>
    <undo index="0" exp="ref" v="1" dr="Q70" r="Q96" sId="11"/>
    <undo index="0" exp="ref" v="1" dr="P70" r="P96" sId="11"/>
    <undo index="0" exp="ref" v="1" dr="E70" r="E96" sId="11"/>
    <undo index="0" exp="ref" v="1" dr="D70" r="D96" sId="11"/>
    <undo index="0" exp="ref" v="1" dr="C70" r="C96" sId="11"/>
    <undo index="0" exp="ref" v="1" dr="B70" r="B96" sId="11"/>
    <undo index="5" exp="ref" v="1" dr="Q70" r="Q66" sId="11"/>
    <undo index="5" exp="ref" v="1" dr="P70" r="P66" sId="11"/>
    <undo index="5" exp="ref" v="1" dr="C70" r="C66" sId="11"/>
    <rfmt sheetId="11" xfDxf="1" sqref="A70:XFD70" start="0" length="0">
      <dxf>
        <font>
          <color auto="1"/>
        </font>
      </dxf>
    </rfmt>
    <rcc rId="0" sId="11" s="1" dxf="1">
      <nc r="A70" t="inlineStr">
        <is>
          <t>межбюджетные трансферты  за счет бюджетных ассигнований  резервного фонда  Правительства ХМАО-Югры</t>
        </is>
      </nc>
      <ndxf>
        <font>
          <sz val="13"/>
          <color auto="1"/>
          <name val="Times New Roman"/>
          <scheme val="none"/>
        </font>
        <fill>
          <patternFill patternType="solid">
            <bgColor theme="7" tint="0.79998168889431442"/>
          </patternFill>
        </fill>
        <alignment horizontal="left" vertical="center" wrapText="1" readingOrder="0"/>
        <border outline="0">
          <left style="thin">
            <color indexed="64"/>
          </left>
          <right style="thin">
            <color indexed="64"/>
          </right>
          <top style="thin">
            <color indexed="64"/>
          </top>
          <bottom style="thin">
            <color indexed="64"/>
          </bottom>
        </border>
      </ndxf>
    </rcc>
    <rcc rId="0" sId="11" s="1" dxf="1">
      <nc r="B70">
        <f>#REF!+B83+B90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C70">
        <f>#REF!+C83+C90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D70">
        <f>#REF!+D83+D90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top style="thin">
            <color indexed="64"/>
          </top>
          <bottom style="thin">
            <color indexed="64"/>
          </bottom>
        </border>
      </ndxf>
    </rcc>
    <rcc rId="0" sId="11" s="1" dxf="1">
      <nc r="E70">
        <f>#REF!+E83+E90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top style="thin">
            <color indexed="64"/>
          </top>
          <bottom style="thin">
            <color indexed="64"/>
          </bottom>
        </border>
        <protection hidden="1"/>
      </ndxf>
    </rcc>
    <rcc rId="0" sId="11" s="1" dxf="1">
      <nc r="F70">
        <f>G70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G70">
        <f>Q70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fmt sheetId="11" s="1" sqref="H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I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J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K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L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M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N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O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cc rId="0" sId="11" s="1" dxf="1">
      <nc r="P70">
        <f>#REF!+P83+P90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Q70">
        <f>#REF!+Q83+Q90</f>
      </nc>
      <n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fmt sheetId="11" s="1" sqref="R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S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T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U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V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W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X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Y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Z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A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B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C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D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E70" start="0" length="0">
      <dxf>
        <font>
          <sz val="14"/>
          <color auto="1"/>
          <name val="Times New Roman"/>
          <scheme val="none"/>
        </font>
        <numFmt numFmtId="4" formatCode="#,##0.00"/>
        <fill>
          <patternFill patternType="solid">
            <bgColor theme="7"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cc rId="0" sId="11" dxf="1">
      <nc r="AF70" t="inlineStr">
        <is>
          <t xml:space="preserve">В сответсвии с постановлением Администрации города Когалыма от 06.05.2024 №895 </t>
        </is>
      </nc>
      <ndxf>
        <font>
          <sz val="9"/>
          <color auto="1"/>
          <name val="Times New Roman"/>
          <scheme val="none"/>
        </font>
        <fill>
          <patternFill patternType="solid">
            <bgColor theme="7" tint="0.79998168889431442"/>
          </patternFill>
        </fill>
        <alignment vertical="center" wrapText="1" readingOrder="0"/>
        <border outline="0">
          <left style="thin">
            <color indexed="64"/>
          </left>
          <right style="thin">
            <color indexed="64"/>
          </right>
          <top style="thin">
            <color indexed="64"/>
          </top>
          <bottom style="thin">
            <color indexed="64"/>
          </bottom>
        </border>
      </ndxf>
    </rcc>
    <rfmt sheetId="11" sqref="AG70" start="0" length="0">
      <dxf>
        <font>
          <sz val="14"/>
          <color auto="1"/>
          <name val="Times New Roman"/>
          <scheme val="none"/>
        </font>
        <numFmt numFmtId="4" formatCode="#,##0.00"/>
      </dxf>
    </rfmt>
    <rfmt sheetId="11" sqref="AH70" start="0" length="0">
      <dxf>
        <numFmt numFmtId="4" formatCode="#,##0.00"/>
      </dxf>
    </rfmt>
  </rrc>
  <rfmt sheetId="11" sqref="S58" start="0" length="0">
    <dxf>
      <font>
        <b val="0"/>
        <sz val="14"/>
        <name val="Times New Roman"/>
        <scheme val="none"/>
      </font>
    </dxf>
  </rfmt>
  <rfmt sheetId="11" sqref="S59" start="0" length="0">
    <dxf>
      <font>
        <b val="0"/>
        <sz val="14"/>
        <name val="Times New Roman"/>
        <scheme val="none"/>
      </font>
    </dxf>
  </rfmt>
  <rfmt sheetId="11" sqref="S60" start="0" length="0">
    <dxf>
      <font>
        <b val="0"/>
        <sz val="14"/>
        <name val="Times New Roman"/>
        <scheme val="none"/>
      </font>
    </dxf>
  </rfmt>
  <rfmt sheetId="11" sqref="S61" start="0" length="0">
    <dxf>
      <font>
        <b val="0"/>
        <sz val="14"/>
        <name val="Times New Roman"/>
        <scheme val="none"/>
      </font>
    </dxf>
  </rfmt>
  <rfmt sheetId="11" sqref="S62" start="0" length="0">
    <dxf>
      <font>
        <b val="0"/>
        <sz val="14"/>
        <name val="Times New Roman"/>
        <scheme val="none"/>
      </font>
    </dxf>
  </rfmt>
  <rcc rId="10134" sId="11" odxf="1" dxf="1">
    <oc r="S58">
      <f>S61</f>
    </oc>
    <nc r="S58">
      <f>S61</f>
    </nc>
    <ndxf>
      <font>
        <b/>
        <sz val="14"/>
        <name val="Times New Roman"/>
        <scheme val="none"/>
      </font>
    </ndxf>
  </rcc>
  <rcc rId="10135" sId="11" numFmtId="4">
    <nc r="T73">
      <v>0</v>
    </nc>
  </rcc>
  <rcc rId="10136" sId="11" numFmtId="4">
    <nc r="T74">
      <v>0</v>
    </nc>
  </rcc>
  <rcc rId="10137" sId="11" numFmtId="4">
    <nc r="T76">
      <v>0</v>
    </nc>
  </rcc>
  <rcc rId="10138" sId="11" numFmtId="4">
    <nc r="U73">
      <v>0</v>
    </nc>
  </rcc>
  <rcc rId="10139" sId="11" numFmtId="4">
    <nc r="U74">
      <v>0</v>
    </nc>
  </rcc>
  <rcc rId="10140" sId="11" numFmtId="4">
    <oc r="P87">
      <v>0</v>
    </oc>
    <nc r="P87"/>
  </rcc>
  <rcc rId="10141" sId="11" numFmtId="4">
    <oc r="Q87">
      <v>0</v>
    </oc>
    <nc r="Q87"/>
  </rcc>
  <rm rId="10142" sheetId="11" source="P89:Q89" destination="P87:Q87" sourceSheetId="11">
    <undo index="3" exp="ref" v="1" dr="P87" r="P68" sId="11"/>
    <undo index="3" exp="ref" v="1" dr="Q87" r="Q68" sId="11"/>
    <undo index="7" exp="ref" v="1" dr="P87" r="B87" sId="11"/>
    <rfmt sheetId="11" s="1" sqref="P87"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Q87"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m>
  <rcc rId="10143" sId="11">
    <oc r="B87">
      <f>H87+J87+L87+N87+#REF!+R87+T87+V87+X87+Z87+AB87+AD87</f>
    </oc>
    <nc r="B87">
      <f>P87</f>
    </nc>
  </rcc>
  <rcc rId="10144" sId="11" numFmtId="4">
    <oc r="E87">
      <v>0</v>
    </oc>
    <nc r="E87">
      <f>Q87</f>
    </nc>
  </rcc>
  <rcc rId="10145" sId="11">
    <oc r="C87">
      <f>H87+J87</f>
    </oc>
    <nc r="C87">
      <f>P87</f>
    </nc>
  </rcc>
  <rm rId="10146" sheetId="11" source="F89:G89" destination="F87:G87" sourceSheetId="11">
    <undo index="1" exp="ref" v="1" dr="F87" r="F85" sId="11"/>
    <rcc rId="0" sId="11" s="1" dxf="1" numFmtId="4">
      <nc r="F87">
        <v>0</v>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cc rId="0" sId="11" s="1" dxf="1" numFmtId="4">
      <nc r="G87">
        <v>0</v>
      </nc>
      <n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ndxf>
    </rcc>
  </rm>
  <rrc rId="10147" sId="11" ref="A89:XFD89" action="deleteRow">
    <undo index="1" exp="ref" v="1" dr="S89" r="S85" sId="11"/>
    <undo index="5" exp="ref" v="1" dr="E89" r="E85" sId="11"/>
    <undo index="7" exp="ref" v="1" dr="D89" r="D85" sId="11"/>
    <undo index="5" exp="ref" v="1" dr="C89" r="C85" sId="11"/>
    <undo index="5" exp="ref" v="1" dr="B89" r="B85" sId="11"/>
    <rfmt sheetId="11" xfDxf="1" sqref="A89:XFD89" start="0" length="0">
      <dxf>
        <font>
          <color auto="1"/>
        </font>
      </dxf>
    </rfmt>
    <rcc rId="0" sId="11" s="1" dxf="1">
      <nc r="A89" t="inlineStr">
        <is>
          <t xml:space="preserve">межбюджетные трансферты  за счет бюджетных ассигнований  резервного фонда  Правительства ХМАО-Югры </t>
        </is>
      </nc>
      <ndxf>
        <font>
          <sz val="13"/>
          <color auto="1"/>
          <name val="Times New Roman"/>
          <scheme val="none"/>
        </font>
        <alignment horizontal="left" vertical="center" wrapText="1" readingOrder="0"/>
        <border outline="0">
          <left style="thin">
            <color indexed="64"/>
          </left>
          <right style="thin">
            <color indexed="64"/>
          </right>
          <top style="thin">
            <color indexed="64"/>
          </top>
          <bottom style="thin">
            <color indexed="64"/>
          </bottom>
        </border>
      </ndxf>
    </rcc>
    <rcc rId="0" sId="11" s="1" dxf="1">
      <nc r="B89">
        <f>P87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protection hidden="1"/>
      </ndxf>
    </rcc>
    <rcc rId="0" sId="11" s="1" dxf="1">
      <nc r="C89">
        <f>P87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protection hidden="1"/>
      </ndxf>
    </rcc>
    <rcc rId="0" sId="11" s="1" dxf="1">
      <nc r="D89">
        <f>E89</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ndxf>
    </rcc>
    <rcc rId="0" sId="11" s="1" dxf="1">
      <nc r="E89">
        <f>Q87</f>
      </nc>
      <ndxf>
        <font>
          <sz val="14"/>
          <color auto="1"/>
          <name val="Times New Roman"/>
          <scheme val="none"/>
        </font>
        <numFmt numFmtId="4" formatCode="#,##0.00"/>
        <alignment horizontal="center" vertical="center" wrapText="1" readingOrder="0"/>
        <border outline="0">
          <left style="thin">
            <color indexed="64"/>
          </left>
          <top style="thin">
            <color indexed="64"/>
          </top>
          <bottom style="thin">
            <color indexed="64"/>
          </bottom>
        </border>
        <protection hidden="1"/>
      </ndxf>
    </rcc>
    <rfmt sheetId="11" s="1" sqref="H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I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J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K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L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M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N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O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R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S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T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U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V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W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X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Y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Z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A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B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C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D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E89"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AF89" start="0" length="0">
      <dxf>
        <font>
          <sz val="11"/>
          <color auto="1"/>
          <name val="Times New Roman"/>
          <scheme val="none"/>
        </font>
        <alignment vertical="center" wrapText="1" readingOrder="0"/>
        <border outline="0">
          <left style="thin">
            <color indexed="64"/>
          </left>
          <right style="thin">
            <color indexed="64"/>
          </right>
          <top style="thin">
            <color indexed="64"/>
          </top>
          <bottom style="thin">
            <color indexed="64"/>
          </bottom>
        </border>
      </dxf>
    </rfmt>
    <rfmt sheetId="11" sqref="AG89" start="0" length="0">
      <dxf>
        <font>
          <sz val="14"/>
          <color auto="1"/>
          <name val="Times New Roman"/>
          <scheme val="none"/>
        </font>
        <numFmt numFmtId="4" formatCode="#,##0.00"/>
      </dxf>
    </rfmt>
    <rfmt sheetId="11" sqref="AH89" start="0" length="0">
      <dxf>
        <numFmt numFmtId="4" formatCode="#,##0.00"/>
      </dxf>
    </rfmt>
  </rrc>
  <rcc rId="10148" sId="11">
    <oc r="B85">
      <f>B86+B87+B88+#REF!+B89</f>
    </oc>
    <nc r="B85">
      <f>B86+B87+B88+B89</f>
    </nc>
  </rcc>
  <rcc rId="10149" sId="11">
    <oc r="C85">
      <f>C86+C87+C88+#REF!+C89</f>
    </oc>
    <nc r="C85">
      <f>C86+C87+C88+C89</f>
    </nc>
  </rcc>
  <rcc rId="10150" sId="11">
    <oc r="D85">
      <f>D86+D87+D88+D89+#REF!</f>
    </oc>
    <nc r="D85">
      <f>D86+D87+D88+D89</f>
    </nc>
  </rcc>
  <rcc rId="10151" sId="11">
    <oc r="E85">
      <f>E86+E87+E88+#REF!+E89</f>
    </oc>
    <nc r="E85">
      <f>E86+E87+E88+E89</f>
    </nc>
  </rcc>
  <rcc rId="10152" sId="11">
    <oc r="F85">
      <f>F86+#REF!+F88+F89</f>
    </oc>
    <nc r="F85">
      <f>F86+F88+F89</f>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64" sId="11">
    <oc r="S85">
      <f>S88+#REF!</f>
    </oc>
    <nc r="S85">
      <f>S88</f>
    </nc>
  </rcc>
  <rrc rId="10165" sId="11" ref="A100:XFD100" action="deleteRow">
    <undo index="5" exp="ref" v="1" dr="B100" r="B96" sId="11"/>
    <rfmt sheetId="11" xfDxf="1" sqref="A100:XFD100" start="0" length="0">
      <dxf>
        <font>
          <b/>
          <color auto="1"/>
        </font>
      </dxf>
    </rfmt>
    <rcc rId="0" sId="11" dxf="1">
      <nc r="A100" t="inlineStr">
        <is>
          <t xml:space="preserve">межбюджетные трансферты  за счет бюджетных ассигнований  резервного фонда  Правительства ХМАО-Югры </t>
        </is>
      </nc>
      <ndxf>
        <font>
          <b val="0"/>
          <sz val="14"/>
          <color auto="1"/>
          <name val="Times New Roman"/>
          <scheme val="none"/>
        </font>
        <numFmt numFmtId="167" formatCode="#,##0.000\ _₽"/>
        <fill>
          <patternFill patternType="solid">
            <bgColor theme="9" tint="0.79998168889431442"/>
          </patternFill>
        </fill>
        <alignment horizontal="left" vertical="top" wrapText="1" readingOrder="0"/>
        <border outline="0">
          <left style="thin">
            <color indexed="64"/>
          </left>
          <right style="thin">
            <color indexed="64"/>
          </right>
          <top style="thin">
            <color indexed="64"/>
          </top>
          <bottom style="thin">
            <color indexed="64"/>
          </bottom>
        </border>
      </ndxf>
    </rcc>
    <rcc rId="0" sId="11" s="1" dxf="1">
      <nc r="B100">
        <f>B94</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C100">
        <f>C94</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D100">
        <f>D94</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E100">
        <f>F100</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F100">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fmt sheetId="11" s="1" sqref="G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H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I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J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K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L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M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N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O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cc rId="0" sId="11" s="1" dxf="1">
      <nc r="P100">
        <f>P82+P87+#REF!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Q100">
        <f>Q94</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fmt sheetId="11" s="1" sqref="R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S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T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U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V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W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X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Y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Z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A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B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C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D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E100"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F100" start="0" length="0">
      <dxf>
        <font>
          <sz val="9"/>
          <color auto="1"/>
          <name val="Times New Roman"/>
          <scheme val="none"/>
        </font>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qref="AG100" start="0" length="0">
      <dxf>
        <font>
          <b val="0"/>
          <sz val="14"/>
          <color auto="1"/>
          <name val="Times New Roman"/>
          <scheme val="none"/>
        </font>
        <numFmt numFmtId="4" formatCode="#,##0.00"/>
      </dxf>
    </rfmt>
    <rfmt sheetId="11" sqref="AH100" start="0" length="0">
      <dxf>
        <font>
          <b val="0"/>
          <color auto="1"/>
        </font>
        <numFmt numFmtId="4" formatCode="#,##0.00"/>
      </dxf>
    </rfmt>
  </rrc>
  <rrc rId="10166" sId="11" ref="A94:XFD94" action="deleteRow">
    <undo index="5" exp="ref" v="1" dr="C94" r="C90" sId="11"/>
    <undo index="5" exp="ref" v="1" dr="B94" r="B90" sId="11"/>
    <rfmt sheetId="11" xfDxf="1" sqref="A94:XFD94" start="0" length="0">
      <dxf>
        <font>
          <b/>
          <color auto="1"/>
        </font>
      </dxf>
    </rfmt>
    <rcc rId="0" sId="11" dxf="1">
      <nc r="A94" t="inlineStr">
        <is>
          <t xml:space="preserve">межбюджетные трансферты  за счет бюджетных ассигнований  резервного фонда  Правительства ХМАО-Югры </t>
        </is>
      </nc>
      <ndxf>
        <font>
          <b val="0"/>
          <sz val="14"/>
          <color auto="1"/>
          <name val="Times New Roman"/>
          <scheme val="none"/>
        </font>
        <numFmt numFmtId="167" formatCode="#,##0.000\ _₽"/>
        <fill>
          <patternFill patternType="solid">
            <bgColor theme="9" tint="0.79998168889431442"/>
          </patternFill>
        </fill>
        <alignment horizontal="left" vertical="top" wrapText="1" readingOrder="0"/>
        <border outline="0">
          <left style="thin">
            <color indexed="64"/>
          </left>
          <right style="thin">
            <color indexed="64"/>
          </right>
          <top style="thin">
            <color indexed="64"/>
          </top>
          <bottom style="thin">
            <color indexed="64"/>
          </bottom>
        </border>
      </ndxf>
    </rcc>
    <rcc rId="0" sId="11" s="1" dxf="1">
      <nc r="B94">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C94">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D94">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E94">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fmt sheetId="11" s="1" sqref="F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G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H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I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J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K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L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M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N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O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cc rId="0" sId="11" s="1" dxf="1">
      <nc r="P94">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cc rId="0" sId="11" s="1" dxf="1">
      <nc r="Q94">
        <f>#REF!</f>
      </nc>
      <n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ndxf>
    </rcc>
    <rfmt sheetId="11" s="1" sqref="R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S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T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U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V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W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X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Y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Z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A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B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C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D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E94" start="0" length="0">
      <dxf>
        <font>
          <sz val="14"/>
          <color auto="1"/>
          <name val="Times New Roman"/>
          <scheme val="none"/>
        </font>
        <numFmt numFmtId="4" formatCode="#,##0.00"/>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AF94" start="0" length="0">
      <dxf>
        <font>
          <sz val="9"/>
          <color auto="1"/>
          <name val="Times New Roman"/>
          <scheme val="none"/>
        </font>
        <fill>
          <patternFill patternType="solid">
            <bgColor theme="9" tint="0.79998168889431442"/>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qref="AG94" start="0" length="0">
      <dxf>
        <font>
          <b val="0"/>
          <sz val="14"/>
          <color auto="1"/>
          <name val="Times New Roman"/>
          <scheme val="none"/>
        </font>
        <numFmt numFmtId="4" formatCode="#,##0.00"/>
      </dxf>
    </rfmt>
    <rfmt sheetId="11" sqref="AH94" start="0" length="0">
      <dxf>
        <font>
          <b val="0"/>
          <color auto="1"/>
        </font>
        <numFmt numFmtId="4" formatCode="#,##0.00"/>
      </dxf>
    </rfmt>
  </rrc>
  <rcc rId="10167" sId="11">
    <oc r="B92">
      <f>B14+B34+B40+B48+B68</f>
    </oc>
    <nc r="B92">
      <f>T57=U61=B14+B34+B40+B48+B68</f>
    </nc>
  </rcc>
  <rcc rId="10168" sId="11" numFmtId="4">
    <nc r="U61">
      <v>1533.3</v>
    </nc>
  </rcc>
  <rcc rId="10169" sId="11" numFmtId="4">
    <nc r="T62">
      <v>0</v>
    </nc>
  </rcc>
  <rcc rId="10170" sId="11" numFmtId="4">
    <nc r="U62">
      <v>0</v>
    </nc>
  </rcc>
  <rcc rId="10171" sId="11" numFmtId="4">
    <nc r="T59">
      <v>0</v>
    </nc>
  </rcc>
  <rcc rId="10172" sId="11" numFmtId="4">
    <nc r="T60">
      <v>0</v>
    </nc>
  </rcc>
  <rcc rId="10173" sId="11" numFmtId="4">
    <nc r="U59">
      <v>0</v>
    </nc>
  </rcc>
  <rcc rId="10174" sId="11" numFmtId="4">
    <nc r="U60">
      <v>0</v>
    </nc>
  </rcc>
  <rcc rId="10175" sId="11">
    <nc r="U58">
      <f>U61</f>
    </nc>
  </rcc>
  <rcc rId="10176" sId="11">
    <oc r="E61">
      <f>I61+K61+M61+O61+Q61+S61</f>
    </oc>
    <nc r="E61">
      <f>I61+K61+M61+O61+Q61+S61+U61</f>
    </nc>
  </rcc>
  <rcc rId="10177" sId="11">
    <nc r="T57">
      <f>T58</f>
    </nc>
  </rcc>
  <rcc rId="10178" sId="11">
    <nc r="U57">
      <f>U58</f>
    </nc>
  </rcc>
  <rcc rId="10179" sId="11" numFmtId="4">
    <nc r="T53">
      <v>0</v>
    </nc>
  </rcc>
  <rcc rId="10180" sId="11" numFmtId="4">
    <nc r="U53">
      <v>0</v>
    </nc>
  </rcc>
  <rcc rId="10181" sId="11" numFmtId="4">
    <nc r="T54">
      <v>0</v>
    </nc>
  </rcc>
  <rcc rId="10182" sId="11" numFmtId="4">
    <nc r="U54">
      <v>0</v>
    </nc>
  </rcc>
  <rcc rId="10183" sId="11" numFmtId="4">
    <nc r="T56">
      <v>0</v>
    </nc>
  </rcc>
  <rcc rId="10184" sId="11" numFmtId="4">
    <nc r="U56">
      <v>0</v>
    </nc>
  </rcc>
  <rcc rId="10185" sId="11">
    <nc r="U52">
      <f>U55</f>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97" sId="11">
    <o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https://vk.com/wall-203821726_1601                                                                                                                                                                                                                                                                                                                     -22-28.06.2024 специалист РЦ Беседин С.Н. приял участие в Форуме уральской молодежи «Утро»: 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- 07.07.2024 специалисты РЦ приняли участие в мероприятии «Иван Купала» с мастер-классом по изготовлению славянских оьерегов,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С
- 30.07.2024 специалисты РЦ организовали и провели  второй окружной форум "Гармонизация межнациональных отношений в ХМАО-Югре. Организация мероприятий в сфере адаптации иностранных граждан, профилактики конфликтов и экстремизма" в рамках проекта "Ресурсный центр по адаптации и интеграции мигрантов, гармонизации межнациональных отношений в Югре" - победителя Гранта Губернатора.На форуме присутствовали представители муниципалитетов Югры и органов местного самоуправления города Когалыма.   
</t>
        </r>
      </is>
    </oc>
    <nc r="AF23" t="inlineStr">
      <is>
        <r>
          <t xml:space="preserve">          В целях финансового обеспечения затрат на выполнение функций ресурсного центра поддержки НКО в 2024 году из бюджета города Когалыма направлена субсидия  АНО «Ресурсный центр поддержки НКО города Когалыма» . В штате ресурсного центра 5 человек, из них : 2- основных сотрудника (директор и менеджер), 3 - внешних сотрудника – бухгалтер и два специалиста по развитию СО НКО. У трех членов команды опыт в сфере поддержки некоммерческих организаций более трех лет.
Ресурсный центр функционирует на базе "Дома Дружбы" (по адресу пр. Нефтяников 2а), который оснащен всей необходимой мебелью и офисной техникой для полноценной работы и оказания услуг. Предоставляются кабинеты, оборудована коворгинг-зона  для проведения мероприятий.
График работы и вся информация размещена на информационном стенде в здании РЦ и на сайте учреждения https://vk.link/rcnkokgl
            В ходе деятельности  ресурсного центра осуществляются: консультации для НКО по вопросам реализации проектов и участия в мероприятиях (всего по различным направлениям консультаций) запланировано -50 консультаций . Фактически показатели выполнены.Методическое сопровождение участия социально ориентированных некоммерческих организаций, их руководителей, организаторов в конкурсах.Поданы заявки на конкурс президентских грантов КГОО ТБНКО «НУР» и АНО «Ермак». Ожидаются результаты.  Были поданы заявки от АНО «РЦ НКО Когалыма», МОО «Совет Ветеранов» и КГОО ТБНКО «НУР». АНО «Ресурсный центр поддержки НКО» одержал победу в конкурсе для ресурсный центров Югры . Общая сумма проекта более 7 млн рублей. Ведется активное консультирование на конкурс Гранта Губерна-тора Югры.
- 18.01.2024 специалисты РЦ приня+AF23ли участие в вебинаре «Правовой команды» на тему «Изменение состава учредителей НКО: новое в процедуре регистрации в 2024 году» Ссылка на публикацию: https://vk.com/wall-203821726_1282;
- 27.01.2024 специалисты РЦ, совместно с ТГКОО «НУР» организовали и приняли участие в лектории «Информация в век информации: национальный аспект», который провел Ответственный секретарь комиссии по вопросам информационного сопровождения государственной национальной политики Совета при Президенте Российской Федерации по межнациональным отношениям А,Н. Худолеев: Ссылка на пресс-релиз: https://vk.com/wall-203821726_1294
-22.02.2024 Специалисты РЦ организовали и провели открытие Этно-мастерской для молодежи «ЮХ» в Доме Дружбы: Ссылка на пресс-релиз https://vk.com/wall-203821726_1340
-27.02.2024 на базе ресурсного центра прошел День открытых дверей в рамках всемирного дня НКО. Ссылка на пресс-релиз:https://vk.com/wall-203821726_1360
             </t>
        </r>
        <r>
          <rPr>
            <u/>
            <sz val="8"/>
            <rFont val="Times New Roman"/>
            <family val="1"/>
            <charset val="204"/>
          </rPr>
          <t>Реализация образовательного проекта "Школа  актива НКО":   - 30.0</t>
        </r>
        <r>
          <rPr>
            <sz val="8"/>
            <rFont val="Times New Roman"/>
            <family val="1"/>
            <charset val="204"/>
          </rPr>
          <t xml:space="preserve">1.2024  в рамках «Проектной мастерской» Фонда «Центр гражданских и социальных инициатив Югры» с участием спикеров Фонда Дмитириевой М.В. и Шипиловой В. : https://vk.com/wall-203821726_1296
             АНО Ресурсный центр поддержки НКО осуществляется медиа-продвижение социально ориентированных некоммерческих организаций, деятельности их руководителей и/или членов (участников), гражданских инициатив, социальных практик; создание инфоповодов; информирование социально ориентированных некоммерческих организаций (публикаций, сюжетов, интервью и др. Все ссылки на посты в социальных сетях ресурсного центра (https://vk.link/rcnkokgl /https://vk.com/public203821726) и на официальном сайте: https://рцнкокогалыма.рф/  
Всего в отчетном периоде была размещено публикаций на различных площадках: январь-25, февраль -27 , март-30, апрель- 40, май - 49, июнь -22 (ВСЕГО 1 полугодие-193). 
   За отчетный период  проведены консультации для НКО по вопросам реализации проектов и участия в мероприятиях (март:  15 по телефону, 14 – электронная почта  и мессенджеры). 
       Проведены мероприятия в рамках проекта "Школа актива НКО ":  30.01.2024 с привлечением специалистов  Фонда «Центр гражданских и социальных инициатив», 
07.03.2024 в формате офлайн по ФПГ, с привлечением эксперта А.А.Спасибина и 04.04.2024  по заявочной кампании конкурса Гранта Губернатора Югры, 13.05.2024 Специалисты РЦ провели Школу актива НКО по заявочным кампаниям на конкурсы Гранта Губернатора Югры и ПАО «Лукойл»:
- 02.03.2024 на базе ресурсного центра прошел мастер-класс в рамках проекта Гранта Губернатора Югры «Этно-мастерская для молодежи «Юх».                                                                                             - 06.03.2024 Специалисты РЦ ознакомились с памяткой Правовой команды на тему « Что нужно знать о последствиях признания контрагентов НКО иноагентами» .
- 15.03.2024 Специалисты РЦ приняли участие в консультации Правовой команды на тему: «Ввод и вывод учредителей НКО» : Ссылка на публикацию: https://vk.com/wall-203821726_1338                                                                                    -в  рамках рнализации социально значимого проекта «Правовой аудит в НКО Когалыма» 28.03.2024 Специалисты РЦ провели итоговое мероприятие «Единый день самопроверки НКО».Меропритятие прошло при участии  привлеченных спикеров А.А. Спасибина и AF23М.Н.Миронова.                                                                                                                     
         Поведен обучающий семинар на стартовавшие грантовые конкурсы 2024г – Президентский фонд культурных инициатив и Фонд Президентских грантов. Поданы заявки на ПФКИ КГОО ТБНКО «НУР» и АНО «Ермак». Результаты ожидаются. НА ФПГ были поданы заявки от АНО «РЦ НКО Когалыма», МОО «Совет Ветеранов» и КГОО ТБНКО «НУР». АНО «Ресурсный центр поддержки НКО» одержала победу в конкурсе для ресурсный центров Югры . Общая сумма проекта более 7 млн рублей.
-06.04.2024 Специалисты РЦ провели занятие в Этно-мастерской «ЮХ» . Ссылка на пресс-релиз: https://vk.com/wall-203821726_1455
-08.04.2024 Специалисты РЦ организовали встречу НКО города с Генеральным директором Фонда гражданских и социальных инициатив Югры Д.М. Сафиолиным : Ссылка на публикацию: https://vk.com/wall-203821726_1457, https://vk.com/wall-203821726_1461
-09.04.2024 Специалисты РЦ прослушали вебинар Центра гражданских и социальных инициатив Югры «отчетность  НКО в контролирующие органы» 
- 23-25.04.2024 состоялось участие  во «Всероссийском форуме национального единства» в составе делегации г.Когалыма.                                                                                                                                                                                                               04.05.2024 Специалисты РЦ провели занятие в этно-мастерской «ЮХ», были изготовлены  памятные сувениры к Дню Победы. Ребята приняли участие не только в мастер-классе, но и поучаствовали в патриотической беседе. 
05-08.05.2024 Менеджер РЦ приняла участие во Всероссийском форуме «Пик Возможностей» в Нижнем Новгороде в составе делегации ХМАО-Югры. 
 -16.05.2024 Специалисты РЦ ознакомились с материалом от Правовой команды «Чек-лист: 66 контрольных вопросов соблюдения НКО требований законодательства в сфере персональных данных»  
-02.06.2024 Специалисты РЦ приняли участие в Международном дне соседний, организованным ТОС Мечта. Провели выездной мастер-класс этно-мастерской «ЮХ» Ссылка на пресс-релиз: U56U56U56U56U56U56U56U56U56U56                                                                                                                                                                                                                                                                                                                                   -22-28.06.2024 специалист РЦ Беседин С.Н. приял участие в Форуме уральской молодежи «Утро»: 05.07.2024 Специалисты РЦ провели вебинар в рамках Школы актива НКО на тему «Работа с самозанятыми в НКО в 2024 году: требования законодательства, типовые нарушения и риски» с приглашенным спикером Мироновой М.Н. (юрист, директор ресурсного центра "Ориентир". )  
- 07.07.2024 специалисты РЦ приняли участие в мероприятии «Иван Купала» с мастер-классом по изготовлению славянских оьерегов, в рамках проекта «Этно-мастерская «ЮХ»
- 13.07.2024 специалисты РЦ прошли стажировку в Университете ТОС в г. Балашиха   
- 17.07.2024 специалист РЦ приняли участие в вебинаре «Центра гражданских и социальных инициатив Югры» на тему заполнения и подачи заявки на грантовый конкурс в сфере культуры.  
- 18.07.2024 специалисты РЦ прошли обучение  по инициативному бюджетированию и получили сертификаты от АУ «ЭКЦ «Открытый регион».  
- 24.07.2024 специалисты РЦ приняли участие в вебинаре "Успешный менеджер местного сообщества: встречаемся и обмениваемся опытом"от Курс ДПО ПК "Менеджер местного сообщества". С
- 30.07.2024 специалисты РЦ организовали и провели  второй окружной форум "Гармонизация межнациональных отношений в ХМАО-Югре. Организация мероприятий в сфере адаптации иностранных граждан, профилактики конфликтов и экстремизма" в рамках проекта "Ресурсный центр по адаптации и интеграции мигрантов, гармонизации межнациональных отношений в Югре" - победителя Гранта Губернатора.На форуме присутствовали представители муниципалитетов Югры и органов местного самоуправления города Когалыма.   
</t>
        </r>
      </is>
    </nc>
  </rcc>
  <rcc rId="10198" sId="11">
    <oc r="E55">
      <f>I55+K55+M55+O55+Q55+S55</f>
    </oc>
    <nc r="E55">
      <f>I55+K55+M55+O55+Q55+S55+U55</f>
    </nc>
  </rcc>
  <rcc rId="10199" sId="11" numFmtId="4">
    <nc r="U55">
      <v>82.66</v>
    </nc>
  </rcc>
  <rcc rId="10200" sId="11" numFmtId="4">
    <nc r="U75">
      <v>188.416</v>
    </nc>
  </rcc>
  <rcc rId="10201" sId="11" numFmtId="4">
    <nc r="U76">
      <v>0</v>
    </nc>
  </rcc>
  <rcc rId="10202" sId="11">
    <nc r="U71">
      <f>U72</f>
    </nc>
  </rcc>
  <rcc rId="10203" sId="11" numFmtId="4">
    <nc r="T79">
      <v>0</v>
    </nc>
  </rcc>
  <rcc rId="10204" sId="11" numFmtId="4">
    <nc r="T80">
      <v>0</v>
    </nc>
  </rcc>
  <rcc rId="10205" sId="11" numFmtId="4">
    <nc r="U81">
      <v>209.13900000000001</v>
    </nc>
  </rcc>
  <rcc rId="10206" sId="11" numFmtId="4">
    <nc r="U80">
      <v>0</v>
    </nc>
  </rcc>
  <rcc rId="10207" sId="11" numFmtId="4">
    <nc r="U79">
      <v>0</v>
    </nc>
  </rcc>
  <rcc rId="10208" sId="11" numFmtId="4">
    <oc r="P80">
      <v>0</v>
    </oc>
    <nc r="P80"/>
  </rcc>
  <rcc rId="10209" sId="11" numFmtId="4">
    <oc r="Q80">
      <v>0</v>
    </oc>
    <nc r="Q80"/>
  </rcc>
  <rm rId="10210" sheetId="11" source="P82:Q82" destination="P80:Q80" sourceSheetId="11">
    <undo index="1" exp="ref" v="1" dr="P80" r="P68" sId="11"/>
    <undo index="1" exp="ref" v="1" dr="Q80" r="Q68" sId="11"/>
    <undo index="7" exp="ref" v="1" dr="P80" r="B80" sId="11"/>
    <rfmt sheetId="11" s="1" sqref="P80"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Q80"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m>
  <rcc rId="10211" sId="11">
    <oc r="B80">
      <f>H80+J80+L80+N80+#REF!+R80+T80+V80+X80+Z80+AB80+AD80</f>
    </oc>
    <nc r="B80"/>
  </rcc>
  <rcc rId="10212" sId="11">
    <oc r="C80">
      <f>H80+J80</f>
    </oc>
    <nc r="C80"/>
  </rcc>
  <rcc rId="10213" sId="11">
    <oc r="D80">
      <f>E80</f>
    </oc>
    <nc r="D80"/>
  </rcc>
  <rcc rId="10214" sId="11" numFmtId="4">
    <oc r="E80">
      <v>0</v>
    </oc>
    <nc r="E80"/>
  </rcc>
  <rcc rId="10215" sId="11" numFmtId="4">
    <oc r="F80">
      <v>0</v>
    </oc>
    <nc r="F80"/>
  </rcc>
  <rcc rId="10216" sId="11" numFmtId="4">
    <oc r="G80">
      <v>0</v>
    </oc>
    <nc r="G80"/>
  </rcc>
  <rm rId="10217" sheetId="11" source="B82:G82" destination="B80:G80" sourceSheetId="11">
    <undo index="1" exp="ref" v="1" dr="F80" r="F78" sId="11"/>
    <undo index="1" exp="ref" v="1" dr="D80" r="D78" sId="11"/>
    <undo index="1" exp="ref" v="1" dr="B80" r="B78" sId="11"/>
    <undo index="1" exp="ref" v="1" dr="C80" r="C78" sId="11"/>
    <undo index="1" exp="ref" v="1" dr="E80" r="E78" sId="11"/>
    <rfmt sheetId="11" s="1" sqref="B80"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C80"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D80"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E80" start="0" length="0">
      <dxf>
        <font>
          <sz val="14"/>
          <color auto="1"/>
          <name val="Times New Roman"/>
          <scheme val="none"/>
        </font>
        <numFmt numFmtId="4"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11" s="1" sqref="F80"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fmt sheetId="11" s="1" sqref="G80" start="0" length="0">
      <dxf>
        <font>
          <sz val="14"/>
          <color auto="1"/>
          <name val="Times New Roman"/>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dxf>
    </rfmt>
  </rm>
  <rcc rId="10218" sId="11">
    <oc r="B78">
      <f>B79+#REF!+B81+B80+B83</f>
    </oc>
    <nc r="B78">
      <f>B79+B81+B80+B83</f>
    </nc>
  </rcc>
  <rcc rId="10219" sId="11">
    <oc r="C78">
      <f>C79+#REF!+C81+C80+C83</f>
    </oc>
    <nc r="C78">
      <f>C79+C81+C80+C83</f>
    </nc>
  </rcc>
  <rcc rId="10220" sId="11">
    <oc r="D78">
      <f>D79+#REF!+D81+D83</f>
    </oc>
    <nc r="D78">
      <f>D79+C78+D81+D83</f>
    </nc>
  </rcc>
  <rcc rId="10221" sId="11">
    <oc r="E78">
      <f>E79+#REF!+E81+E83</f>
    </oc>
    <nc r="E78">
      <f>E79+E81+E83</f>
    </nc>
  </rcc>
  <rcc rId="10222" sId="11">
    <oc r="F78">
      <f>F79+#REF!+F81+F83</f>
    </oc>
    <nc r="F78">
      <f>F79+F81+F83</f>
    </nc>
  </rcc>
  <rcc rId="10223" sId="11">
    <nc r="U78">
      <f>U81+U82</f>
    </nc>
  </rcc>
  <rcv guid="{4F41B9CC-959D-442C-80B0-1F0DB2C76D27}" action="delete"/>
  <rdn rId="0" localSheetId="2" customView="1" name="Z_4F41B9CC_959D_442C_80B0_1F0DB2C76D27_.wvu.Rows" hidden="1" oldHidden="1">
    <formula>'1.СЗН'!$69:$73</formula>
    <oldFormula>'1.СЗН'!$69:$73</oldFormula>
  </rdn>
  <rdn rId="0" localSheetId="2" customView="1" name="Z_4F41B9CC_959D_442C_80B0_1F0DB2C76D27_.wvu.FilterData" hidden="1" oldHidden="1">
    <formula>'1.СЗН'!$A$1:$AF$63</formula>
    <oldFormula>'1.СЗН'!$A$1:$AF$63</oldFormula>
  </rdn>
  <rdn rId="0" localSheetId="3" customView="1" name="Z_4F41B9CC_959D_442C_80B0_1F0DB2C76D27_.wvu.FilterData" hidden="1" oldHidden="1">
    <formula>'2.АПК'!$A$1:$AF$36</formula>
    <oldFormula>'2.АПК'!$A$1:$AF$36</oldFormula>
  </rdn>
  <rdn rId="0" localSheetId="4" customView="1" name="Z_4F41B9CC_959D_442C_80B0_1F0DB2C76D27_.wvu.FilterData" hidden="1" oldHidden="1">
    <formula>'3.БЖД'!$A$1:$AF$17</formula>
    <oldFormula>'3.БЖД'!$A$1:$AF$17</oldFormula>
  </rdn>
  <rdn rId="0" localSheetId="5" customView="1" name="Z_4F41B9CC_959D_442C_80B0_1F0DB2C76D27_.wvu.FilterData" hidden="1" oldHidden="1">
    <formula>'4.УМИ'!$A$1:$AF$11</formula>
    <oldFormula>'4.УМИ'!$A$1:$AF$11</oldFormula>
  </rdn>
  <rdn rId="0" localSheetId="6" customView="1" name="Z_4F41B9CC_959D_442C_80B0_1F0DB2C76D27_.wvu.FilterData" hidden="1" oldHidden="1">
    <formula>'5.Проф. прав.'!$A$1:$AF$12</formula>
    <oldFormula>'5.Проф. прав.'!$A$1:$AF$12</oldFormula>
  </rdn>
  <rdn rId="0" localSheetId="7" customView="1" name="Z_4F41B9CC_959D_442C_80B0_1F0DB2C76D27_.wvu.Rows" hidden="1" oldHidden="1">
    <formula>'6.Экстримизм'!$9:$23,'6.Экстримизм'!$30:$38,'6.Экстримизм'!$44:$49,'6.Экстримизм'!$65:$67,'6.Экстримизм'!$71:$76,'6.Экстримизм'!$86:$88,'6.Экстримизм'!$95:$97</formula>
    <oldFormula>'6.Экстримизм'!$9:$23,'6.Экстримизм'!$30:$38,'6.Экстримизм'!$44:$49,'6.Экстримизм'!$65:$67,'6.Экстримизм'!$71:$76,'6.Экстримизм'!$86:$88,'6.Экстримизм'!$95:$97</oldFormula>
  </rdn>
  <rdn rId="0" localSheetId="7" customView="1" name="Z_4F41B9CC_959D_442C_80B0_1F0DB2C76D27_.wvu.FilterData" hidden="1" oldHidden="1">
    <formula>'6.Экстримизм'!$A$1:$AF$11</formula>
    <oldFormula>'6.Экстримизм'!$A$1:$AF$11</oldFormula>
  </rdn>
  <rdn rId="0" localSheetId="14" customView="1" name="Z_4F41B9CC_959D_442C_80B0_1F0DB2C76D27_.wvu.FilterData" hidden="1" oldHidden="1">
    <formula>'11.МП РО'!$A$4:$A$380</formula>
    <oldFormula>'11.МП РО'!$A$4:$A$380</oldFormula>
  </rdn>
  <rdn rId="0" localSheetId="17" customView="1" name="Z_4F41B9CC_959D_442C_80B0_1F0DB2C76D27_.wvu.Rows" hidden="1" oldHidden="1">
    <formula>'13.МП РЖС'!$122:$127</formula>
    <oldFormula>'13.МП РЖС'!$122:$127</oldFormula>
  </rdn>
  <rdn rId="0" localSheetId="17" customView="1" name="Z_4F41B9CC_959D_442C_80B0_1F0DB2C76D27_.wvu.Cols" hidden="1" oldHidden="1">
    <formula>'13.МП РЖС'!$AG:$AG</formula>
    <oldFormula>'13.МП РЖС'!$AG:$AG</oldFormula>
  </rdn>
  <rcv guid="{4F41B9CC-959D-442C-80B0-1F0DB2C76D27}" action="add"/>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35" sId="11" numFmtId="4">
    <nc r="W81">
      <v>209.13900000000001</v>
    </nc>
  </rcc>
  <rcc rId="10236" sId="11" numFmtId="4">
    <nc r="V79">
      <v>0</v>
    </nc>
  </rcc>
  <rcc rId="10237" sId="11" numFmtId="4">
    <nc r="V80">
      <v>0</v>
    </nc>
  </rcc>
  <rcc rId="10238" sId="11" numFmtId="4">
    <nc r="W79">
      <v>0</v>
    </nc>
  </rcc>
  <rcc rId="10239" sId="11" numFmtId="4">
    <nc r="W80">
      <v>0</v>
    </nc>
  </rcc>
  <rcc rId="10240" sId="11">
    <nc r="W78">
      <f>W81</f>
    </nc>
  </rcc>
  <rcc rId="10241" sId="11">
    <oc r="E81">
      <f>I81+K81+M81+O81+Q81+S81</f>
    </oc>
    <nc r="E81">
      <f>I81+K81+M81+O81+Q81+S81+U81</f>
    </nc>
  </rcc>
  <rcc rId="10242" sId="11" numFmtId="4">
    <nc r="T86">
      <v>0</v>
    </nc>
  </rcc>
  <rcc rId="10243" sId="11" numFmtId="4">
    <nc r="T87">
      <v>0</v>
    </nc>
  </rcc>
  <rcc rId="10244" sId="11" numFmtId="4">
    <nc r="U87">
      <v>0</v>
    </nc>
  </rcc>
  <rcc rId="10245" sId="11" numFmtId="4">
    <nc r="U86">
      <v>0</v>
    </nc>
  </rcc>
  <rcc rId="10246" sId="11" numFmtId="4">
    <nc r="U88">
      <v>1711.33</v>
    </nc>
  </rcc>
  <rcc rId="10247" sId="11">
    <nc r="U85">
      <f>U88</f>
    </nc>
  </rcc>
  <rcc rId="10248" sId="11">
    <oc r="E88">
      <f>I88+K88+M88+O88+Q88+S88</f>
    </oc>
    <nc r="E88">
      <f>I88+K88+M88+O88+Q88+S88+U88</f>
    </nc>
  </rcc>
  <rcc rId="10249" sId="11" numFmtId="4">
    <nc r="T89">
      <v>0</v>
    </nc>
  </rcc>
  <rcc rId="10250" sId="11" numFmtId="4">
    <nc r="U89">
      <v>0</v>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BEAE5738-61D9-4305-812C-0CDB9D43BCE0}" name="Смекалин Дмитрий Александрович" id="-682002197" dateTime="2024-07-17T15:56:25"/>
  <userInfo guid="{E1C9631A-BD78-4B3C-A89E-1438FE2B3989}" name="Цёвка Елена Александровна" id="-2084260054" dateTime="2024-08-23T10:40:18"/>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26" Type="http://schemas.openxmlformats.org/officeDocument/2006/relationships/printerSettings" Target="../printerSettings/printerSettings280.bin"/><Relationship Id="rId3" Type="http://schemas.openxmlformats.org/officeDocument/2006/relationships/printerSettings" Target="../printerSettings/printerSettings257.bin"/><Relationship Id="rId21" Type="http://schemas.openxmlformats.org/officeDocument/2006/relationships/printerSettings" Target="../printerSettings/printerSettings275.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5" Type="http://schemas.openxmlformats.org/officeDocument/2006/relationships/printerSettings" Target="../printerSettings/printerSettings279.bin"/><Relationship Id="rId33" Type="http://schemas.openxmlformats.org/officeDocument/2006/relationships/printerSettings" Target="../printerSettings/printerSettings287.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29" Type="http://schemas.openxmlformats.org/officeDocument/2006/relationships/printerSettings" Target="../printerSettings/printerSettings283.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24" Type="http://schemas.openxmlformats.org/officeDocument/2006/relationships/printerSettings" Target="../printerSettings/printerSettings278.bin"/><Relationship Id="rId32" Type="http://schemas.openxmlformats.org/officeDocument/2006/relationships/printerSettings" Target="../printerSettings/printerSettings286.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23" Type="http://schemas.openxmlformats.org/officeDocument/2006/relationships/printerSettings" Target="../printerSettings/printerSettings277.bin"/><Relationship Id="rId28" Type="http://schemas.openxmlformats.org/officeDocument/2006/relationships/printerSettings" Target="../printerSettings/printerSettings282.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31" Type="http://schemas.openxmlformats.org/officeDocument/2006/relationships/printerSettings" Target="../printerSettings/printerSettings285.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 Id="rId22" Type="http://schemas.openxmlformats.org/officeDocument/2006/relationships/printerSettings" Target="../printerSettings/printerSettings276.bin"/><Relationship Id="rId27" Type="http://schemas.openxmlformats.org/officeDocument/2006/relationships/printerSettings" Target="../printerSettings/printerSettings281.bin"/><Relationship Id="rId30" Type="http://schemas.openxmlformats.org/officeDocument/2006/relationships/printerSettings" Target="../printerSettings/printerSettings28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34" Type="http://schemas.openxmlformats.org/officeDocument/2006/relationships/comments" Target="../comments6.xml"/><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33" Type="http://schemas.openxmlformats.org/officeDocument/2006/relationships/vmlDrawing" Target="../drawings/vmlDrawing6.vml"/><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32" Type="http://schemas.openxmlformats.org/officeDocument/2006/relationships/printerSettings" Target="../printerSettings/printerSettings319.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31" Type="http://schemas.openxmlformats.org/officeDocument/2006/relationships/printerSettings" Target="../printerSettings/printerSettings318.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printerSettings" Target="../printerSettings/printerSettings3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27.bin"/><Relationship Id="rId13" Type="http://schemas.openxmlformats.org/officeDocument/2006/relationships/printerSettings" Target="../printerSettings/printerSettings332.bin"/><Relationship Id="rId18" Type="http://schemas.openxmlformats.org/officeDocument/2006/relationships/printerSettings" Target="../printerSettings/printerSettings337.bin"/><Relationship Id="rId26" Type="http://schemas.openxmlformats.org/officeDocument/2006/relationships/printerSettings" Target="../printerSettings/printerSettings345.bin"/><Relationship Id="rId3" Type="http://schemas.openxmlformats.org/officeDocument/2006/relationships/printerSettings" Target="../printerSettings/printerSettings322.bin"/><Relationship Id="rId21" Type="http://schemas.openxmlformats.org/officeDocument/2006/relationships/printerSettings" Target="../printerSettings/printerSettings340.bin"/><Relationship Id="rId7" Type="http://schemas.openxmlformats.org/officeDocument/2006/relationships/printerSettings" Target="../printerSettings/printerSettings326.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5" Type="http://schemas.openxmlformats.org/officeDocument/2006/relationships/printerSettings" Target="../printerSettings/printerSettings344.bin"/><Relationship Id="rId33" Type="http://schemas.openxmlformats.org/officeDocument/2006/relationships/comments" Target="../comments7.xml"/><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20" Type="http://schemas.openxmlformats.org/officeDocument/2006/relationships/printerSettings" Target="../printerSettings/printerSettings339.bin"/><Relationship Id="rId29" Type="http://schemas.openxmlformats.org/officeDocument/2006/relationships/printerSettings" Target="../printerSettings/printerSettings348.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24" Type="http://schemas.openxmlformats.org/officeDocument/2006/relationships/printerSettings" Target="../printerSettings/printerSettings343.bin"/><Relationship Id="rId32" Type="http://schemas.openxmlformats.org/officeDocument/2006/relationships/vmlDrawing" Target="../drawings/vmlDrawing7.vml"/><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23" Type="http://schemas.openxmlformats.org/officeDocument/2006/relationships/printerSettings" Target="../printerSettings/printerSettings342.bin"/><Relationship Id="rId28" Type="http://schemas.openxmlformats.org/officeDocument/2006/relationships/printerSettings" Target="../printerSettings/printerSettings347.bin"/><Relationship Id="rId10" Type="http://schemas.openxmlformats.org/officeDocument/2006/relationships/printerSettings" Target="../printerSettings/printerSettings329.bin"/><Relationship Id="rId19" Type="http://schemas.openxmlformats.org/officeDocument/2006/relationships/printerSettings" Target="../printerSettings/printerSettings338.bin"/><Relationship Id="rId31" Type="http://schemas.openxmlformats.org/officeDocument/2006/relationships/printerSettings" Target="../printerSettings/printerSettings350.bin"/><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 Id="rId22" Type="http://schemas.openxmlformats.org/officeDocument/2006/relationships/printerSettings" Target="../printerSettings/printerSettings341.bin"/><Relationship Id="rId27" Type="http://schemas.openxmlformats.org/officeDocument/2006/relationships/printerSettings" Target="../printerSettings/printerSettings346.bin"/><Relationship Id="rId30" Type="http://schemas.openxmlformats.org/officeDocument/2006/relationships/printerSettings" Target="../printerSettings/printerSettings34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printerSettings" Target="../printerSettings/printerSettings368.bin"/><Relationship Id="rId26" Type="http://schemas.openxmlformats.org/officeDocument/2006/relationships/printerSettings" Target="../printerSettings/printerSettings376.bin"/><Relationship Id="rId3" Type="http://schemas.openxmlformats.org/officeDocument/2006/relationships/printerSettings" Target="../printerSettings/printerSettings353.bin"/><Relationship Id="rId21" Type="http://schemas.openxmlformats.org/officeDocument/2006/relationships/printerSettings" Target="../printerSettings/printerSettings371.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5" Type="http://schemas.openxmlformats.org/officeDocument/2006/relationships/printerSettings" Target="../printerSettings/printerSettings375.bin"/><Relationship Id="rId33" Type="http://schemas.openxmlformats.org/officeDocument/2006/relationships/printerSettings" Target="../printerSettings/printerSettings383.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printerSettings" Target="../printerSettings/printerSettings370.bin"/><Relationship Id="rId29" Type="http://schemas.openxmlformats.org/officeDocument/2006/relationships/printerSettings" Target="../printerSettings/printerSettings379.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24" Type="http://schemas.openxmlformats.org/officeDocument/2006/relationships/printerSettings" Target="../printerSettings/printerSettings374.bin"/><Relationship Id="rId32" Type="http://schemas.openxmlformats.org/officeDocument/2006/relationships/printerSettings" Target="../printerSettings/printerSettings382.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23" Type="http://schemas.openxmlformats.org/officeDocument/2006/relationships/printerSettings" Target="../printerSettings/printerSettings373.bin"/><Relationship Id="rId28" Type="http://schemas.openxmlformats.org/officeDocument/2006/relationships/printerSettings" Target="../printerSettings/printerSettings378.bin"/><Relationship Id="rId10" Type="http://schemas.openxmlformats.org/officeDocument/2006/relationships/printerSettings" Target="../printerSettings/printerSettings360.bin"/><Relationship Id="rId19" Type="http://schemas.openxmlformats.org/officeDocument/2006/relationships/printerSettings" Target="../printerSettings/printerSettings369.bin"/><Relationship Id="rId31" Type="http://schemas.openxmlformats.org/officeDocument/2006/relationships/printerSettings" Target="../printerSettings/printerSettings381.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 Id="rId22" Type="http://schemas.openxmlformats.org/officeDocument/2006/relationships/printerSettings" Target="../printerSettings/printerSettings372.bin"/><Relationship Id="rId27" Type="http://schemas.openxmlformats.org/officeDocument/2006/relationships/printerSettings" Target="../printerSettings/printerSettings377.bin"/><Relationship Id="rId30" Type="http://schemas.openxmlformats.org/officeDocument/2006/relationships/printerSettings" Target="../printerSettings/printerSettings3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91.bin"/><Relationship Id="rId13" Type="http://schemas.openxmlformats.org/officeDocument/2006/relationships/printerSettings" Target="../printerSettings/printerSettings396.bin"/><Relationship Id="rId18" Type="http://schemas.openxmlformats.org/officeDocument/2006/relationships/printerSettings" Target="../printerSettings/printerSettings401.bin"/><Relationship Id="rId3" Type="http://schemas.openxmlformats.org/officeDocument/2006/relationships/printerSettings" Target="../printerSettings/printerSettings386.bin"/><Relationship Id="rId21" Type="http://schemas.openxmlformats.org/officeDocument/2006/relationships/printerSettings" Target="../printerSettings/printerSettings404.bin"/><Relationship Id="rId7" Type="http://schemas.openxmlformats.org/officeDocument/2006/relationships/printerSettings" Target="../printerSettings/printerSettings390.bin"/><Relationship Id="rId12" Type="http://schemas.openxmlformats.org/officeDocument/2006/relationships/printerSettings" Target="../printerSettings/printerSettings395.bin"/><Relationship Id="rId17" Type="http://schemas.openxmlformats.org/officeDocument/2006/relationships/printerSettings" Target="../printerSettings/printerSettings400.bin"/><Relationship Id="rId2" Type="http://schemas.openxmlformats.org/officeDocument/2006/relationships/printerSettings" Target="../printerSettings/printerSettings385.bin"/><Relationship Id="rId16" Type="http://schemas.openxmlformats.org/officeDocument/2006/relationships/printerSettings" Target="../printerSettings/printerSettings399.bin"/><Relationship Id="rId20" Type="http://schemas.openxmlformats.org/officeDocument/2006/relationships/printerSettings" Target="../printerSettings/printerSettings403.bin"/><Relationship Id="rId1" Type="http://schemas.openxmlformats.org/officeDocument/2006/relationships/printerSettings" Target="../printerSettings/printerSettings384.bin"/><Relationship Id="rId6" Type="http://schemas.openxmlformats.org/officeDocument/2006/relationships/printerSettings" Target="../printerSettings/printerSettings389.bin"/><Relationship Id="rId11" Type="http://schemas.openxmlformats.org/officeDocument/2006/relationships/printerSettings" Target="../printerSettings/printerSettings394.bin"/><Relationship Id="rId5" Type="http://schemas.openxmlformats.org/officeDocument/2006/relationships/printerSettings" Target="../printerSettings/printerSettings388.bin"/><Relationship Id="rId15" Type="http://schemas.openxmlformats.org/officeDocument/2006/relationships/printerSettings" Target="../printerSettings/printerSettings398.bin"/><Relationship Id="rId23" Type="http://schemas.openxmlformats.org/officeDocument/2006/relationships/printerSettings" Target="../printerSettings/printerSettings406.bin"/><Relationship Id="rId10" Type="http://schemas.openxmlformats.org/officeDocument/2006/relationships/printerSettings" Target="../printerSettings/printerSettings393.bin"/><Relationship Id="rId19" Type="http://schemas.openxmlformats.org/officeDocument/2006/relationships/printerSettings" Target="../printerSettings/printerSettings402.bin"/><Relationship Id="rId4" Type="http://schemas.openxmlformats.org/officeDocument/2006/relationships/printerSettings" Target="../printerSettings/printerSettings387.bin"/><Relationship Id="rId9" Type="http://schemas.openxmlformats.org/officeDocument/2006/relationships/printerSettings" Target="../printerSettings/printerSettings392.bin"/><Relationship Id="rId14" Type="http://schemas.openxmlformats.org/officeDocument/2006/relationships/printerSettings" Target="../printerSettings/printerSettings397.bin"/><Relationship Id="rId22" Type="http://schemas.openxmlformats.org/officeDocument/2006/relationships/printerSettings" Target="../printerSettings/printerSettings40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09.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5" Type="http://schemas.openxmlformats.org/officeDocument/2006/relationships/printerSettings" Target="../printerSettings/printerSettings411.bin"/><Relationship Id="rId4" Type="http://schemas.openxmlformats.org/officeDocument/2006/relationships/printerSettings" Target="../printerSettings/printerSettings41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18" Type="http://schemas.openxmlformats.org/officeDocument/2006/relationships/printerSettings" Target="../printerSettings/printerSettings429.bin"/><Relationship Id="rId3" Type="http://schemas.openxmlformats.org/officeDocument/2006/relationships/printerSettings" Target="../printerSettings/printerSettings414.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17" Type="http://schemas.openxmlformats.org/officeDocument/2006/relationships/printerSettings" Target="../printerSettings/printerSettings428.bin"/><Relationship Id="rId2" Type="http://schemas.openxmlformats.org/officeDocument/2006/relationships/printerSettings" Target="../printerSettings/printerSettings413.bin"/><Relationship Id="rId16" Type="http://schemas.openxmlformats.org/officeDocument/2006/relationships/printerSettings" Target="../printerSettings/printerSettings427.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5" Type="http://schemas.openxmlformats.org/officeDocument/2006/relationships/printerSettings" Target="../printerSettings/printerSettings416.bin"/><Relationship Id="rId15" Type="http://schemas.openxmlformats.org/officeDocument/2006/relationships/printerSettings" Target="../printerSettings/printerSettings426.bin"/><Relationship Id="rId10" Type="http://schemas.openxmlformats.org/officeDocument/2006/relationships/printerSettings" Target="../printerSettings/printerSettings421.bin"/><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3" Type="http://schemas.openxmlformats.org/officeDocument/2006/relationships/printerSettings" Target="../printerSettings/printerSettings432.bin"/><Relationship Id="rId21" Type="http://schemas.openxmlformats.org/officeDocument/2006/relationships/printerSettings" Target="../printerSettings/printerSettings450.bin"/><Relationship Id="rId34" Type="http://schemas.openxmlformats.org/officeDocument/2006/relationships/comments" Target="../comments8.xml"/><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vmlDrawing" Target="../drawings/vmlDrawing8.vml"/><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printerSettings" Target="../printerSettings/printerSettings487.bin"/><Relationship Id="rId3" Type="http://schemas.openxmlformats.org/officeDocument/2006/relationships/printerSettings" Target="../printerSettings/printerSettings464.bin"/><Relationship Id="rId21" Type="http://schemas.openxmlformats.org/officeDocument/2006/relationships/printerSettings" Target="../printerSettings/printerSettings482.bin"/><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printerSettings" Target="../printerSettings/printerSettings486.bin"/><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29" Type="http://schemas.openxmlformats.org/officeDocument/2006/relationships/printerSettings" Target="../printerSettings/printerSettings490.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printerSettings" Target="../printerSettings/printerSettings485.bin"/><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printerSettings" Target="../printerSettings/printerSettings484.bin"/><Relationship Id="rId28" Type="http://schemas.openxmlformats.org/officeDocument/2006/relationships/printerSettings" Target="../printerSettings/printerSettings489.bin"/><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3.bin"/><Relationship Id="rId27" Type="http://schemas.openxmlformats.org/officeDocument/2006/relationships/printerSettings" Target="../printerSettings/printerSettings48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1.bin"/><Relationship Id="rId13" Type="http://schemas.openxmlformats.org/officeDocument/2006/relationships/printerSettings" Target="../printerSettings/printerSettings46.bin"/><Relationship Id="rId18" Type="http://schemas.openxmlformats.org/officeDocument/2006/relationships/printerSettings" Target="../printerSettings/printerSettings51.bin"/><Relationship Id="rId26" Type="http://schemas.openxmlformats.org/officeDocument/2006/relationships/printerSettings" Target="../printerSettings/printerSettings59.bin"/><Relationship Id="rId3" Type="http://schemas.openxmlformats.org/officeDocument/2006/relationships/printerSettings" Target="../printerSettings/printerSettings36.bin"/><Relationship Id="rId21" Type="http://schemas.openxmlformats.org/officeDocument/2006/relationships/printerSettings" Target="../printerSettings/printerSettings54.bin"/><Relationship Id="rId7" Type="http://schemas.openxmlformats.org/officeDocument/2006/relationships/printerSettings" Target="../printerSettings/printerSettings40.bin"/><Relationship Id="rId12" Type="http://schemas.openxmlformats.org/officeDocument/2006/relationships/printerSettings" Target="../printerSettings/printerSettings45.bin"/><Relationship Id="rId17" Type="http://schemas.openxmlformats.org/officeDocument/2006/relationships/printerSettings" Target="../printerSettings/printerSettings50.bin"/><Relationship Id="rId25" Type="http://schemas.openxmlformats.org/officeDocument/2006/relationships/printerSettings" Target="../printerSettings/printerSettings58.bin"/><Relationship Id="rId33" Type="http://schemas.openxmlformats.org/officeDocument/2006/relationships/printerSettings" Target="../printerSettings/printerSettings66.bin"/><Relationship Id="rId2" Type="http://schemas.openxmlformats.org/officeDocument/2006/relationships/printerSettings" Target="../printerSettings/printerSettings35.bin"/><Relationship Id="rId16" Type="http://schemas.openxmlformats.org/officeDocument/2006/relationships/printerSettings" Target="../printerSettings/printerSettings49.bin"/><Relationship Id="rId20" Type="http://schemas.openxmlformats.org/officeDocument/2006/relationships/printerSettings" Target="../printerSettings/printerSettings53.bin"/><Relationship Id="rId29" Type="http://schemas.openxmlformats.org/officeDocument/2006/relationships/printerSettings" Target="../printerSettings/printerSettings62.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11" Type="http://schemas.openxmlformats.org/officeDocument/2006/relationships/printerSettings" Target="../printerSettings/printerSettings44.bin"/><Relationship Id="rId24" Type="http://schemas.openxmlformats.org/officeDocument/2006/relationships/printerSettings" Target="../printerSettings/printerSettings57.bin"/><Relationship Id="rId32" Type="http://schemas.openxmlformats.org/officeDocument/2006/relationships/printerSettings" Target="../printerSettings/printerSettings65.bin"/><Relationship Id="rId5" Type="http://schemas.openxmlformats.org/officeDocument/2006/relationships/printerSettings" Target="../printerSettings/printerSettings38.bin"/><Relationship Id="rId15" Type="http://schemas.openxmlformats.org/officeDocument/2006/relationships/printerSettings" Target="../printerSettings/printerSettings48.bin"/><Relationship Id="rId23" Type="http://schemas.openxmlformats.org/officeDocument/2006/relationships/printerSettings" Target="../printerSettings/printerSettings56.bin"/><Relationship Id="rId28" Type="http://schemas.openxmlformats.org/officeDocument/2006/relationships/printerSettings" Target="../printerSettings/printerSettings61.bin"/><Relationship Id="rId10" Type="http://schemas.openxmlformats.org/officeDocument/2006/relationships/printerSettings" Target="../printerSettings/printerSettings43.bin"/><Relationship Id="rId19" Type="http://schemas.openxmlformats.org/officeDocument/2006/relationships/printerSettings" Target="../printerSettings/printerSettings52.bin"/><Relationship Id="rId31" Type="http://schemas.openxmlformats.org/officeDocument/2006/relationships/printerSettings" Target="../printerSettings/printerSettings64.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 Id="rId14" Type="http://schemas.openxmlformats.org/officeDocument/2006/relationships/printerSettings" Target="../printerSettings/printerSettings47.bin"/><Relationship Id="rId22" Type="http://schemas.openxmlformats.org/officeDocument/2006/relationships/printerSettings" Target="../printerSettings/printerSettings55.bin"/><Relationship Id="rId27" Type="http://schemas.openxmlformats.org/officeDocument/2006/relationships/printerSettings" Target="../printerSettings/printerSettings60.bin"/><Relationship Id="rId30"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4.bin"/><Relationship Id="rId13" Type="http://schemas.openxmlformats.org/officeDocument/2006/relationships/printerSettings" Target="../printerSettings/printerSettings79.bin"/><Relationship Id="rId18" Type="http://schemas.openxmlformats.org/officeDocument/2006/relationships/printerSettings" Target="../printerSettings/printerSettings84.bin"/><Relationship Id="rId26" Type="http://schemas.openxmlformats.org/officeDocument/2006/relationships/printerSettings" Target="../printerSettings/printerSettings92.bin"/><Relationship Id="rId3" Type="http://schemas.openxmlformats.org/officeDocument/2006/relationships/printerSettings" Target="../printerSettings/printerSettings69.bin"/><Relationship Id="rId21" Type="http://schemas.openxmlformats.org/officeDocument/2006/relationships/printerSettings" Target="../printerSettings/printerSettings87.bin"/><Relationship Id="rId34" Type="http://schemas.openxmlformats.org/officeDocument/2006/relationships/vmlDrawing" Target="../drawings/vmlDrawing1.vml"/><Relationship Id="rId7" Type="http://schemas.openxmlformats.org/officeDocument/2006/relationships/printerSettings" Target="../printerSettings/printerSettings73.bin"/><Relationship Id="rId12" Type="http://schemas.openxmlformats.org/officeDocument/2006/relationships/printerSettings" Target="../printerSettings/printerSettings78.bin"/><Relationship Id="rId17" Type="http://schemas.openxmlformats.org/officeDocument/2006/relationships/printerSettings" Target="../printerSettings/printerSettings83.bin"/><Relationship Id="rId25" Type="http://schemas.openxmlformats.org/officeDocument/2006/relationships/printerSettings" Target="../printerSettings/printerSettings91.bin"/><Relationship Id="rId33" Type="http://schemas.openxmlformats.org/officeDocument/2006/relationships/printerSettings" Target="../printerSettings/printerSettings99.bin"/><Relationship Id="rId2" Type="http://schemas.openxmlformats.org/officeDocument/2006/relationships/printerSettings" Target="../printerSettings/printerSettings68.bin"/><Relationship Id="rId16" Type="http://schemas.openxmlformats.org/officeDocument/2006/relationships/printerSettings" Target="../printerSettings/printerSettings82.bin"/><Relationship Id="rId20" Type="http://schemas.openxmlformats.org/officeDocument/2006/relationships/printerSettings" Target="../printerSettings/printerSettings86.bin"/><Relationship Id="rId29" Type="http://schemas.openxmlformats.org/officeDocument/2006/relationships/printerSettings" Target="../printerSettings/printerSettings95.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11" Type="http://schemas.openxmlformats.org/officeDocument/2006/relationships/printerSettings" Target="../printerSettings/printerSettings77.bin"/><Relationship Id="rId24" Type="http://schemas.openxmlformats.org/officeDocument/2006/relationships/printerSettings" Target="../printerSettings/printerSettings90.bin"/><Relationship Id="rId32" Type="http://schemas.openxmlformats.org/officeDocument/2006/relationships/printerSettings" Target="../printerSettings/printerSettings98.bin"/><Relationship Id="rId5" Type="http://schemas.openxmlformats.org/officeDocument/2006/relationships/printerSettings" Target="../printerSettings/printerSettings71.bin"/><Relationship Id="rId15" Type="http://schemas.openxmlformats.org/officeDocument/2006/relationships/printerSettings" Target="../printerSettings/printerSettings81.bin"/><Relationship Id="rId23" Type="http://schemas.openxmlformats.org/officeDocument/2006/relationships/printerSettings" Target="../printerSettings/printerSettings89.bin"/><Relationship Id="rId28" Type="http://schemas.openxmlformats.org/officeDocument/2006/relationships/printerSettings" Target="../printerSettings/printerSettings94.bin"/><Relationship Id="rId10" Type="http://schemas.openxmlformats.org/officeDocument/2006/relationships/printerSettings" Target="../printerSettings/printerSettings76.bin"/><Relationship Id="rId19" Type="http://schemas.openxmlformats.org/officeDocument/2006/relationships/printerSettings" Target="../printerSettings/printerSettings85.bin"/><Relationship Id="rId31" Type="http://schemas.openxmlformats.org/officeDocument/2006/relationships/printerSettings" Target="../printerSettings/printerSettings97.bin"/><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 Id="rId14" Type="http://schemas.openxmlformats.org/officeDocument/2006/relationships/printerSettings" Target="../printerSettings/printerSettings80.bin"/><Relationship Id="rId22" Type="http://schemas.openxmlformats.org/officeDocument/2006/relationships/printerSettings" Target="../printerSettings/printerSettings88.bin"/><Relationship Id="rId27" Type="http://schemas.openxmlformats.org/officeDocument/2006/relationships/printerSettings" Target="../printerSettings/printerSettings93.bin"/><Relationship Id="rId30" Type="http://schemas.openxmlformats.org/officeDocument/2006/relationships/printerSettings" Target="../printerSettings/printerSettings96.bin"/><Relationship Id="rId35"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34" Type="http://schemas.openxmlformats.org/officeDocument/2006/relationships/vmlDrawing" Target="../drawings/vmlDrawing2.vml"/><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printerSettings" Target="../printerSettings/printerSettings132.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printerSettings" Target="../printerSettings/printerSettings131.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printerSettings" Target="../printerSettings/printerSettings130.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0.bin"/><Relationship Id="rId13" Type="http://schemas.openxmlformats.org/officeDocument/2006/relationships/printerSettings" Target="../printerSettings/printerSettings145.bin"/><Relationship Id="rId18" Type="http://schemas.openxmlformats.org/officeDocument/2006/relationships/printerSettings" Target="../printerSettings/printerSettings150.bin"/><Relationship Id="rId26" Type="http://schemas.openxmlformats.org/officeDocument/2006/relationships/printerSettings" Target="../printerSettings/printerSettings158.bin"/><Relationship Id="rId3" Type="http://schemas.openxmlformats.org/officeDocument/2006/relationships/printerSettings" Target="../printerSettings/printerSettings135.bin"/><Relationship Id="rId21" Type="http://schemas.openxmlformats.org/officeDocument/2006/relationships/printerSettings" Target="../printerSettings/printerSettings153.bin"/><Relationship Id="rId34" Type="http://schemas.openxmlformats.org/officeDocument/2006/relationships/vmlDrawing" Target="../drawings/vmlDrawing3.vml"/><Relationship Id="rId7" Type="http://schemas.openxmlformats.org/officeDocument/2006/relationships/printerSettings" Target="../printerSettings/printerSettings139.bin"/><Relationship Id="rId12" Type="http://schemas.openxmlformats.org/officeDocument/2006/relationships/printerSettings" Target="../printerSettings/printerSettings144.bin"/><Relationship Id="rId17" Type="http://schemas.openxmlformats.org/officeDocument/2006/relationships/printerSettings" Target="../printerSettings/printerSettings149.bin"/><Relationship Id="rId25" Type="http://schemas.openxmlformats.org/officeDocument/2006/relationships/printerSettings" Target="../printerSettings/printerSettings157.bin"/><Relationship Id="rId33" Type="http://schemas.openxmlformats.org/officeDocument/2006/relationships/printerSettings" Target="../printerSettings/printerSettings165.bin"/><Relationship Id="rId2" Type="http://schemas.openxmlformats.org/officeDocument/2006/relationships/printerSettings" Target="../printerSettings/printerSettings134.bin"/><Relationship Id="rId16" Type="http://schemas.openxmlformats.org/officeDocument/2006/relationships/printerSettings" Target="../printerSettings/printerSettings148.bin"/><Relationship Id="rId20" Type="http://schemas.openxmlformats.org/officeDocument/2006/relationships/printerSettings" Target="../printerSettings/printerSettings152.bin"/><Relationship Id="rId29" Type="http://schemas.openxmlformats.org/officeDocument/2006/relationships/printerSettings" Target="../printerSettings/printerSettings161.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11" Type="http://schemas.openxmlformats.org/officeDocument/2006/relationships/printerSettings" Target="../printerSettings/printerSettings143.bin"/><Relationship Id="rId24" Type="http://schemas.openxmlformats.org/officeDocument/2006/relationships/printerSettings" Target="../printerSettings/printerSettings156.bin"/><Relationship Id="rId32" Type="http://schemas.openxmlformats.org/officeDocument/2006/relationships/printerSettings" Target="../printerSettings/printerSettings164.bin"/><Relationship Id="rId5" Type="http://schemas.openxmlformats.org/officeDocument/2006/relationships/printerSettings" Target="../printerSettings/printerSettings137.bin"/><Relationship Id="rId15" Type="http://schemas.openxmlformats.org/officeDocument/2006/relationships/printerSettings" Target="../printerSettings/printerSettings147.bin"/><Relationship Id="rId23" Type="http://schemas.openxmlformats.org/officeDocument/2006/relationships/printerSettings" Target="../printerSettings/printerSettings155.bin"/><Relationship Id="rId28" Type="http://schemas.openxmlformats.org/officeDocument/2006/relationships/printerSettings" Target="../printerSettings/printerSettings160.bin"/><Relationship Id="rId10" Type="http://schemas.openxmlformats.org/officeDocument/2006/relationships/printerSettings" Target="../printerSettings/printerSettings142.bin"/><Relationship Id="rId19" Type="http://schemas.openxmlformats.org/officeDocument/2006/relationships/printerSettings" Target="../printerSettings/printerSettings151.bin"/><Relationship Id="rId31" Type="http://schemas.openxmlformats.org/officeDocument/2006/relationships/printerSettings" Target="../printerSettings/printerSettings163.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 Id="rId14" Type="http://schemas.openxmlformats.org/officeDocument/2006/relationships/printerSettings" Target="../printerSettings/printerSettings146.bin"/><Relationship Id="rId22" Type="http://schemas.openxmlformats.org/officeDocument/2006/relationships/printerSettings" Target="../printerSettings/printerSettings154.bin"/><Relationship Id="rId27" Type="http://schemas.openxmlformats.org/officeDocument/2006/relationships/printerSettings" Target="../printerSettings/printerSettings159.bin"/><Relationship Id="rId30" Type="http://schemas.openxmlformats.org/officeDocument/2006/relationships/printerSettings" Target="../printerSettings/printerSettings162.bin"/><Relationship Id="rId35"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34" Type="http://schemas.openxmlformats.org/officeDocument/2006/relationships/vmlDrawing" Target="../drawings/vmlDrawing4.vml"/><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33" Type="http://schemas.openxmlformats.org/officeDocument/2006/relationships/printerSettings" Target="../printerSettings/printerSettings198.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29" Type="http://schemas.openxmlformats.org/officeDocument/2006/relationships/printerSettings" Target="../printerSettings/printerSettings194.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32" Type="http://schemas.openxmlformats.org/officeDocument/2006/relationships/printerSettings" Target="../printerSettings/printerSettings197.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28" Type="http://schemas.openxmlformats.org/officeDocument/2006/relationships/printerSettings" Target="../printerSettings/printerSettings193.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31" Type="http://schemas.openxmlformats.org/officeDocument/2006/relationships/printerSettings" Target="../printerSettings/printerSettings196.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 Id="rId30" Type="http://schemas.openxmlformats.org/officeDocument/2006/relationships/printerSettings" Target="../printerSettings/printerSettings195.bin"/><Relationship Id="rId35"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6.bin"/><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3" Type="http://schemas.openxmlformats.org/officeDocument/2006/relationships/printerSettings" Target="../printerSettings/printerSettings201.bin"/><Relationship Id="rId21" Type="http://schemas.openxmlformats.org/officeDocument/2006/relationships/printerSettings" Target="../printerSettings/printerSettings219.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comments" Target="../comments5.xml"/><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vmlDrawing" Target="../drawings/vmlDrawing5.vml"/><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33" Type="http://schemas.openxmlformats.org/officeDocument/2006/relationships/printerSettings" Target="../printerSettings/printerSettings254.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32" Type="http://schemas.openxmlformats.org/officeDocument/2006/relationships/printerSettings" Target="../printerSettings/printerSettings253.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31" Type="http://schemas.openxmlformats.org/officeDocument/2006/relationships/printerSettings" Target="../printerSettings/printerSettings252.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printerSettings" Target="../printerSettings/printerSettings2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topLeftCell="A4" workbookViewId="0">
      <selection activeCell="B19" sqref="B19"/>
    </sheetView>
  </sheetViews>
  <sheetFormatPr defaultRowHeight="15" x14ac:dyDescent="0.25"/>
  <cols>
    <col min="1" max="1" width="3" bestFit="1" customWidth="1"/>
    <col min="2" max="2" width="127" bestFit="1" customWidth="1"/>
  </cols>
  <sheetData>
    <row r="1" spans="1:2" x14ac:dyDescent="0.25">
      <c r="A1">
        <v>1</v>
      </c>
      <c r="B1" s="392" t="s">
        <v>448</v>
      </c>
    </row>
    <row r="2" spans="1:2" x14ac:dyDescent="0.25">
      <c r="A2">
        <v>2</v>
      </c>
      <c r="B2" s="392" t="s">
        <v>449</v>
      </c>
    </row>
    <row r="3" spans="1:2" x14ac:dyDescent="0.25">
      <c r="A3">
        <v>3</v>
      </c>
      <c r="B3" s="392" t="s">
        <v>450</v>
      </c>
    </row>
    <row r="4" spans="1:2" x14ac:dyDescent="0.25">
      <c r="A4">
        <v>4</v>
      </c>
      <c r="B4" s="392" t="s">
        <v>451</v>
      </c>
    </row>
    <row r="5" spans="1:2" x14ac:dyDescent="0.25">
      <c r="A5">
        <v>5</v>
      </c>
      <c r="B5" s="392" t="s">
        <v>456</v>
      </c>
    </row>
    <row r="6" spans="1:2" x14ac:dyDescent="0.25">
      <c r="A6">
        <v>6</v>
      </c>
      <c r="B6" s="392" t="s">
        <v>457</v>
      </c>
    </row>
    <row r="7" spans="1:2" x14ac:dyDescent="0.25">
      <c r="A7">
        <v>7</v>
      </c>
      <c r="B7" s="392" t="s">
        <v>452</v>
      </c>
    </row>
    <row r="8" spans="1:2" x14ac:dyDescent="0.25">
      <c r="A8">
        <v>8</v>
      </c>
      <c r="B8" s="392" t="s">
        <v>458</v>
      </c>
    </row>
    <row r="9" spans="1:2" x14ac:dyDescent="0.25">
      <c r="A9">
        <v>9</v>
      </c>
      <c r="B9" s="392" t="s">
        <v>459</v>
      </c>
    </row>
    <row r="10" spans="1:2" x14ac:dyDescent="0.25">
      <c r="A10">
        <v>10</v>
      </c>
      <c r="B10" s="392" t="s">
        <v>460</v>
      </c>
    </row>
    <row r="11" spans="1:2" x14ac:dyDescent="0.25">
      <c r="A11">
        <v>11</v>
      </c>
      <c r="B11" s="392" t="s">
        <v>453</v>
      </c>
    </row>
    <row r="12" spans="1:2" x14ac:dyDescent="0.25">
      <c r="A12">
        <v>12</v>
      </c>
      <c r="B12" s="392" t="s">
        <v>454</v>
      </c>
    </row>
    <row r="13" spans="1:2" x14ac:dyDescent="0.25">
      <c r="A13">
        <v>13</v>
      </c>
      <c r="B13" s="392" t="s">
        <v>461</v>
      </c>
    </row>
    <row r="14" spans="1:2" x14ac:dyDescent="0.25">
      <c r="A14">
        <v>14</v>
      </c>
      <c r="B14" s="392" t="s">
        <v>455</v>
      </c>
    </row>
    <row r="15" spans="1:2" x14ac:dyDescent="0.25">
      <c r="A15">
        <v>15</v>
      </c>
      <c r="B15" s="392" t="s">
        <v>367</v>
      </c>
    </row>
    <row r="16" spans="1:2" x14ac:dyDescent="0.25">
      <c r="A16">
        <v>16</v>
      </c>
      <c r="B16" s="392" t="s">
        <v>445</v>
      </c>
    </row>
    <row r="17" spans="1:2" x14ac:dyDescent="0.25">
      <c r="A17">
        <v>17</v>
      </c>
      <c r="B17" s="392" t="s">
        <v>446</v>
      </c>
    </row>
    <row r="18" spans="1:2" x14ac:dyDescent="0.25">
      <c r="A18">
        <v>18</v>
      </c>
      <c r="B18" s="392" t="s">
        <v>462</v>
      </c>
    </row>
    <row r="19" spans="1:2" x14ac:dyDescent="0.25">
      <c r="A19">
        <v>19</v>
      </c>
      <c r="B19" s="392" t="s">
        <v>447</v>
      </c>
    </row>
    <row r="22" spans="1:2" x14ac:dyDescent="0.25">
      <c r="B22" s="423">
        <v>45323</v>
      </c>
    </row>
    <row r="23" spans="1:2" x14ac:dyDescent="0.25">
      <c r="B23" s="423">
        <v>45352</v>
      </c>
    </row>
    <row r="24" spans="1:2" x14ac:dyDescent="0.25">
      <c r="B24" s="423">
        <v>45383</v>
      </c>
    </row>
    <row r="25" spans="1:2" x14ac:dyDescent="0.25">
      <c r="B25" s="423">
        <v>45413</v>
      </c>
    </row>
    <row r="26" spans="1:2" x14ac:dyDescent="0.25">
      <c r="B26" s="423">
        <v>45444</v>
      </c>
    </row>
    <row r="27" spans="1:2" x14ac:dyDescent="0.25">
      <c r="B27" s="423">
        <v>45474</v>
      </c>
    </row>
    <row r="28" spans="1:2" x14ac:dyDescent="0.25">
      <c r="B28" s="423">
        <v>45505</v>
      </c>
    </row>
    <row r="29" spans="1:2" x14ac:dyDescent="0.25">
      <c r="B29" s="423">
        <v>45536</v>
      </c>
    </row>
    <row r="30" spans="1:2" x14ac:dyDescent="0.25">
      <c r="B30" s="423">
        <v>45566</v>
      </c>
    </row>
    <row r="31" spans="1:2" x14ac:dyDescent="0.25">
      <c r="B31" s="423">
        <v>45597</v>
      </c>
    </row>
    <row r="32" spans="1:2" x14ac:dyDescent="0.25">
      <c r="B32" s="423">
        <v>45627</v>
      </c>
    </row>
    <row r="33" spans="2:2" x14ac:dyDescent="0.25">
      <c r="B33" s="423">
        <v>45658</v>
      </c>
    </row>
  </sheetData>
  <sheetProtection algorithmName="SHA-512" hashValue="72KGnMxgxAGuW8gL73M5Qld+X49ngb58bq08HtdAzjYM9UKo2kfUKaJRjznpc4A6TomquQMCqmeRLThvTbDR+Q==" saltValue="jcldxTp0BTw5pgIwNjjmWA==" spinCount="100000" sheet="1" objects="1" scenarios="1"/>
  <customSheetViews>
    <customSheetView guid="{7C130984-112A-4861-AA43-E2940708E3DC}" state="hidden" topLeftCell="A4">
      <selection activeCell="B19" sqref="B19"/>
      <pageMargins left="0.7" right="0.7" top="0.75" bottom="0.75" header="0.3" footer="0.3"/>
    </customSheetView>
    <customSheetView guid="{3C3F523F-5F34-4CF7-831E-F1ABC4278CEB}" topLeftCell="A4">
      <selection activeCell="B19" sqref="B19"/>
      <pageMargins left="0.7" right="0.7" top="0.75" bottom="0.75" header="0.3" footer="0.3"/>
    </customSheetView>
    <customSheetView guid="{D01FA037-9AEC-4167-ADB8-2F327C01ECE6}">
      <selection activeCell="F20" sqref="F20"/>
      <pageMargins left="0.7" right="0.7" top="0.75" bottom="0.75" header="0.3" footer="0.3"/>
    </customSheetView>
    <customSheetView guid="{602C8EDB-B9EF-4C85-B0D5-0558C3A0ABAB}" topLeftCell="A4">
      <selection activeCell="B19" sqref="B19"/>
      <pageMargins left="0.7" right="0.7" top="0.75" bottom="0.75" header="0.3" footer="0.3"/>
    </customSheetView>
    <customSheetView guid="{69DABE6F-6182-4403-A4A2-969F10F1C13A}" topLeftCell="A4">
      <selection activeCell="B19" sqref="B19"/>
      <pageMargins left="0.7" right="0.7" top="0.75" bottom="0.75" header="0.3" footer="0.3"/>
    </customSheetView>
    <customSheetView guid="{E508E171-4ED9-4B07-84DF-DA28C60E1969}" topLeftCell="A4">
      <selection activeCell="B19" sqref="B19"/>
      <pageMargins left="0.7" right="0.7" top="0.75" bottom="0.75" header="0.3" footer="0.3"/>
    </customSheetView>
    <customSheetView guid="{AC2D5927-4079-4C74-AF69-1BFAC505648F}">
      <selection activeCell="F20" sqref="F20"/>
      <pageMargins left="0.7" right="0.7" top="0.75" bottom="0.75" header="0.3" footer="0.3"/>
    </customSheetView>
    <customSheetView guid="{442F2C94-DD1B-4A01-8694-513D4D6F3BD9}" topLeftCell="A4">
      <selection activeCell="B19" sqref="B19"/>
      <pageMargins left="0.7" right="0.7" top="0.75" bottom="0.75" header="0.3" footer="0.3"/>
    </customSheetView>
    <customSheetView guid="{CE1CCA00-200D-4EAA-9FBE-F8EE7C5F82FE}" topLeftCell="A4">
      <selection activeCell="B19" sqref="B19"/>
      <pageMargins left="0.7" right="0.7" top="0.75" bottom="0.75" header="0.3" footer="0.3"/>
    </customSheetView>
    <customSheetView guid="{4D0DFB57-2CBA-42F2-9A97-C453A6851FBA}" topLeftCell="A4">
      <selection activeCell="B19" sqref="B19"/>
      <pageMargins left="0.7" right="0.7" top="0.75" bottom="0.75" header="0.3" footer="0.3"/>
    </customSheetView>
    <customSheetView guid="{85F4575B-DBC5-482A-9916-255D8F0BC94E}" topLeftCell="A4">
      <selection activeCell="B19" sqref="B19"/>
      <pageMargins left="0.7" right="0.7" top="0.75" bottom="0.75" header="0.3" footer="0.3"/>
    </customSheetView>
    <customSheetView guid="{B1BF08D1-D416-4B47-ADD0-4F59132DC9E8}" topLeftCell="A4">
      <selection activeCell="B19" sqref="B19"/>
      <pageMargins left="0.7" right="0.7" top="0.75" bottom="0.75" header="0.3" footer="0.3"/>
    </customSheetView>
    <customSheetView guid="{BCD82A82-B724-4763-8580-D765356E09BA}">
      <selection activeCell="G15" sqref="G15"/>
      <pageMargins left="0.7" right="0.7" top="0.75" bottom="0.75" header="0.3" footer="0.3"/>
    </customSheetView>
    <customSheetView guid="{C236B307-BD63-48C4-A75F-B3F3717BF55C}" topLeftCell="A4">
      <selection activeCell="B19" sqref="B19"/>
      <pageMargins left="0.7" right="0.7" top="0.75" bottom="0.75" header="0.3" footer="0.3"/>
    </customSheetView>
    <customSheetView guid="{874882D1-E741-4CCA-BF0D-E72FA60B771D}" topLeftCell="A4">
      <selection activeCell="B19" sqref="B19"/>
      <pageMargins left="0.7" right="0.7" top="0.75" bottom="0.75" header="0.3" footer="0.3"/>
    </customSheetView>
    <customSheetView guid="{B82BA08A-1A30-4F4D-A478-74A6BD09EA97}" topLeftCell="A4">
      <selection activeCell="B19" sqref="B19"/>
      <pageMargins left="0.7" right="0.7" top="0.75" bottom="0.75" header="0.3" footer="0.3"/>
    </customSheetView>
    <customSheetView guid="{770624BF-07F3-44B6-94C3-4CC447CDD45C}" topLeftCell="A4">
      <selection activeCell="B19" sqref="B19"/>
      <pageMargins left="0.7" right="0.7" top="0.75" bottom="0.75" header="0.3" footer="0.3"/>
    </customSheetView>
    <customSheetView guid="{009B3074-D8EC-4952-BF50-43CD64449612}" topLeftCell="A4">
      <selection activeCell="B19" sqref="B19"/>
      <pageMargins left="0.7" right="0.7" top="0.75" bottom="0.75" header="0.3" footer="0.3"/>
    </customSheetView>
    <customSheetView guid="{F679EF4A-C5FD-4B86-B87B-D85968E0F2CA}" topLeftCell="A4">
      <selection activeCell="B19" sqref="B19"/>
      <pageMargins left="0.7" right="0.7" top="0.75" bottom="0.75" header="0.3" footer="0.3"/>
    </customSheetView>
    <customSheetView guid="{959E901C-5DDE-42EE-AE94-AB8976B5E00B}" topLeftCell="A4">
      <selection activeCell="B19" sqref="B19"/>
      <pageMargins left="0.7" right="0.7" top="0.75" bottom="0.75" header="0.3" footer="0.3"/>
    </customSheetView>
    <customSheetView guid="{533DC55B-6AD4-4674-9488-685EF2039F3E}" topLeftCell="A4">
      <selection activeCell="B19" sqref="B19"/>
      <pageMargins left="0.7" right="0.7" top="0.75" bottom="0.75" header="0.3" footer="0.3"/>
    </customSheetView>
    <customSheetView guid="{87218168-6C8E-4D5B-A5E5-DCCC26803AA3}" topLeftCell="A4">
      <selection activeCell="B19" sqref="B19"/>
      <pageMargins left="0.7" right="0.7" top="0.75" bottom="0.75" header="0.3" footer="0.3"/>
    </customSheetView>
    <customSheetView guid="{DAA8A688-7558-4B5B-8DBD-E2629BD9E9A8}" topLeftCell="A4">
      <selection activeCell="B19" sqref="B19"/>
      <pageMargins left="0.7" right="0.7" top="0.75" bottom="0.75" header="0.3" footer="0.3"/>
    </customSheetView>
    <customSheetView guid="{391AB76E-B386-49C1-800F-016A48AA1A46}">
      <selection activeCell="F20" sqref="F20"/>
      <pageMargins left="0.7" right="0.7" top="0.75" bottom="0.75" header="0.3" footer="0.3"/>
    </customSheetView>
    <customSheetView guid="{09C3E205-981E-4A4E-BE89-8B7044192060}" topLeftCell="A4">
      <selection activeCell="B19" sqref="B19"/>
      <pageMargins left="0.7" right="0.7" top="0.75" bottom="0.75" header="0.3" footer="0.3"/>
    </customSheetView>
    <customSheetView guid="{84867370-1F3E-4368-AF79-FBCE46FFFE92}" topLeftCell="A4">
      <selection activeCell="B19" sqref="B19"/>
      <pageMargins left="0.7" right="0.7" top="0.75" bottom="0.75" header="0.3" footer="0.3"/>
    </customSheetView>
    <customSheetView guid="{0C2B9C2A-7B94-41EF-A2E6-F8AC9A67DE25}" topLeftCell="A4">
      <selection activeCell="B19" sqref="B19"/>
      <pageMargins left="0.7" right="0.7" top="0.75" bottom="0.75" header="0.3" footer="0.3"/>
    </customSheetView>
    <customSheetView guid="{CB4792DB-A624-4844-AEB6-A6ADA80946BB}" topLeftCell="A4">
      <selection activeCell="B19" sqref="B19"/>
      <pageMargins left="0.7" right="0.7" top="0.75" bottom="0.75" header="0.3" footer="0.3"/>
    </customSheetView>
    <customSheetView guid="{74870EE6-26B9-40F7-9DC9-260EF16D8959}">
      <selection activeCell="F20" sqref="F20"/>
      <pageMargins left="0.7" right="0.7" top="0.75" bottom="0.75" header="0.3" footer="0.3"/>
    </customSheetView>
    <customSheetView guid="{6A602CB8-B24C-4ED4-B378-B27354BE0A1A}" topLeftCell="A4">
      <selection activeCell="B19" sqref="B19"/>
      <pageMargins left="0.7" right="0.7" top="0.75" bottom="0.75" header="0.3" footer="0.3"/>
    </customSheetView>
    <customSheetView guid="{4F41B9CC-959D-442C-80B0-1F0DB2C76D27}" topLeftCell="A4">
      <selection activeCell="B19" sqref="B19"/>
      <pageMargins left="0.7" right="0.7" top="0.75" bottom="0.75" header="0.3" footer="0.3"/>
    </customSheetView>
    <customSheetView guid="{47B983AB-FE5F-4725-860C-A2F29420596D}" topLeftCell="A4">
      <selection activeCell="B19" sqref="B19"/>
      <pageMargins left="0.7" right="0.7" top="0.75" bottom="0.75" header="0.3" footer="0.3"/>
    </customSheetView>
  </customSheetViews>
  <hyperlinks>
    <hyperlink ref="B1" location="'1.СЗН'!A1" display=" &quot;Содействие занятости населения города Когалыма&quot;"/>
    <hyperlink ref="B2" location="'2.АПК'!A1" display=" &quot;Развитие агропромышленного комплекса в городе Когалыме&quot;"/>
    <hyperlink ref="B3" location="'3.БЖД'!A1" display=" &quot;Безопасность жизнедеятельности населения города Когалыма&quot;"/>
    <hyperlink ref="B4" location="'4.УМИ'!A1" display=" &quot;Управление муниципальным имуществом города Когалыма&quot;"/>
    <hyperlink ref="B5" location="'5.Проф. прав.'!A1" display="Профилактика правонарушений и обеспечение отдельных прав граждан в городе Когалыме"/>
    <hyperlink ref="B6" location="'6.Экстримизм'!A1" display="Укрепление межнационального и межконфессионального согласия, профилактика экстремизма и терроризма в городе Когалыме"/>
    <hyperlink ref="B7" location="'7.МП КП'!A1" display=" &quot;Культурное пространство города Когалыма&quot;"/>
    <hyperlink ref="B8" location="'8.МП РМС'!A1" display="Развитие муниципальной службы  в городе Когалыме"/>
    <hyperlink ref="B9" location="'9.МП РИГО'!A1" display="Развитие институтов гражданского общества города Когалыма"/>
    <hyperlink ref="B10" location="'10.МП РФКиС'!A1" display="Развитие физической культуры и спорта в городе Когалыме"/>
    <hyperlink ref="B11" location="'11.МП РО'!A1" display=" &quot;Развитие образования в городе Когалыме&quot;"/>
    <hyperlink ref="B12" location="'12.МП УМФ'!A1" display=" &quot;Управление муниципальными финансами в городе Когалыме&quot;"/>
    <hyperlink ref="B13" location="'13.МП РЖС'!A1" display="Развитие жилищной сферы в городе Когалыме"/>
    <hyperlink ref="B14" location="'14.МП СЭР'!A1" display=" &quot;Социально - экономическое развитие и инвестиции муниципального образования город Когалым&quot; "/>
    <hyperlink ref="B15" location="'15.МП ЭБ'!A1" display="«Экологическая безопасность города Когалыма» "/>
    <hyperlink ref="B16" location="'16.МП РЖКК'!A1" display="«Развитие жилищно-коммунального комплекса в городе Когалыме» "/>
    <hyperlink ref="B17" location="'17.МП РТС'!A1" display="«Развитие транспортной системы города Когалыма» "/>
    <hyperlink ref="B18" location="'18.МП ФКГС'!A1" display="Формирование комфортной городской среды в городе Когалыме "/>
    <hyperlink ref="B19" location="'19.МП СОГХ'!A1" display="«Содержание объектов городского хозяйства и инженерной инфраструктуры в городе Когалыме»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3C3F523F-5F34-4CF7-831E-F1ABC4278CEB}" state="hidden">
      <pageMargins left="0.7" right="0.7" top="0.75" bottom="0.75" header="0.3" footer="0.3"/>
    </customSheetView>
    <customSheetView guid="{D01FA037-9AEC-4167-ADB8-2F327C01ECE6}" state="hidden">
      <pageMargins left="0.7" right="0.7" top="0.75" bottom="0.75" header="0.3" footer="0.3"/>
    </customSheetView>
    <customSheetView guid="{602C8EDB-B9EF-4C85-B0D5-0558C3A0ABAB}" state="hidden">
      <pageMargins left="0.7" right="0.7" top="0.75" bottom="0.75" header="0.3" footer="0.3"/>
    </customSheetView>
    <customSheetView guid="{69DABE6F-6182-4403-A4A2-969F10F1C13A}" state="hidden">
      <pageMargins left="0.7" right="0.7" top="0.75" bottom="0.75" header="0.3" footer="0.3"/>
    </customSheetView>
    <customSheetView guid="{E508E171-4ED9-4B07-84DF-DA28C60E1969}" state="hidden">
      <pageMargins left="0.7" right="0.7" top="0.75" bottom="0.75" header="0.3" footer="0.3"/>
    </customSheetView>
    <customSheetView guid="{AC2D5927-4079-4C74-AF69-1BFAC505648F}" state="hidden">
      <pageMargins left="0.7" right="0.7" top="0.75" bottom="0.75" header="0.3" footer="0.3"/>
    </customSheetView>
    <customSheetView guid="{442F2C94-DD1B-4A01-8694-513D4D6F3BD9}" state="hidden">
      <pageMargins left="0.7" right="0.7" top="0.75" bottom="0.75" header="0.3" footer="0.3"/>
    </customSheetView>
    <customSheetView guid="{CE1CCA00-200D-4EAA-9FBE-F8EE7C5F82FE}" state="hidden">
      <pageMargins left="0.7" right="0.7" top="0.75" bottom="0.75" header="0.3" footer="0.3"/>
    </customSheetView>
    <customSheetView guid="{4D0DFB57-2CBA-42F2-9A97-C453A6851FBA}" state="hidden">
      <pageMargins left="0.7" right="0.7" top="0.75" bottom="0.75" header="0.3" footer="0.3"/>
    </customSheetView>
    <customSheetView guid="{85F4575B-DBC5-482A-9916-255D8F0BC94E}">
      <pageMargins left="0.7" right="0.7" top="0.75" bottom="0.75" header="0.3" footer="0.3"/>
    </customSheetView>
    <customSheetView guid="{533DC55B-6AD4-4674-9488-685EF2039F3E}" state="hidden">
      <pageMargins left="0.7" right="0.7" top="0.75" bottom="0.75" header="0.3" footer="0.3"/>
    </customSheetView>
    <customSheetView guid="{87218168-6C8E-4D5B-A5E5-DCCC26803AA3}" state="hidden">
      <pageMargins left="0.7" right="0.7" top="0.75" bottom="0.75" header="0.3" footer="0.3"/>
    </customSheetView>
    <customSheetView guid="{DAA8A688-7558-4B5B-8DBD-E2629BD9E9A8}" state="hidden">
      <pageMargins left="0.7" right="0.7" top="0.75" bottom="0.75" header="0.3" footer="0.3"/>
    </customSheetView>
    <customSheetView guid="{391AB76E-B386-49C1-800F-016A48AA1A46}" state="hidden">
      <pageMargins left="0.7" right="0.7" top="0.75" bottom="0.75" header="0.3" footer="0.3"/>
    </customSheetView>
    <customSheetView guid="{09C3E205-981E-4A4E-BE89-8B7044192060}" state="hidden">
      <pageMargins left="0.7" right="0.7" top="0.75" bottom="0.75" header="0.3" footer="0.3"/>
    </customSheetView>
    <customSheetView guid="{84867370-1F3E-4368-AF79-FBCE46FFFE92}" state="hidden">
      <pageMargins left="0.7" right="0.7" top="0.75" bottom="0.75" header="0.3" footer="0.3"/>
    </customSheetView>
    <customSheetView guid="{0C2B9C2A-7B94-41EF-A2E6-F8AC9A67DE25}" state="hidden">
      <pageMargins left="0.7" right="0.7" top="0.75" bottom="0.75" header="0.3" footer="0.3"/>
    </customSheetView>
    <customSheetView guid="{CB4792DB-A624-4844-AEB6-A6ADA80946BB}" state="hidden">
      <pageMargins left="0.7" right="0.7" top="0.75" bottom="0.75" header="0.3" footer="0.3"/>
    </customSheetView>
    <customSheetView guid="{74870EE6-26B9-40F7-9DC9-260EF16D8959}" state="hidden">
      <pageMargins left="0.7" right="0.7" top="0.75" bottom="0.75" header="0.3" footer="0.3"/>
    </customSheetView>
    <customSheetView guid="{6A602CB8-B24C-4ED4-B378-B27354BE0A1A}" state="hidden">
      <pageMargins left="0.7" right="0.7" top="0.75" bottom="0.75" header="0.3" footer="0.3"/>
    </customSheetView>
    <customSheetView guid="{4F41B9CC-959D-442C-80B0-1F0DB2C76D27}" state="hidden">
      <pageMargins left="0.7" right="0.7" top="0.75" bottom="0.75" header="0.3" footer="0.3"/>
    </customSheetView>
    <customSheetView guid="{47B983AB-FE5F-4725-860C-A2F29420596D}" state="hidden">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8"/>
  <sheetViews>
    <sheetView zoomScale="50" zoomScaleNormal="50" zoomScaleSheetLayoutView="70" workbookViewId="0">
      <pane xSplit="2" ySplit="10" topLeftCell="C74" activePane="bottomRight" state="frozen"/>
      <selection activeCell="F284" sqref="F284:G284"/>
      <selection pane="topRight" activeCell="F284" sqref="F284:G284"/>
      <selection pane="bottomLeft" activeCell="F284" sqref="F284:G284"/>
      <selection pane="bottomRight" activeCell="AD7" sqref="AD7"/>
    </sheetView>
  </sheetViews>
  <sheetFormatPr defaultColWidth="9.140625" defaultRowHeight="18.75" x14ac:dyDescent="0.3"/>
  <cols>
    <col min="1" max="1" width="57.7109375" style="10" customWidth="1"/>
    <col min="2" max="5" width="15.140625" style="10" customWidth="1"/>
    <col min="6" max="6" width="16.140625" style="10" customWidth="1"/>
    <col min="7" max="7" width="15" style="10" customWidth="1"/>
    <col min="8" max="10" width="13.85546875" style="10" customWidth="1"/>
    <col min="11" max="11" width="14.7109375" style="10" customWidth="1"/>
    <col min="12" max="12" width="13.85546875" style="10" customWidth="1"/>
    <col min="13" max="13" width="13.28515625" style="10" customWidth="1"/>
    <col min="14" max="14" width="13.85546875" style="10" customWidth="1"/>
    <col min="15" max="15" width="15.28515625" style="10" customWidth="1"/>
    <col min="16" max="16" width="13.85546875" style="10" customWidth="1"/>
    <col min="17" max="17" width="13.5703125" style="10" customWidth="1"/>
    <col min="18" max="18" width="13.85546875" style="10" customWidth="1"/>
    <col min="19" max="19" width="12.140625" style="10" customWidth="1"/>
    <col min="20" max="20" width="13.85546875" style="10" customWidth="1"/>
    <col min="21" max="21" width="14.85546875" style="10" customWidth="1"/>
    <col min="22" max="22" width="14.5703125" style="10" customWidth="1"/>
    <col min="23" max="23" width="11.5703125" style="10" customWidth="1"/>
    <col min="24" max="24" width="11.28515625" style="10" customWidth="1"/>
    <col min="25" max="25" width="10.5703125" style="10" customWidth="1"/>
    <col min="26" max="26" width="17" style="10" customWidth="1"/>
    <col min="27" max="27" width="11.28515625" style="10" customWidth="1"/>
    <col min="28" max="28" width="10.7109375" style="10" customWidth="1"/>
    <col min="29" max="29" width="10.42578125" style="10" customWidth="1"/>
    <col min="30" max="30" width="16" style="10" customWidth="1"/>
    <col min="31" max="31" width="10.5703125" style="10" customWidth="1"/>
    <col min="32" max="32" width="143.28515625" style="10" customWidth="1"/>
    <col min="33" max="33" width="15.28515625" style="159" customWidth="1"/>
    <col min="34" max="34" width="9.140625" style="10"/>
    <col min="35" max="35" width="16.28515625" style="10" customWidth="1"/>
    <col min="36" max="16384" width="9.140625" style="10"/>
  </cols>
  <sheetData>
    <row r="1" spans="1:34" ht="18.75" customHeight="1" x14ac:dyDescent="0.3">
      <c r="A1" s="1073"/>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57"/>
      <c r="AF1" s="158"/>
    </row>
    <row r="2" spans="1:34" ht="18.75" customHeight="1" x14ac:dyDescent="0.3">
      <c r="A2" s="1073"/>
      <c r="B2" s="1073"/>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57"/>
      <c r="AF2" s="158"/>
    </row>
    <row r="3" spans="1:34" ht="18.75" customHeight="1" x14ac:dyDescent="0.3">
      <c r="A3" s="1073"/>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57"/>
      <c r="AF3" s="158"/>
    </row>
    <row r="4" spans="1:34" s="163" customFormat="1" ht="18.75" customHeight="1" x14ac:dyDescent="0.25">
      <c r="A4" s="1074" t="s">
        <v>234</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60"/>
      <c r="AF4" s="161"/>
      <c r="AG4" s="162"/>
    </row>
    <row r="5" spans="1:34" ht="18.75" customHeight="1" x14ac:dyDescent="0.3">
      <c r="A5" s="164"/>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075"/>
      <c r="AC5" s="1075"/>
      <c r="AD5" s="1075"/>
      <c r="AE5" s="165"/>
      <c r="AF5" s="166"/>
    </row>
    <row r="6" spans="1:34" ht="37.5" customHeight="1" x14ac:dyDescent="0.3">
      <c r="A6" s="1062" t="s">
        <v>163</v>
      </c>
      <c r="B6" s="95" t="s">
        <v>3</v>
      </c>
      <c r="C6" s="95" t="s">
        <v>3</v>
      </c>
      <c r="D6" s="95" t="s">
        <v>4</v>
      </c>
      <c r="E6" s="95" t="s">
        <v>5</v>
      </c>
      <c r="F6" s="1063" t="s">
        <v>6</v>
      </c>
      <c r="G6" s="1064"/>
      <c r="H6" s="1063" t="s">
        <v>7</v>
      </c>
      <c r="I6" s="1065"/>
      <c r="J6" s="1063" t="s">
        <v>8</v>
      </c>
      <c r="K6" s="1065"/>
      <c r="L6" s="1063" t="s">
        <v>9</v>
      </c>
      <c r="M6" s="1065"/>
      <c r="N6" s="1063" t="s">
        <v>10</v>
      </c>
      <c r="O6" s="1065"/>
      <c r="P6" s="1063" t="s">
        <v>11</v>
      </c>
      <c r="Q6" s="1065"/>
      <c r="R6" s="1063" t="s">
        <v>12</v>
      </c>
      <c r="S6" s="1065"/>
      <c r="T6" s="1063" t="s">
        <v>13</v>
      </c>
      <c r="U6" s="1065"/>
      <c r="V6" s="1063" t="s">
        <v>14</v>
      </c>
      <c r="W6" s="1065"/>
      <c r="X6" s="1063" t="s">
        <v>15</v>
      </c>
      <c r="Y6" s="1065"/>
      <c r="Z6" s="1063" t="s">
        <v>16</v>
      </c>
      <c r="AA6" s="1065"/>
      <c r="AB6" s="1063" t="s">
        <v>17</v>
      </c>
      <c r="AC6" s="1065"/>
      <c r="AD6" s="1066" t="s">
        <v>18</v>
      </c>
      <c r="AE6" s="1066"/>
      <c r="AF6" s="1052" t="s">
        <v>19</v>
      </c>
    </row>
    <row r="7" spans="1:34" ht="56.25" x14ac:dyDescent="0.3">
      <c r="A7" s="1062"/>
      <c r="B7" s="3">
        <v>2024</v>
      </c>
      <c r="C7" s="4">
        <v>45505</v>
      </c>
      <c r="D7" s="4">
        <v>45505</v>
      </c>
      <c r="E7" s="4">
        <v>45505</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1053"/>
    </row>
    <row r="8" spans="1:34" x14ac:dyDescent="0.3">
      <c r="A8" s="167">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8" customFormat="1" x14ac:dyDescent="0.3">
      <c r="A9" s="1070" t="s">
        <v>235</v>
      </c>
      <c r="B9" s="1071"/>
      <c r="C9" s="1071"/>
      <c r="D9" s="1071"/>
      <c r="E9" s="1071"/>
      <c r="F9" s="1071"/>
      <c r="G9" s="1071"/>
      <c r="H9" s="1071"/>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2"/>
    </row>
    <row r="10" spans="1:34" s="168" customFormat="1" x14ac:dyDescent="0.3">
      <c r="A10" s="1070" t="s">
        <v>54</v>
      </c>
      <c r="B10" s="107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2"/>
    </row>
    <row r="11" spans="1:34" ht="56.25" x14ac:dyDescent="0.3">
      <c r="A11" s="169" t="s">
        <v>236</v>
      </c>
      <c r="B11" s="170">
        <f t="shared" ref="B11:K11" si="0">B12</f>
        <v>6991.3</v>
      </c>
      <c r="C11" s="171">
        <f t="shared" si="0"/>
        <v>5362.5</v>
      </c>
      <c r="D11" s="171">
        <f>D12</f>
        <v>5362.5</v>
      </c>
      <c r="E11" s="170">
        <f t="shared" si="0"/>
        <v>5362.5</v>
      </c>
      <c r="F11" s="172">
        <f t="shared" si="0"/>
        <v>100</v>
      </c>
      <c r="G11" s="172">
        <f t="shared" si="0"/>
        <v>100</v>
      </c>
      <c r="H11" s="170">
        <f>H12</f>
        <v>5362.5</v>
      </c>
      <c r="I11" s="170">
        <f t="shared" si="0"/>
        <v>5362.5</v>
      </c>
      <c r="J11" s="170">
        <f t="shared" si="0"/>
        <v>0</v>
      </c>
      <c r="K11" s="172">
        <f t="shared" si="0"/>
        <v>0</v>
      </c>
      <c r="L11" s="170">
        <f>L12</f>
        <v>0</v>
      </c>
      <c r="M11" s="172">
        <f>M12</f>
        <v>0</v>
      </c>
      <c r="N11" s="170">
        <f>N12</f>
        <v>0</v>
      </c>
      <c r="O11" s="172">
        <f>O12</f>
        <v>0</v>
      </c>
      <c r="P11" s="170">
        <f>P12</f>
        <v>0</v>
      </c>
      <c r="Q11" s="172">
        <v>0</v>
      </c>
      <c r="R11" s="170">
        <f>R12</f>
        <v>0</v>
      </c>
      <c r="S11" s="172">
        <v>0</v>
      </c>
      <c r="T11" s="170">
        <f>T12</f>
        <v>0</v>
      </c>
      <c r="U11" s="172">
        <v>0</v>
      </c>
      <c r="V11" s="170">
        <f>V12</f>
        <v>0</v>
      </c>
      <c r="W11" s="172"/>
      <c r="X11" s="170">
        <f>X12</f>
        <v>628.79999999999995</v>
      </c>
      <c r="Y11" s="172"/>
      <c r="Z11" s="170">
        <f>Z12</f>
        <v>0</v>
      </c>
      <c r="AA11" s="172"/>
      <c r="AB11" s="170">
        <f>AB12</f>
        <v>1000</v>
      </c>
      <c r="AC11" s="172"/>
      <c r="AD11" s="170">
        <f>AD12</f>
        <v>0</v>
      </c>
      <c r="AE11" s="173"/>
      <c r="AF11" s="174"/>
      <c r="AG11" s="175"/>
      <c r="AH11" s="649"/>
    </row>
    <row r="12" spans="1:34" s="177" customFormat="1" x14ac:dyDescent="0.3">
      <c r="A12" s="176" t="s">
        <v>31</v>
      </c>
      <c r="B12" s="170">
        <f>B13+B14+B15+B16</f>
        <v>6991.3</v>
      </c>
      <c r="C12" s="170">
        <f>C13+C14+C15+C16</f>
        <v>5362.5</v>
      </c>
      <c r="D12" s="170">
        <f>D13+D14+D15+D16</f>
        <v>5362.5</v>
      </c>
      <c r="E12" s="170">
        <f t="shared" ref="E12:J12" si="1">E13+E14+E15+E16</f>
        <v>5362.5</v>
      </c>
      <c r="F12" s="170">
        <f t="shared" si="1"/>
        <v>100</v>
      </c>
      <c r="G12" s="170">
        <f>G15</f>
        <v>100</v>
      </c>
      <c r="H12" s="170">
        <f>H13+H14+H15+H16</f>
        <v>5362.5</v>
      </c>
      <c r="I12" s="170">
        <f t="shared" si="1"/>
        <v>5362.5</v>
      </c>
      <c r="J12" s="170">
        <f t="shared" si="1"/>
        <v>0</v>
      </c>
      <c r="K12" s="170">
        <f>K13+K14+K15+K16</f>
        <v>0</v>
      </c>
      <c r="L12" s="170">
        <f>L13+L14+L15+L16</f>
        <v>0</v>
      </c>
      <c r="M12" s="170">
        <f>M13+M14+M15+M16</f>
        <v>0</v>
      </c>
      <c r="N12" s="170">
        <f>N13+N14+N15+N16</f>
        <v>0</v>
      </c>
      <c r="O12" s="170">
        <v>0</v>
      </c>
      <c r="P12" s="170">
        <f>P13+P14+P15+P16</f>
        <v>0</v>
      </c>
      <c r="Q12" s="170">
        <v>0</v>
      </c>
      <c r="R12" s="170">
        <f>R13+R14+R15+R16</f>
        <v>0</v>
      </c>
      <c r="S12" s="170">
        <v>0</v>
      </c>
      <c r="T12" s="170">
        <f>T13+T14+T15+T16</f>
        <v>0</v>
      </c>
      <c r="U12" s="170">
        <v>0</v>
      </c>
      <c r="V12" s="170">
        <f>V13+V14+V15+V16</f>
        <v>0</v>
      </c>
      <c r="W12" s="170"/>
      <c r="X12" s="170">
        <f>X13+X14+X15+X16</f>
        <v>628.79999999999995</v>
      </c>
      <c r="Y12" s="170"/>
      <c r="Z12" s="170">
        <f>Z13+Z14+Z15+Z16</f>
        <v>0</v>
      </c>
      <c r="AA12" s="170"/>
      <c r="AB12" s="170">
        <f>AB13+AB14+AB15+AB16</f>
        <v>1000</v>
      </c>
      <c r="AC12" s="170"/>
      <c r="AD12" s="170">
        <f>AD13+AD14+AD15+AD16</f>
        <v>0</v>
      </c>
      <c r="AE12" s="170"/>
      <c r="AF12" s="174"/>
      <c r="AG12" s="175"/>
      <c r="AH12" s="649"/>
    </row>
    <row r="13" spans="1:34" x14ac:dyDescent="0.3">
      <c r="A13" s="178" t="s">
        <v>169</v>
      </c>
      <c r="B13" s="179">
        <f>H13+J13+L13+N13+P13+R13+T13+V13+X13+Z13+AB13+AD13</f>
        <v>0</v>
      </c>
      <c r="C13" s="180">
        <f>H13+J13</f>
        <v>0</v>
      </c>
      <c r="D13" s="180">
        <f>I13</f>
        <v>0</v>
      </c>
      <c r="E13" s="179">
        <v>0</v>
      </c>
      <c r="F13" s="181">
        <v>0</v>
      </c>
      <c r="G13" s="179">
        <v>0</v>
      </c>
      <c r="H13" s="179">
        <f>H19+H25</f>
        <v>0</v>
      </c>
      <c r="I13" s="179">
        <f t="shared" ref="I13:AE16" si="2">I19+I25</f>
        <v>0</v>
      </c>
      <c r="J13" s="179">
        <f t="shared" si="2"/>
        <v>0</v>
      </c>
      <c r="K13" s="179">
        <f t="shared" si="2"/>
        <v>0</v>
      </c>
      <c r="L13" s="179">
        <f t="shared" si="2"/>
        <v>0</v>
      </c>
      <c r="M13" s="179">
        <f t="shared" si="2"/>
        <v>0</v>
      </c>
      <c r="N13" s="179">
        <f t="shared" si="2"/>
        <v>0</v>
      </c>
      <c r="O13" s="179">
        <f t="shared" si="2"/>
        <v>0</v>
      </c>
      <c r="P13" s="179">
        <f t="shared" si="2"/>
        <v>0</v>
      </c>
      <c r="Q13" s="179">
        <f t="shared" si="2"/>
        <v>0</v>
      </c>
      <c r="R13" s="179">
        <f t="shared" si="2"/>
        <v>0</v>
      </c>
      <c r="S13" s="179">
        <f t="shared" si="2"/>
        <v>0</v>
      </c>
      <c r="T13" s="179">
        <f t="shared" si="2"/>
        <v>0</v>
      </c>
      <c r="U13" s="179">
        <f t="shared" si="2"/>
        <v>0</v>
      </c>
      <c r="V13" s="179">
        <f t="shared" si="2"/>
        <v>0</v>
      </c>
      <c r="W13" s="179"/>
      <c r="X13" s="179">
        <f t="shared" si="2"/>
        <v>0</v>
      </c>
      <c r="Y13" s="179">
        <f t="shared" si="2"/>
        <v>0</v>
      </c>
      <c r="Z13" s="179">
        <f t="shared" si="2"/>
        <v>0</v>
      </c>
      <c r="AA13" s="179">
        <f t="shared" si="2"/>
        <v>0</v>
      </c>
      <c r="AB13" s="179">
        <f t="shared" si="2"/>
        <v>0</v>
      </c>
      <c r="AC13" s="179">
        <f t="shared" si="2"/>
        <v>0</v>
      </c>
      <c r="AD13" s="179">
        <f t="shared" si="2"/>
        <v>0</v>
      </c>
      <c r="AE13" s="179">
        <f t="shared" si="2"/>
        <v>0</v>
      </c>
      <c r="AF13" s="182"/>
      <c r="AG13" s="175"/>
      <c r="AH13" s="649"/>
    </row>
    <row r="14" spans="1:34" x14ac:dyDescent="0.3">
      <c r="A14" s="178" t="s">
        <v>32</v>
      </c>
      <c r="B14" s="179">
        <f>H14+J14+L14+N14+P14+R14+T14+V14+X14+Z14+AB14+AD14</f>
        <v>0</v>
      </c>
      <c r="C14" s="180">
        <f>H14+J14</f>
        <v>0</v>
      </c>
      <c r="D14" s="180">
        <f>I14</f>
        <v>0</v>
      </c>
      <c r="E14" s="179">
        <v>0</v>
      </c>
      <c r="F14" s="181">
        <v>0</v>
      </c>
      <c r="G14" s="179">
        <v>0</v>
      </c>
      <c r="H14" s="179">
        <f>H20+H26</f>
        <v>0</v>
      </c>
      <c r="I14" s="179">
        <f t="shared" ref="I14:V14" si="3">I20+I26</f>
        <v>0</v>
      </c>
      <c r="J14" s="179">
        <f t="shared" si="3"/>
        <v>0</v>
      </c>
      <c r="K14" s="179">
        <f t="shared" si="3"/>
        <v>0</v>
      </c>
      <c r="L14" s="179">
        <f t="shared" si="3"/>
        <v>0</v>
      </c>
      <c r="M14" s="179">
        <f t="shared" si="3"/>
        <v>0</v>
      </c>
      <c r="N14" s="179">
        <f t="shared" si="3"/>
        <v>0</v>
      </c>
      <c r="O14" s="179">
        <f t="shared" si="3"/>
        <v>0</v>
      </c>
      <c r="P14" s="179">
        <f t="shared" si="3"/>
        <v>0</v>
      </c>
      <c r="Q14" s="179">
        <f t="shared" si="3"/>
        <v>0</v>
      </c>
      <c r="R14" s="179">
        <f t="shared" si="3"/>
        <v>0</v>
      </c>
      <c r="S14" s="179">
        <f t="shared" si="3"/>
        <v>0</v>
      </c>
      <c r="T14" s="179">
        <f t="shared" si="3"/>
        <v>0</v>
      </c>
      <c r="U14" s="179">
        <f t="shared" si="3"/>
        <v>0</v>
      </c>
      <c r="V14" s="179">
        <f t="shared" si="3"/>
        <v>0</v>
      </c>
      <c r="W14" s="179"/>
      <c r="X14" s="179">
        <f t="shared" si="2"/>
        <v>0</v>
      </c>
      <c r="Y14" s="179">
        <f t="shared" si="2"/>
        <v>0</v>
      </c>
      <c r="Z14" s="179">
        <f t="shared" si="2"/>
        <v>0</v>
      </c>
      <c r="AA14" s="179">
        <f t="shared" si="2"/>
        <v>0</v>
      </c>
      <c r="AB14" s="179">
        <f t="shared" si="2"/>
        <v>0</v>
      </c>
      <c r="AC14" s="179">
        <f t="shared" si="2"/>
        <v>0</v>
      </c>
      <c r="AD14" s="179">
        <f t="shared" si="2"/>
        <v>0</v>
      </c>
      <c r="AE14" s="179">
        <f t="shared" si="2"/>
        <v>0</v>
      </c>
      <c r="AF14" s="182"/>
      <c r="AG14" s="175"/>
      <c r="AH14" s="649"/>
    </row>
    <row r="15" spans="1:34" x14ac:dyDescent="0.3">
      <c r="A15" s="178" t="s">
        <v>33</v>
      </c>
      <c r="B15" s="179">
        <f>H15+J15+L15+N15+P15+R15+T15+V15+X15+Z15+AB15+AD15</f>
        <v>6991.3</v>
      </c>
      <c r="C15" s="180">
        <f>C21+C27</f>
        <v>5362.5</v>
      </c>
      <c r="D15" s="180">
        <f>I15</f>
        <v>5362.5</v>
      </c>
      <c r="E15" s="181">
        <f>I15</f>
        <v>5362.5</v>
      </c>
      <c r="F15" s="181">
        <f>F24</f>
        <v>100</v>
      </c>
      <c r="G15" s="181">
        <f>G24</f>
        <v>100</v>
      </c>
      <c r="H15" s="179">
        <f>H21+H27</f>
        <v>5362.5</v>
      </c>
      <c r="I15" s="179">
        <v>5362.5</v>
      </c>
      <c r="J15" s="179">
        <f t="shared" si="2"/>
        <v>0</v>
      </c>
      <c r="K15" s="179">
        <f t="shared" si="2"/>
        <v>0</v>
      </c>
      <c r="L15" s="179">
        <f t="shared" si="2"/>
        <v>0</v>
      </c>
      <c r="M15" s="179">
        <f t="shared" si="2"/>
        <v>0</v>
      </c>
      <c r="N15" s="179">
        <f t="shared" si="2"/>
        <v>0</v>
      </c>
      <c r="O15" s="179">
        <f t="shared" si="2"/>
        <v>0</v>
      </c>
      <c r="P15" s="179">
        <f t="shared" si="2"/>
        <v>0</v>
      </c>
      <c r="Q15" s="179">
        <f t="shared" si="2"/>
        <v>0</v>
      </c>
      <c r="R15" s="179">
        <f t="shared" si="2"/>
        <v>0</v>
      </c>
      <c r="S15" s="179">
        <f t="shared" si="2"/>
        <v>0</v>
      </c>
      <c r="T15" s="179">
        <f t="shared" si="2"/>
        <v>0</v>
      </c>
      <c r="U15" s="179">
        <f t="shared" si="2"/>
        <v>0</v>
      </c>
      <c r="V15" s="179">
        <f t="shared" si="2"/>
        <v>0</v>
      </c>
      <c r="W15" s="179"/>
      <c r="X15" s="179">
        <f>X21+X27+X33</f>
        <v>628.79999999999995</v>
      </c>
      <c r="Y15" s="179">
        <f t="shared" si="2"/>
        <v>0</v>
      </c>
      <c r="Z15" s="179">
        <f t="shared" si="2"/>
        <v>0</v>
      </c>
      <c r="AA15" s="179">
        <f t="shared" si="2"/>
        <v>0</v>
      </c>
      <c r="AB15" s="179">
        <f t="shared" si="2"/>
        <v>1000</v>
      </c>
      <c r="AC15" s="179">
        <f>AC21+AC27</f>
        <v>0</v>
      </c>
      <c r="AD15" s="179">
        <f t="shared" si="2"/>
        <v>0</v>
      </c>
      <c r="AE15" s="179">
        <f t="shared" si="2"/>
        <v>0</v>
      </c>
      <c r="AF15" s="182"/>
      <c r="AG15" s="175"/>
      <c r="AH15" s="649"/>
    </row>
    <row r="16" spans="1:34" x14ac:dyDescent="0.3">
      <c r="A16" s="178" t="s">
        <v>221</v>
      </c>
      <c r="B16" s="179">
        <f>H16+J16+L16+N16+P16+R16+T16+V16+X16+Z16+AB16+AD16</f>
        <v>0</v>
      </c>
      <c r="C16" s="180">
        <f>H16+J16</f>
        <v>0</v>
      </c>
      <c r="D16" s="180">
        <f>I16</f>
        <v>0</v>
      </c>
      <c r="E16" s="179">
        <v>0</v>
      </c>
      <c r="F16" s="181">
        <v>0</v>
      </c>
      <c r="G16" s="179">
        <v>0</v>
      </c>
      <c r="H16" s="179">
        <f>H22+H28</f>
        <v>0</v>
      </c>
      <c r="I16" s="179">
        <f t="shared" si="2"/>
        <v>0</v>
      </c>
      <c r="J16" s="179">
        <f t="shared" si="2"/>
        <v>0</v>
      </c>
      <c r="K16" s="179">
        <f t="shared" si="2"/>
        <v>0</v>
      </c>
      <c r="L16" s="179">
        <f t="shared" si="2"/>
        <v>0</v>
      </c>
      <c r="M16" s="179">
        <f t="shared" si="2"/>
        <v>0</v>
      </c>
      <c r="N16" s="179">
        <f t="shared" si="2"/>
        <v>0</v>
      </c>
      <c r="O16" s="179">
        <f t="shared" si="2"/>
        <v>0</v>
      </c>
      <c r="P16" s="179">
        <f t="shared" si="2"/>
        <v>0</v>
      </c>
      <c r="Q16" s="179">
        <f t="shared" si="2"/>
        <v>0</v>
      </c>
      <c r="R16" s="179">
        <f t="shared" si="2"/>
        <v>0</v>
      </c>
      <c r="S16" s="179">
        <f t="shared" si="2"/>
        <v>0</v>
      </c>
      <c r="T16" s="179">
        <f t="shared" si="2"/>
        <v>0</v>
      </c>
      <c r="U16" s="179">
        <f t="shared" si="2"/>
        <v>0</v>
      </c>
      <c r="V16" s="179">
        <f t="shared" si="2"/>
        <v>0</v>
      </c>
      <c r="W16" s="179"/>
      <c r="X16" s="179">
        <f t="shared" si="2"/>
        <v>0</v>
      </c>
      <c r="Y16" s="179">
        <f t="shared" si="2"/>
        <v>0</v>
      </c>
      <c r="Z16" s="179">
        <f t="shared" si="2"/>
        <v>0</v>
      </c>
      <c r="AA16" s="179">
        <f t="shared" si="2"/>
        <v>0</v>
      </c>
      <c r="AB16" s="179">
        <f t="shared" si="2"/>
        <v>0</v>
      </c>
      <c r="AC16" s="179">
        <f t="shared" si="2"/>
        <v>0</v>
      </c>
      <c r="AD16" s="179">
        <f t="shared" si="2"/>
        <v>0</v>
      </c>
      <c r="AE16" s="179">
        <f t="shared" si="2"/>
        <v>0</v>
      </c>
      <c r="AF16" s="182"/>
      <c r="AG16" s="175"/>
      <c r="AH16" s="649"/>
    </row>
    <row r="17" spans="1:34" ht="55.9" customHeight="1" x14ac:dyDescent="0.3">
      <c r="A17" s="200" t="s">
        <v>552</v>
      </c>
      <c r="B17" s="191"/>
      <c r="C17" s="191"/>
      <c r="D17" s="191"/>
      <c r="E17" s="192"/>
      <c r="F17" s="193"/>
      <c r="G17" s="193"/>
      <c r="H17" s="191"/>
      <c r="I17" s="192"/>
      <c r="J17" s="191"/>
      <c r="K17" s="192"/>
      <c r="L17" s="191"/>
      <c r="M17" s="192"/>
      <c r="N17" s="191"/>
      <c r="O17" s="192"/>
      <c r="P17" s="191"/>
      <c r="Q17" s="192"/>
      <c r="R17" s="191"/>
      <c r="S17" s="192"/>
      <c r="T17" s="191"/>
      <c r="U17" s="192"/>
      <c r="V17" s="191"/>
      <c r="W17" s="192"/>
      <c r="X17" s="191"/>
      <c r="Y17" s="192"/>
      <c r="Z17" s="191"/>
      <c r="AA17" s="192"/>
      <c r="AB17" s="191"/>
      <c r="AC17" s="192"/>
      <c r="AD17" s="191"/>
      <c r="AE17" s="194"/>
      <c r="AF17" s="201"/>
      <c r="AG17" s="175"/>
      <c r="AH17" s="649"/>
    </row>
    <row r="18" spans="1:34" s="177" customFormat="1" ht="42.6" customHeight="1" x14ac:dyDescent="0.3">
      <c r="A18" s="196" t="s">
        <v>31</v>
      </c>
      <c r="B18" s="197">
        <f>B19+B20+B21+B22</f>
        <v>1000</v>
      </c>
      <c r="C18" s="197">
        <f>C19+C20+C21+C22</f>
        <v>0</v>
      </c>
      <c r="D18" s="197">
        <f>D19+D20+D21+D22</f>
        <v>0</v>
      </c>
      <c r="E18" s="197">
        <f>E19+E20+E21+E22</f>
        <v>0</v>
      </c>
      <c r="F18" s="198">
        <f>IFERROR(E18/B18*100,0)</f>
        <v>0</v>
      </c>
      <c r="G18" s="198">
        <f>IFERROR(E18/C18*100,0)</f>
        <v>0</v>
      </c>
      <c r="H18" s="197">
        <f>H19+H20+H21+H22</f>
        <v>0</v>
      </c>
      <c r="I18" s="197">
        <f>I19+I20+I21+I22</f>
        <v>0</v>
      </c>
      <c r="J18" s="197">
        <f>J19+J20+J21+J22</f>
        <v>0</v>
      </c>
      <c r="K18" s="197">
        <v>0</v>
      </c>
      <c r="L18" s="197">
        <f>L19+L20+L21+L22</f>
        <v>0</v>
      </c>
      <c r="M18" s="197">
        <f>M19</f>
        <v>0</v>
      </c>
      <c r="N18" s="197">
        <f>N19+N20+N21+N22</f>
        <v>0</v>
      </c>
      <c r="O18" s="197">
        <f>O19</f>
        <v>0</v>
      </c>
      <c r="P18" s="197">
        <f>P19+P20+P21+P22</f>
        <v>0</v>
      </c>
      <c r="Q18" s="197">
        <f>Q19</f>
        <v>0</v>
      </c>
      <c r="R18" s="197">
        <f>R19+R20+R21+R22</f>
        <v>0</v>
      </c>
      <c r="S18" s="197">
        <v>0</v>
      </c>
      <c r="T18" s="197">
        <f>T19+T20+T21+T22</f>
        <v>0</v>
      </c>
      <c r="U18" s="197">
        <v>0</v>
      </c>
      <c r="V18" s="197">
        <f>V19+V20+V21+V22</f>
        <v>0</v>
      </c>
      <c r="W18" s="197"/>
      <c r="X18" s="197">
        <f>X19+X20+X21+X22</f>
        <v>0</v>
      </c>
      <c r="Y18" s="197"/>
      <c r="Z18" s="197">
        <f>Z19+Z20+Z21+Z22</f>
        <v>0</v>
      </c>
      <c r="AA18" s="197"/>
      <c r="AB18" s="197">
        <f>AB19+AB20+AB21+AB22</f>
        <v>1000</v>
      </c>
      <c r="AC18" s="197"/>
      <c r="AD18" s="197">
        <f>AD19+AD20+AD21+AD22</f>
        <v>0</v>
      </c>
      <c r="AE18" s="197"/>
      <c r="AF18" s="225" t="s">
        <v>653</v>
      </c>
      <c r="AG18" s="175"/>
      <c r="AH18" s="649"/>
    </row>
    <row r="19" spans="1:34" x14ac:dyDescent="0.3">
      <c r="A19" s="199" t="s">
        <v>169</v>
      </c>
      <c r="B19" s="191">
        <f>H19+J19+L19+N19+P19+R19+T19+V19+X19+Z19+AB19+AD19</f>
        <v>0</v>
      </c>
      <c r="C19" s="191">
        <f>H19+J19</f>
        <v>0</v>
      </c>
      <c r="D19" s="191">
        <f>E19</f>
        <v>0</v>
      </c>
      <c r="E19" s="191">
        <v>0</v>
      </c>
      <c r="F19" s="193">
        <f>IFERROR(E19/B19*100,0)</f>
        <v>0</v>
      </c>
      <c r="G19" s="193">
        <f>IFERROR(E19/C19*100,0)</f>
        <v>0</v>
      </c>
      <c r="H19" s="191">
        <v>0</v>
      </c>
      <c r="I19" s="191">
        <v>0</v>
      </c>
      <c r="J19" s="191">
        <v>0</v>
      </c>
      <c r="K19" s="191">
        <v>0</v>
      </c>
      <c r="L19" s="191">
        <v>0</v>
      </c>
      <c r="M19" s="191">
        <v>0</v>
      </c>
      <c r="N19" s="191">
        <v>0</v>
      </c>
      <c r="O19" s="191">
        <v>0</v>
      </c>
      <c r="P19" s="191">
        <v>0</v>
      </c>
      <c r="Q19" s="191">
        <v>0</v>
      </c>
      <c r="R19" s="191">
        <v>0</v>
      </c>
      <c r="S19" s="191">
        <v>0</v>
      </c>
      <c r="T19" s="191">
        <v>0</v>
      </c>
      <c r="U19" s="191">
        <v>0</v>
      </c>
      <c r="V19" s="191"/>
      <c r="W19" s="191"/>
      <c r="X19" s="191"/>
      <c r="Y19" s="191"/>
      <c r="Z19" s="191"/>
      <c r="AA19" s="191"/>
      <c r="AB19" s="191"/>
      <c r="AC19" s="191"/>
      <c r="AD19" s="191"/>
      <c r="AE19" s="191"/>
      <c r="AF19" s="201"/>
      <c r="AG19" s="175"/>
      <c r="AH19" s="649"/>
    </row>
    <row r="20" spans="1:34" x14ac:dyDescent="0.3">
      <c r="A20" s="199" t="s">
        <v>32</v>
      </c>
      <c r="B20" s="191">
        <f>H20+J20+L20+N20+P20+R20+T20+V20+X20+Z20+AB20+AD20</f>
        <v>0</v>
      </c>
      <c r="C20" s="191">
        <f>H20+J20</f>
        <v>0</v>
      </c>
      <c r="D20" s="191">
        <f>E20</f>
        <v>0</v>
      </c>
      <c r="E20" s="191">
        <v>0</v>
      </c>
      <c r="F20" s="193">
        <f>IFERROR(E20/B20*100,0)</f>
        <v>0</v>
      </c>
      <c r="G20" s="193">
        <f>IFERROR(E20/C20*100,0)</f>
        <v>0</v>
      </c>
      <c r="H20" s="191">
        <v>0</v>
      </c>
      <c r="I20" s="191">
        <v>0</v>
      </c>
      <c r="J20" s="191">
        <v>0</v>
      </c>
      <c r="K20" s="191">
        <v>0</v>
      </c>
      <c r="L20" s="191">
        <v>0</v>
      </c>
      <c r="M20" s="191">
        <v>0</v>
      </c>
      <c r="N20" s="191">
        <v>0</v>
      </c>
      <c r="O20" s="191">
        <v>0</v>
      </c>
      <c r="P20" s="191">
        <v>0</v>
      </c>
      <c r="Q20" s="191">
        <v>0</v>
      </c>
      <c r="R20" s="191">
        <v>0</v>
      </c>
      <c r="S20" s="191">
        <v>0</v>
      </c>
      <c r="T20" s="191">
        <v>0</v>
      </c>
      <c r="U20" s="191">
        <v>0</v>
      </c>
      <c r="V20" s="191"/>
      <c r="W20" s="191"/>
      <c r="X20" s="191"/>
      <c r="Y20" s="191"/>
      <c r="Z20" s="191"/>
      <c r="AA20" s="191"/>
      <c r="AB20" s="191"/>
      <c r="AC20" s="191"/>
      <c r="AD20" s="191"/>
      <c r="AE20" s="191"/>
      <c r="AF20" s="201"/>
      <c r="AG20" s="175"/>
      <c r="AH20" s="649"/>
    </row>
    <row r="21" spans="1:34" s="647" customFormat="1" x14ac:dyDescent="0.3">
      <c r="A21" s="745" t="s">
        <v>33</v>
      </c>
      <c r="B21" s="674">
        <f>H21+J21+L21+N21+P21+R21+T21+V21+X21+Z21+AB21+AD21</f>
        <v>1000</v>
      </c>
      <c r="C21" s="674">
        <f>H21+J21+L21+N21</f>
        <v>0</v>
      </c>
      <c r="D21" s="750">
        <f>E21</f>
        <v>0</v>
      </c>
      <c r="E21" s="746">
        <v>0</v>
      </c>
      <c r="F21" s="674">
        <f>IFERROR(E21/B21*100,0)</f>
        <v>0</v>
      </c>
      <c r="G21" s="674">
        <f>IFERROR(E21/C21*100,0)</f>
        <v>0</v>
      </c>
      <c r="H21" s="674">
        <v>0</v>
      </c>
      <c r="I21" s="674">
        <v>0</v>
      </c>
      <c r="J21" s="674">
        <v>0</v>
      </c>
      <c r="K21" s="674">
        <v>0</v>
      </c>
      <c r="L21" s="674">
        <v>0</v>
      </c>
      <c r="M21" s="674">
        <v>0</v>
      </c>
      <c r="N21" s="674">
        <v>0</v>
      </c>
      <c r="O21" s="674">
        <v>0</v>
      </c>
      <c r="P21" s="674">
        <v>0</v>
      </c>
      <c r="Q21" s="674">
        <v>0</v>
      </c>
      <c r="R21" s="674">
        <v>0</v>
      </c>
      <c r="S21" s="674">
        <v>0</v>
      </c>
      <c r="T21" s="674">
        <v>0</v>
      </c>
      <c r="U21" s="674">
        <v>0</v>
      </c>
      <c r="V21" s="674"/>
      <c r="W21" s="674"/>
      <c r="X21" s="674"/>
      <c r="Y21" s="674"/>
      <c r="Z21" s="674"/>
      <c r="AA21" s="674"/>
      <c r="AB21" s="674">
        <v>1000</v>
      </c>
      <c r="AC21" s="674"/>
      <c r="AD21" s="674"/>
      <c r="AE21" s="674"/>
      <c r="AF21" s="753"/>
      <c r="AG21" s="748"/>
      <c r="AH21" s="749"/>
    </row>
    <row r="22" spans="1:34" x14ac:dyDescent="0.3">
      <c r="A22" s="199" t="s">
        <v>221</v>
      </c>
      <c r="B22" s="191">
        <f>H22+J22+L22+N22+P22+R22+T22+V22+X22+Z22+AB22+AD22</f>
        <v>0</v>
      </c>
      <c r="C22" s="191">
        <f>H22</f>
        <v>0</v>
      </c>
      <c r="D22" s="191">
        <f>E22</f>
        <v>0</v>
      </c>
      <c r="E22" s="191">
        <v>0</v>
      </c>
      <c r="F22" s="193">
        <f>IFERROR(E22/B22*100,0)</f>
        <v>0</v>
      </c>
      <c r="G22" s="193">
        <f>IFERROR(E22/C22*100,0)</f>
        <v>0</v>
      </c>
      <c r="H22" s="191">
        <v>0</v>
      </c>
      <c r="I22" s="191">
        <v>0</v>
      </c>
      <c r="J22" s="191">
        <v>0</v>
      </c>
      <c r="K22" s="191">
        <v>0</v>
      </c>
      <c r="L22" s="191">
        <v>0</v>
      </c>
      <c r="M22" s="191">
        <v>0</v>
      </c>
      <c r="N22" s="191">
        <v>0</v>
      </c>
      <c r="O22" s="191">
        <v>0</v>
      </c>
      <c r="P22" s="191">
        <v>0</v>
      </c>
      <c r="Q22" s="191">
        <v>0</v>
      </c>
      <c r="R22" s="191">
        <v>0</v>
      </c>
      <c r="S22" s="191">
        <v>0</v>
      </c>
      <c r="T22" s="191">
        <v>0</v>
      </c>
      <c r="U22" s="191">
        <v>0</v>
      </c>
      <c r="V22" s="191"/>
      <c r="W22" s="191"/>
      <c r="X22" s="191"/>
      <c r="Y22" s="191"/>
      <c r="Z22" s="191"/>
      <c r="AA22" s="191"/>
      <c r="AB22" s="191"/>
      <c r="AC22" s="191"/>
      <c r="AD22" s="191"/>
      <c r="AE22" s="191"/>
      <c r="AF22" s="201"/>
      <c r="AG22" s="175"/>
      <c r="AH22" s="649"/>
    </row>
    <row r="23" spans="1:34" ht="388.9" customHeight="1" x14ac:dyDescent="0.3">
      <c r="A23" s="200" t="s">
        <v>237</v>
      </c>
      <c r="B23" s="191"/>
      <c r="C23" s="191"/>
      <c r="D23" s="191"/>
      <c r="E23" s="192"/>
      <c r="F23" s="193"/>
      <c r="G23" s="193"/>
      <c r="H23" s="191"/>
      <c r="I23" s="192"/>
      <c r="J23" s="191"/>
      <c r="K23" s="192"/>
      <c r="L23" s="191"/>
      <c r="M23" s="192"/>
      <c r="N23" s="191"/>
      <c r="O23" s="192"/>
      <c r="P23" s="191"/>
      <c r="Q23" s="192"/>
      <c r="R23" s="191"/>
      <c r="S23" s="192"/>
      <c r="T23" s="191"/>
      <c r="U23" s="192"/>
      <c r="V23" s="191"/>
      <c r="W23" s="192"/>
      <c r="X23" s="191"/>
      <c r="Y23" s="192"/>
      <c r="Z23" s="191"/>
      <c r="AA23" s="192"/>
      <c r="AB23" s="191"/>
      <c r="AC23" s="192"/>
      <c r="AD23" s="191"/>
      <c r="AE23" s="194"/>
      <c r="AF23" s="510" t="s">
        <v>654</v>
      </c>
      <c r="AG23" s="175"/>
      <c r="AH23" s="649"/>
    </row>
    <row r="24" spans="1:34" s="752" customFormat="1" x14ac:dyDescent="0.3">
      <c r="A24" s="751" t="s">
        <v>31</v>
      </c>
      <c r="B24" s="673">
        <f>B25+B26+B27+B28</f>
        <v>5362.5</v>
      </c>
      <c r="C24" s="673">
        <f>C25+C26+C27+C28</f>
        <v>5362.5</v>
      </c>
      <c r="D24" s="673">
        <f>D25+D26+D27+D28</f>
        <v>5362.5</v>
      </c>
      <c r="E24" s="673">
        <f>E25+E26+E27+E28</f>
        <v>5362.5</v>
      </c>
      <c r="F24" s="673">
        <f>F25+F26+F27+F28</f>
        <v>100</v>
      </c>
      <c r="G24" s="673">
        <f>E24/C24*100</f>
        <v>100</v>
      </c>
      <c r="H24" s="673">
        <f>H25+H26+H27+H28</f>
        <v>5362.5</v>
      </c>
      <c r="I24" s="673">
        <f>I25+I26+I27+I28</f>
        <v>5362.5</v>
      </c>
      <c r="J24" s="673">
        <f>J25+J26+J27+J28</f>
        <v>0</v>
      </c>
      <c r="K24" s="673">
        <f>K25+K26+K27+K28</f>
        <v>0</v>
      </c>
      <c r="L24" s="673">
        <f>L25+L26+L27+L28</f>
        <v>0</v>
      </c>
      <c r="M24" s="673">
        <f>M25</f>
        <v>0</v>
      </c>
      <c r="N24" s="673">
        <f>N25+N26+N27+N28</f>
        <v>0</v>
      </c>
      <c r="O24" s="673">
        <f>O25</f>
        <v>0</v>
      </c>
      <c r="P24" s="673">
        <f>P25+P26+P27+P28</f>
        <v>0</v>
      </c>
      <c r="Q24" s="673">
        <v>0</v>
      </c>
      <c r="R24" s="673">
        <f>R25+R26+R27+R28</f>
        <v>0</v>
      </c>
      <c r="S24" s="673">
        <v>0</v>
      </c>
      <c r="T24" s="673">
        <f>T25+T26+T27+T28</f>
        <v>0</v>
      </c>
      <c r="U24" s="673">
        <v>0</v>
      </c>
      <c r="V24" s="673">
        <f>V25+V26+V27+V28</f>
        <v>0</v>
      </c>
      <c r="W24" s="673"/>
      <c r="X24" s="673">
        <f>X25+X26+X27+X28</f>
        <v>0</v>
      </c>
      <c r="Y24" s="673"/>
      <c r="Z24" s="673">
        <f>Z25+Z26+Z27+Z28</f>
        <v>0</v>
      </c>
      <c r="AA24" s="673"/>
      <c r="AB24" s="673">
        <f>AB25+AB26+AB27+AB28</f>
        <v>0</v>
      </c>
      <c r="AC24" s="673"/>
      <c r="AD24" s="673">
        <f>AD25+AD26+AD27+AD28</f>
        <v>0</v>
      </c>
      <c r="AE24" s="673"/>
      <c r="AF24" s="753"/>
      <c r="AG24" s="748"/>
      <c r="AH24" s="749"/>
    </row>
    <row r="25" spans="1:34" x14ac:dyDescent="0.3">
      <c r="A25" s="199" t="s">
        <v>169</v>
      </c>
      <c r="B25" s="191">
        <f>H25+J25+L25+N25+P25+R25+T25+V25+X25+Z25+AB25+AD25</f>
        <v>0</v>
      </c>
      <c r="C25" s="191">
        <f>H25+J25</f>
        <v>0</v>
      </c>
      <c r="D25" s="191">
        <f>E25</f>
        <v>0</v>
      </c>
      <c r="E25" s="191">
        <v>0</v>
      </c>
      <c r="F25" s="193">
        <v>0</v>
      </c>
      <c r="G25" s="193">
        <v>0</v>
      </c>
      <c r="H25" s="191">
        <v>0</v>
      </c>
      <c r="I25" s="191">
        <v>0</v>
      </c>
      <c r="J25" s="191">
        <v>0</v>
      </c>
      <c r="K25" s="191">
        <v>0</v>
      </c>
      <c r="L25" s="191">
        <v>0</v>
      </c>
      <c r="M25" s="191">
        <v>0</v>
      </c>
      <c r="N25" s="191">
        <v>0</v>
      </c>
      <c r="O25" s="191">
        <v>0</v>
      </c>
      <c r="P25" s="191">
        <v>0</v>
      </c>
      <c r="Q25" s="191">
        <v>0</v>
      </c>
      <c r="R25" s="191">
        <v>0</v>
      </c>
      <c r="S25" s="191">
        <v>0</v>
      </c>
      <c r="T25" s="191">
        <v>0</v>
      </c>
      <c r="U25" s="191">
        <v>0</v>
      </c>
      <c r="V25" s="191"/>
      <c r="W25" s="191"/>
      <c r="X25" s="191"/>
      <c r="Y25" s="191"/>
      <c r="Z25" s="191"/>
      <c r="AA25" s="191"/>
      <c r="AB25" s="191"/>
      <c r="AC25" s="191"/>
      <c r="AD25" s="191"/>
      <c r="AE25" s="191"/>
      <c r="AF25" s="201" t="e">
        <f>-AF23</f>
        <v>#VALUE!</v>
      </c>
      <c r="AG25" s="175"/>
      <c r="AH25" s="649"/>
    </row>
    <row r="26" spans="1:34" x14ac:dyDescent="0.3">
      <c r="A26" s="199" t="s">
        <v>32</v>
      </c>
      <c r="B26" s="191">
        <f>H26+J26+L26+N26+P26+R26+T26+V26+X26+Z26+AB26+AD26</f>
        <v>0</v>
      </c>
      <c r="C26" s="191">
        <f>H26+J26</f>
        <v>0</v>
      </c>
      <c r="D26" s="191">
        <f>E26</f>
        <v>0</v>
      </c>
      <c r="E26" s="191">
        <v>0</v>
      </c>
      <c r="F26" s="193">
        <v>0</v>
      </c>
      <c r="G26" s="193">
        <v>0</v>
      </c>
      <c r="H26" s="191">
        <v>0</v>
      </c>
      <c r="I26" s="191">
        <v>0</v>
      </c>
      <c r="J26" s="191">
        <v>0</v>
      </c>
      <c r="K26" s="191">
        <v>0</v>
      </c>
      <c r="L26" s="191">
        <v>0</v>
      </c>
      <c r="M26" s="191">
        <v>0</v>
      </c>
      <c r="N26" s="191">
        <v>0</v>
      </c>
      <c r="O26" s="191">
        <v>0</v>
      </c>
      <c r="P26" s="191">
        <v>0</v>
      </c>
      <c r="Q26" s="191">
        <v>0</v>
      </c>
      <c r="R26" s="191">
        <v>0</v>
      </c>
      <c r="S26" s="191">
        <v>0</v>
      </c>
      <c r="T26" s="191">
        <v>0</v>
      </c>
      <c r="U26" s="191">
        <v>0</v>
      </c>
      <c r="V26" s="191"/>
      <c r="W26" s="191"/>
      <c r="X26" s="191"/>
      <c r="Y26" s="191"/>
      <c r="Z26" s="191"/>
      <c r="AA26" s="191"/>
      <c r="AB26" s="191"/>
      <c r="AC26" s="191"/>
      <c r="AD26" s="191"/>
      <c r="AE26" s="191"/>
      <c r="AF26" s="201"/>
      <c r="AG26" s="175"/>
      <c r="AH26" s="649"/>
    </row>
    <row r="27" spans="1:34" s="647" customFormat="1" x14ac:dyDescent="0.3">
      <c r="A27" s="745" t="s">
        <v>33</v>
      </c>
      <c r="B27" s="674">
        <f>H27+J27+L27+N27+P27+R27+T27+V27+X27+Z27+AB27+AD27</f>
        <v>5362.5</v>
      </c>
      <c r="C27" s="674">
        <f>H27+J27+L27+N27+P27+R27+T27</f>
        <v>5362.5</v>
      </c>
      <c r="D27" s="750">
        <f>H27</f>
        <v>5362.5</v>
      </c>
      <c r="E27" s="746">
        <f>I27</f>
        <v>5362.5</v>
      </c>
      <c r="F27" s="674">
        <f>E27/B27*100</f>
        <v>100</v>
      </c>
      <c r="G27" s="674">
        <f>E27/C27*100</f>
        <v>100</v>
      </c>
      <c r="H27" s="674">
        <v>5362.5</v>
      </c>
      <c r="I27" s="674">
        <v>5362.5</v>
      </c>
      <c r="J27" s="674">
        <v>0</v>
      </c>
      <c r="K27" s="674">
        <v>0</v>
      </c>
      <c r="L27" s="674">
        <v>0</v>
      </c>
      <c r="M27" s="674">
        <v>0</v>
      </c>
      <c r="N27" s="674">
        <v>0</v>
      </c>
      <c r="O27" s="674">
        <v>0</v>
      </c>
      <c r="P27" s="674">
        <v>0</v>
      </c>
      <c r="Q27" s="674">
        <v>0</v>
      </c>
      <c r="R27" s="674">
        <v>0</v>
      </c>
      <c r="S27" s="674">
        <v>0</v>
      </c>
      <c r="T27" s="674">
        <v>0</v>
      </c>
      <c r="U27" s="674">
        <v>0</v>
      </c>
      <c r="V27" s="674"/>
      <c r="W27" s="674"/>
      <c r="X27" s="674"/>
      <c r="Y27" s="674"/>
      <c r="Z27" s="674"/>
      <c r="AA27" s="674"/>
      <c r="AB27" s="674"/>
      <c r="AC27" s="674"/>
      <c r="AD27" s="674"/>
      <c r="AE27" s="674"/>
      <c r="AF27" s="753"/>
      <c r="AG27" s="748"/>
      <c r="AH27" s="749"/>
    </row>
    <row r="28" spans="1:34" x14ac:dyDescent="0.3">
      <c r="A28" s="199" t="s">
        <v>221</v>
      </c>
      <c r="B28" s="191">
        <f>H28+J28+L28+N28+P28+R28+T28+V28+X28+Z28+AB28+AD28</f>
        <v>0</v>
      </c>
      <c r="C28" s="191">
        <f>H28</f>
        <v>0</v>
      </c>
      <c r="D28" s="191">
        <f>E28</f>
        <v>0</v>
      </c>
      <c r="E28" s="191">
        <v>0</v>
      </c>
      <c r="F28" s="193">
        <v>0</v>
      </c>
      <c r="G28" s="193">
        <v>0</v>
      </c>
      <c r="H28" s="191">
        <v>0</v>
      </c>
      <c r="I28" s="191">
        <v>0</v>
      </c>
      <c r="J28" s="191">
        <v>0</v>
      </c>
      <c r="K28" s="191">
        <v>0</v>
      </c>
      <c r="L28" s="191">
        <v>0</v>
      </c>
      <c r="M28" s="191">
        <v>0</v>
      </c>
      <c r="N28" s="191">
        <v>0</v>
      </c>
      <c r="O28" s="191">
        <v>0</v>
      </c>
      <c r="P28" s="191">
        <v>0</v>
      </c>
      <c r="Q28" s="191">
        <v>0</v>
      </c>
      <c r="R28" s="191">
        <v>0</v>
      </c>
      <c r="S28" s="191">
        <v>0</v>
      </c>
      <c r="T28" s="191">
        <v>0</v>
      </c>
      <c r="U28" s="191">
        <v>0</v>
      </c>
      <c r="V28" s="191"/>
      <c r="W28" s="191"/>
      <c r="X28" s="191"/>
      <c r="Y28" s="191"/>
      <c r="Z28" s="191"/>
      <c r="AA28" s="191"/>
      <c r="AB28" s="191"/>
      <c r="AC28" s="191"/>
      <c r="AD28" s="191"/>
      <c r="AE28" s="191"/>
      <c r="AF28" s="201"/>
      <c r="AG28" s="175"/>
      <c r="AH28" s="649"/>
    </row>
    <row r="29" spans="1:34" ht="115.5" x14ac:dyDescent="0.3">
      <c r="A29" s="199" t="s">
        <v>639</v>
      </c>
      <c r="B29" s="191">
        <v>0</v>
      </c>
      <c r="C29" s="191">
        <v>0</v>
      </c>
      <c r="D29" s="191">
        <v>0</v>
      </c>
      <c r="E29" s="191">
        <v>0</v>
      </c>
      <c r="F29" s="193">
        <v>0</v>
      </c>
      <c r="G29" s="193">
        <v>0</v>
      </c>
      <c r="H29" s="191">
        <v>0</v>
      </c>
      <c r="I29" s="191">
        <v>0</v>
      </c>
      <c r="J29" s="191">
        <v>0</v>
      </c>
      <c r="K29" s="191">
        <v>0</v>
      </c>
      <c r="L29" s="191">
        <v>0</v>
      </c>
      <c r="M29" s="191">
        <v>0</v>
      </c>
      <c r="N29" s="191">
        <v>0</v>
      </c>
      <c r="O29" s="191">
        <v>0</v>
      </c>
      <c r="P29" s="191">
        <v>0</v>
      </c>
      <c r="Q29" s="191">
        <v>0</v>
      </c>
      <c r="R29" s="191">
        <v>0</v>
      </c>
      <c r="S29" s="191">
        <v>0</v>
      </c>
      <c r="T29" s="191">
        <v>0</v>
      </c>
      <c r="U29" s="191">
        <v>0</v>
      </c>
      <c r="V29" s="191"/>
      <c r="W29" s="191"/>
      <c r="X29" s="191"/>
      <c r="Y29" s="191"/>
      <c r="Z29" s="191"/>
      <c r="AA29" s="191"/>
      <c r="AB29" s="191"/>
      <c r="AC29" s="191"/>
      <c r="AD29" s="191"/>
      <c r="AE29" s="191"/>
      <c r="AF29" s="201"/>
      <c r="AG29" s="175"/>
      <c r="AH29" s="649"/>
    </row>
    <row r="30" spans="1:34" x14ac:dyDescent="0.3">
      <c r="A30" s="199" t="s">
        <v>31</v>
      </c>
      <c r="B30" s="191">
        <v>0</v>
      </c>
      <c r="C30" s="191">
        <v>0</v>
      </c>
      <c r="D30" s="191">
        <v>0</v>
      </c>
      <c r="E30" s="191">
        <v>0</v>
      </c>
      <c r="F30" s="193">
        <v>0</v>
      </c>
      <c r="G30" s="193">
        <v>0</v>
      </c>
      <c r="H30" s="191">
        <v>0</v>
      </c>
      <c r="I30" s="191">
        <v>0</v>
      </c>
      <c r="J30" s="191">
        <v>0</v>
      </c>
      <c r="K30" s="191">
        <v>0</v>
      </c>
      <c r="L30" s="191">
        <v>0</v>
      </c>
      <c r="M30" s="191">
        <v>0</v>
      </c>
      <c r="N30" s="191">
        <v>0</v>
      </c>
      <c r="O30" s="191">
        <v>0</v>
      </c>
      <c r="P30" s="191">
        <v>0</v>
      </c>
      <c r="Q30" s="191">
        <v>0</v>
      </c>
      <c r="R30" s="191">
        <v>0</v>
      </c>
      <c r="S30" s="191">
        <v>0</v>
      </c>
      <c r="T30" s="191">
        <v>0</v>
      </c>
      <c r="U30" s="191">
        <v>0</v>
      </c>
      <c r="V30" s="191">
        <v>0</v>
      </c>
      <c r="W30" s="191">
        <v>0</v>
      </c>
      <c r="X30" s="191"/>
      <c r="Y30" s="191"/>
      <c r="Z30" s="191"/>
      <c r="AA30" s="191"/>
      <c r="AB30" s="191"/>
      <c r="AC30" s="191"/>
      <c r="AD30" s="191"/>
      <c r="AE30" s="191"/>
      <c r="AF30" s="201"/>
      <c r="AG30" s="175"/>
      <c r="AH30" s="649"/>
    </row>
    <row r="31" spans="1:34" x14ac:dyDescent="0.3">
      <c r="A31" s="199" t="s">
        <v>169</v>
      </c>
      <c r="B31" s="191">
        <v>0</v>
      </c>
      <c r="C31" s="191">
        <v>0</v>
      </c>
      <c r="D31" s="191">
        <v>0</v>
      </c>
      <c r="E31" s="191">
        <v>0</v>
      </c>
      <c r="F31" s="193">
        <v>0</v>
      </c>
      <c r="G31" s="193">
        <v>0</v>
      </c>
      <c r="H31" s="191">
        <v>0</v>
      </c>
      <c r="I31" s="191">
        <v>0</v>
      </c>
      <c r="J31" s="191">
        <v>0</v>
      </c>
      <c r="K31" s="191">
        <v>0</v>
      </c>
      <c r="L31" s="191">
        <v>0</v>
      </c>
      <c r="M31" s="191">
        <v>0</v>
      </c>
      <c r="N31" s="191">
        <v>0</v>
      </c>
      <c r="O31" s="191">
        <v>0</v>
      </c>
      <c r="P31" s="191">
        <v>0</v>
      </c>
      <c r="Q31" s="191">
        <v>0</v>
      </c>
      <c r="R31" s="191">
        <v>0</v>
      </c>
      <c r="S31" s="191">
        <v>0</v>
      </c>
      <c r="T31" s="191">
        <v>0</v>
      </c>
      <c r="U31" s="191">
        <v>0</v>
      </c>
      <c r="V31" s="191">
        <v>0</v>
      </c>
      <c r="W31" s="191">
        <v>0</v>
      </c>
      <c r="X31" s="191"/>
      <c r="Y31" s="191"/>
      <c r="Z31" s="191"/>
      <c r="AA31" s="191"/>
      <c r="AB31" s="191"/>
      <c r="AC31" s="191"/>
      <c r="AD31" s="191"/>
      <c r="AE31" s="191"/>
      <c r="AF31" s="201"/>
      <c r="AG31" s="175"/>
      <c r="AH31" s="649"/>
    </row>
    <row r="32" spans="1:34" x14ac:dyDescent="0.3">
      <c r="A32" s="199" t="s">
        <v>32</v>
      </c>
      <c r="B32" s="191">
        <v>0</v>
      </c>
      <c r="C32" s="191">
        <v>0</v>
      </c>
      <c r="D32" s="191">
        <v>0</v>
      </c>
      <c r="E32" s="191">
        <v>0</v>
      </c>
      <c r="F32" s="193">
        <v>0</v>
      </c>
      <c r="G32" s="193">
        <v>0</v>
      </c>
      <c r="H32" s="191">
        <v>0</v>
      </c>
      <c r="I32" s="191">
        <v>0</v>
      </c>
      <c r="J32" s="191">
        <v>0</v>
      </c>
      <c r="K32" s="191">
        <v>0</v>
      </c>
      <c r="L32" s="191">
        <v>0</v>
      </c>
      <c r="M32" s="191">
        <v>0</v>
      </c>
      <c r="N32" s="191">
        <v>0</v>
      </c>
      <c r="O32" s="191">
        <v>0</v>
      </c>
      <c r="P32" s="191">
        <v>0</v>
      </c>
      <c r="Q32" s="191">
        <v>0</v>
      </c>
      <c r="R32" s="191">
        <v>0</v>
      </c>
      <c r="S32" s="191">
        <v>0</v>
      </c>
      <c r="T32" s="191">
        <v>0</v>
      </c>
      <c r="U32" s="191">
        <v>0</v>
      </c>
      <c r="V32" s="191">
        <v>0</v>
      </c>
      <c r="W32" s="191">
        <v>0</v>
      </c>
      <c r="X32" s="191"/>
      <c r="Y32" s="191"/>
      <c r="Z32" s="191"/>
      <c r="AA32" s="191"/>
      <c r="AB32" s="191"/>
      <c r="AC32" s="191"/>
      <c r="AD32" s="191"/>
      <c r="AE32" s="191"/>
      <c r="AF32" s="201"/>
      <c r="AG32" s="175"/>
      <c r="AH32" s="649"/>
    </row>
    <row r="33" spans="1:34" x14ac:dyDescent="0.3">
      <c r="A33" s="199" t="s">
        <v>33</v>
      </c>
      <c r="B33" s="191">
        <f>X33</f>
        <v>628.79999999999995</v>
      </c>
      <c r="C33" s="191">
        <f>V33</f>
        <v>0</v>
      </c>
      <c r="D33" s="191">
        <v>0</v>
      </c>
      <c r="E33" s="191">
        <v>0</v>
      </c>
      <c r="F33" s="193">
        <v>0</v>
      </c>
      <c r="G33" s="193">
        <v>0</v>
      </c>
      <c r="H33" s="191">
        <v>0</v>
      </c>
      <c r="I33" s="191">
        <v>0</v>
      </c>
      <c r="J33" s="191">
        <v>0</v>
      </c>
      <c r="K33" s="191">
        <v>0</v>
      </c>
      <c r="L33" s="191">
        <v>0</v>
      </c>
      <c r="M33" s="191">
        <v>0</v>
      </c>
      <c r="N33" s="191">
        <v>0</v>
      </c>
      <c r="O33" s="191">
        <v>0</v>
      </c>
      <c r="P33" s="191">
        <v>0</v>
      </c>
      <c r="Q33" s="191">
        <v>0</v>
      </c>
      <c r="R33" s="191">
        <v>0</v>
      </c>
      <c r="S33" s="191">
        <v>0</v>
      </c>
      <c r="T33" s="191">
        <v>0</v>
      </c>
      <c r="U33" s="191">
        <v>0</v>
      </c>
      <c r="V33" s="191">
        <v>0</v>
      </c>
      <c r="W33" s="1023">
        <v>0</v>
      </c>
      <c r="X33" s="191">
        <v>628.79999999999995</v>
      </c>
      <c r="Y33" s="191"/>
      <c r="Z33" s="191"/>
      <c r="AA33" s="191"/>
      <c r="AB33" s="191"/>
      <c r="AC33" s="191"/>
      <c r="AD33" s="191"/>
      <c r="AE33" s="191"/>
      <c r="AF33" s="201"/>
      <c r="AG33" s="175"/>
      <c r="AH33" s="649"/>
    </row>
    <row r="34" spans="1:34" x14ac:dyDescent="0.3">
      <c r="A34" s="199" t="s">
        <v>221</v>
      </c>
      <c r="B34" s="191">
        <v>0</v>
      </c>
      <c r="C34" s="191">
        <v>0</v>
      </c>
      <c r="D34" s="191">
        <v>0</v>
      </c>
      <c r="E34" s="191">
        <v>0</v>
      </c>
      <c r="F34" s="193">
        <v>0</v>
      </c>
      <c r="G34" s="193">
        <v>0</v>
      </c>
      <c r="H34" s="191">
        <v>0</v>
      </c>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c r="Y34" s="191"/>
      <c r="Z34" s="191"/>
      <c r="AA34" s="191"/>
      <c r="AB34" s="191"/>
      <c r="AC34" s="191"/>
      <c r="AD34" s="191"/>
      <c r="AE34" s="191"/>
      <c r="AF34" s="201"/>
      <c r="AG34" s="175"/>
      <c r="AH34" s="649"/>
    </row>
    <row r="35" spans="1:34" ht="99" x14ac:dyDescent="0.3">
      <c r="A35" s="199" t="s">
        <v>640</v>
      </c>
      <c r="B35" s="191">
        <v>0</v>
      </c>
      <c r="C35" s="191">
        <v>0</v>
      </c>
      <c r="D35" s="191">
        <v>0</v>
      </c>
      <c r="E35" s="191">
        <v>0</v>
      </c>
      <c r="F35" s="193">
        <v>0</v>
      </c>
      <c r="G35" s="193">
        <v>0</v>
      </c>
      <c r="H35" s="191">
        <v>0</v>
      </c>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c r="Y35" s="191"/>
      <c r="Z35" s="191"/>
      <c r="AA35" s="191"/>
      <c r="AB35" s="191"/>
      <c r="AC35" s="191"/>
      <c r="AD35" s="191"/>
      <c r="AE35" s="191"/>
      <c r="AF35" s="201"/>
      <c r="AG35" s="175"/>
      <c r="AH35" s="649"/>
    </row>
    <row r="36" spans="1:34" x14ac:dyDescent="0.3">
      <c r="A36" s="199" t="s">
        <v>31</v>
      </c>
      <c r="B36" s="191">
        <v>0</v>
      </c>
      <c r="C36" s="191">
        <v>0</v>
      </c>
      <c r="D36" s="191">
        <v>0</v>
      </c>
      <c r="E36" s="191">
        <v>0</v>
      </c>
      <c r="F36" s="193">
        <v>0</v>
      </c>
      <c r="G36" s="193">
        <v>0</v>
      </c>
      <c r="H36" s="191">
        <v>0</v>
      </c>
      <c r="I36" s="191">
        <v>0</v>
      </c>
      <c r="J36" s="191">
        <v>0</v>
      </c>
      <c r="K36" s="191">
        <v>0</v>
      </c>
      <c r="L36" s="191">
        <v>0</v>
      </c>
      <c r="M36" s="191">
        <v>0</v>
      </c>
      <c r="N36" s="191">
        <v>0</v>
      </c>
      <c r="O36" s="191">
        <v>0</v>
      </c>
      <c r="P36" s="191">
        <v>0</v>
      </c>
      <c r="Q36" s="191">
        <v>0</v>
      </c>
      <c r="R36" s="191">
        <v>0</v>
      </c>
      <c r="S36" s="191">
        <v>0</v>
      </c>
      <c r="T36" s="191">
        <v>0</v>
      </c>
      <c r="U36" s="191">
        <v>0</v>
      </c>
      <c r="V36" s="191">
        <v>0</v>
      </c>
      <c r="W36" s="191">
        <v>0</v>
      </c>
      <c r="X36" s="191"/>
      <c r="Y36" s="191"/>
      <c r="Z36" s="191"/>
      <c r="AA36" s="191"/>
      <c r="AB36" s="191"/>
      <c r="AC36" s="191"/>
      <c r="AD36" s="191"/>
      <c r="AE36" s="191"/>
      <c r="AF36" s="201"/>
      <c r="AG36" s="175"/>
      <c r="AH36" s="649"/>
    </row>
    <row r="37" spans="1:34" x14ac:dyDescent="0.3">
      <c r="A37" s="199" t="s">
        <v>169</v>
      </c>
      <c r="B37" s="191">
        <v>0</v>
      </c>
      <c r="C37" s="191">
        <v>0</v>
      </c>
      <c r="D37" s="191">
        <v>0</v>
      </c>
      <c r="E37" s="191">
        <v>0</v>
      </c>
      <c r="F37" s="193">
        <v>0</v>
      </c>
      <c r="G37" s="193">
        <v>0</v>
      </c>
      <c r="H37" s="191">
        <v>0</v>
      </c>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c r="Y37" s="191"/>
      <c r="Z37" s="191"/>
      <c r="AA37" s="191"/>
      <c r="AB37" s="191"/>
      <c r="AC37" s="191"/>
      <c r="AD37" s="191"/>
      <c r="AE37" s="191"/>
      <c r="AF37" s="201"/>
      <c r="AG37" s="175"/>
      <c r="AH37" s="649"/>
    </row>
    <row r="38" spans="1:34" x14ac:dyDescent="0.3">
      <c r="A38" s="199" t="s">
        <v>32</v>
      </c>
      <c r="B38" s="191">
        <v>0</v>
      </c>
      <c r="C38" s="191">
        <v>0</v>
      </c>
      <c r="D38" s="191">
        <v>0</v>
      </c>
      <c r="E38" s="191">
        <v>0</v>
      </c>
      <c r="F38" s="193">
        <v>0</v>
      </c>
      <c r="G38" s="193">
        <v>0</v>
      </c>
      <c r="H38" s="191">
        <v>0</v>
      </c>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c r="Y38" s="191"/>
      <c r="Z38" s="191"/>
      <c r="AA38" s="191"/>
      <c r="AB38" s="191"/>
      <c r="AC38" s="191"/>
      <c r="AD38" s="191"/>
      <c r="AE38" s="191"/>
      <c r="AF38" s="201"/>
      <c r="AG38" s="175"/>
      <c r="AH38" s="649"/>
    </row>
    <row r="39" spans="1:34" x14ac:dyDescent="0.3">
      <c r="A39" s="199" t="s">
        <v>33</v>
      </c>
      <c r="B39" s="191">
        <v>0</v>
      </c>
      <c r="C39" s="191">
        <v>0</v>
      </c>
      <c r="D39" s="191">
        <v>0</v>
      </c>
      <c r="E39" s="191">
        <v>0</v>
      </c>
      <c r="F39" s="193">
        <v>0</v>
      </c>
      <c r="G39" s="193">
        <v>0</v>
      </c>
      <c r="H39" s="191">
        <v>0</v>
      </c>
      <c r="I39" s="191">
        <v>0</v>
      </c>
      <c r="J39" s="191">
        <v>0</v>
      </c>
      <c r="K39" s="191">
        <v>0</v>
      </c>
      <c r="L39" s="191">
        <v>0</v>
      </c>
      <c r="M39" s="191">
        <v>0</v>
      </c>
      <c r="N39" s="191">
        <v>0</v>
      </c>
      <c r="O39" s="191">
        <v>0</v>
      </c>
      <c r="P39" s="191">
        <v>0</v>
      </c>
      <c r="Q39" s="191">
        <v>0</v>
      </c>
      <c r="R39" s="191">
        <v>0</v>
      </c>
      <c r="S39" s="191">
        <v>0</v>
      </c>
      <c r="T39" s="191">
        <v>0</v>
      </c>
      <c r="U39" s="191">
        <v>0</v>
      </c>
      <c r="V39" s="191">
        <v>0</v>
      </c>
      <c r="W39" s="191">
        <v>0</v>
      </c>
      <c r="X39" s="191"/>
      <c r="Y39" s="191"/>
      <c r="Z39" s="191"/>
      <c r="AA39" s="191"/>
      <c r="AB39" s="191"/>
      <c r="AC39" s="191"/>
      <c r="AD39" s="191"/>
      <c r="AE39" s="191"/>
      <c r="AF39" s="201"/>
      <c r="AG39" s="175"/>
      <c r="AH39" s="649"/>
    </row>
    <row r="40" spans="1:34" x14ac:dyDescent="0.3">
      <c r="A40" s="199" t="s">
        <v>221</v>
      </c>
      <c r="B40" s="191">
        <v>0</v>
      </c>
      <c r="C40" s="191">
        <v>0</v>
      </c>
      <c r="D40" s="191">
        <v>0</v>
      </c>
      <c r="E40" s="191">
        <v>0</v>
      </c>
      <c r="F40" s="193">
        <v>0</v>
      </c>
      <c r="G40" s="193">
        <v>0</v>
      </c>
      <c r="H40" s="191">
        <v>0</v>
      </c>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c r="Y40" s="191"/>
      <c r="Z40" s="191"/>
      <c r="AA40" s="191"/>
      <c r="AB40" s="191"/>
      <c r="AC40" s="191"/>
      <c r="AD40" s="191"/>
      <c r="AE40" s="191"/>
      <c r="AF40" s="201"/>
      <c r="AG40" s="175"/>
      <c r="AH40" s="649"/>
    </row>
    <row r="41" spans="1:34" s="168" customFormat="1" x14ac:dyDescent="0.3">
      <c r="A41" s="1070" t="s">
        <v>238</v>
      </c>
      <c r="B41" s="1071"/>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2"/>
      <c r="AG41" s="175"/>
      <c r="AH41" s="714"/>
    </row>
    <row r="42" spans="1:34" s="168" customFormat="1" x14ac:dyDescent="0.3">
      <c r="A42" s="1070" t="s">
        <v>54</v>
      </c>
      <c r="B42" s="1071"/>
      <c r="C42" s="1071"/>
      <c r="D42" s="1071"/>
      <c r="E42" s="1071"/>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2"/>
      <c r="AG42" s="175"/>
      <c r="AH42" s="714"/>
    </row>
    <row r="43" spans="1:34" ht="61.9" customHeight="1" x14ac:dyDescent="0.3">
      <c r="A43" s="184" t="s">
        <v>239</v>
      </c>
      <c r="B43" s="170">
        <f t="shared" ref="B43:H43" si="4">B44</f>
        <v>1024</v>
      </c>
      <c r="C43" s="171">
        <f t="shared" si="4"/>
        <v>0</v>
      </c>
      <c r="D43" s="171">
        <f t="shared" si="4"/>
        <v>0</v>
      </c>
      <c r="E43" s="172">
        <f>E44</f>
        <v>0</v>
      </c>
      <c r="F43" s="171">
        <f t="shared" si="4"/>
        <v>0</v>
      </c>
      <c r="G43" s="171">
        <f t="shared" si="4"/>
        <v>0</v>
      </c>
      <c r="H43" s="170">
        <f t="shared" si="4"/>
        <v>0</v>
      </c>
      <c r="I43" s="172">
        <f>I44</f>
        <v>0</v>
      </c>
      <c r="J43" s="170">
        <f>J44</f>
        <v>0</v>
      </c>
      <c r="K43" s="172">
        <v>0</v>
      </c>
      <c r="L43" s="170">
        <f>L44</f>
        <v>0</v>
      </c>
      <c r="M43" s="172">
        <f>M44</f>
        <v>0</v>
      </c>
      <c r="N43" s="170">
        <f>N44</f>
        <v>0</v>
      </c>
      <c r="O43" s="172">
        <f>O44</f>
        <v>0</v>
      </c>
      <c r="P43" s="170">
        <f t="shared" ref="P43:Q48" si="5">N43</f>
        <v>0</v>
      </c>
      <c r="Q43" s="172">
        <f t="shared" si="5"/>
        <v>0</v>
      </c>
      <c r="R43" s="170">
        <f>R44</f>
        <v>0</v>
      </c>
      <c r="S43" s="172">
        <v>0</v>
      </c>
      <c r="T43" s="170">
        <f>T44</f>
        <v>0</v>
      </c>
      <c r="U43" s="172">
        <v>0</v>
      </c>
      <c r="V43" s="170">
        <f>V44</f>
        <v>0</v>
      </c>
      <c r="W43" s="172"/>
      <c r="X43" s="170">
        <f>X44</f>
        <v>924</v>
      </c>
      <c r="Y43" s="172"/>
      <c r="Z43" s="170">
        <f>Z44</f>
        <v>0</v>
      </c>
      <c r="AA43" s="172"/>
      <c r="AB43" s="170">
        <f>AB44</f>
        <v>0</v>
      </c>
      <c r="AC43" s="172"/>
      <c r="AD43" s="170">
        <f>AD44</f>
        <v>100</v>
      </c>
      <c r="AE43" s="173"/>
      <c r="AF43" s="174"/>
      <c r="AG43" s="175"/>
      <c r="AH43" s="649"/>
    </row>
    <row r="44" spans="1:34" s="177" customFormat="1" x14ac:dyDescent="0.3">
      <c r="A44" s="176" t="s">
        <v>31</v>
      </c>
      <c r="B44" s="170">
        <f>B45+B46+B47+B48</f>
        <v>1024</v>
      </c>
      <c r="C44" s="170">
        <f>C45+C46+C47+C48</f>
        <v>0</v>
      </c>
      <c r="D44" s="170">
        <f t="shared" ref="D44:J44" si="6">D45+D46+D47+D48</f>
        <v>0</v>
      </c>
      <c r="E44" s="170">
        <f>E45+E46+E47+E48</f>
        <v>0</v>
      </c>
      <c r="F44" s="170">
        <f t="shared" si="6"/>
        <v>0</v>
      </c>
      <c r="G44" s="170">
        <f t="shared" si="6"/>
        <v>0</v>
      </c>
      <c r="H44" s="170">
        <f t="shared" si="6"/>
        <v>0</v>
      </c>
      <c r="I44" s="170">
        <f t="shared" si="6"/>
        <v>0</v>
      </c>
      <c r="J44" s="170">
        <f t="shared" si="6"/>
        <v>0</v>
      </c>
      <c r="K44" s="170">
        <v>0</v>
      </c>
      <c r="L44" s="170">
        <f>L45+L46+L47+L48</f>
        <v>0</v>
      </c>
      <c r="M44" s="170">
        <f>M47</f>
        <v>0</v>
      </c>
      <c r="N44" s="170">
        <f>N45+N46+N47+N48</f>
        <v>0</v>
      </c>
      <c r="O44" s="170">
        <f>O47</f>
        <v>0</v>
      </c>
      <c r="P44" s="170">
        <f t="shared" si="5"/>
        <v>0</v>
      </c>
      <c r="Q44" s="170">
        <f t="shared" si="5"/>
        <v>0</v>
      </c>
      <c r="R44" s="170">
        <f>R45+R46+R47+R48</f>
        <v>0</v>
      </c>
      <c r="S44" s="170">
        <v>0</v>
      </c>
      <c r="T44" s="170">
        <f>T45+T46+T47+T48</f>
        <v>0</v>
      </c>
      <c r="U44" s="170">
        <v>0</v>
      </c>
      <c r="V44" s="170">
        <f>V45+V46+V47+V48</f>
        <v>0</v>
      </c>
      <c r="W44" s="170"/>
      <c r="X44" s="170">
        <f>X45+X46+X47+X48</f>
        <v>924</v>
      </c>
      <c r="Y44" s="170"/>
      <c r="Z44" s="170">
        <f>Z45+Z46+Z47+Z48</f>
        <v>0</v>
      </c>
      <c r="AA44" s="170"/>
      <c r="AB44" s="170">
        <f>AB45+AB46+AB47+AB48</f>
        <v>0</v>
      </c>
      <c r="AC44" s="170"/>
      <c r="AD44" s="170">
        <f>AD45+AD46+AD47+AD48</f>
        <v>100</v>
      </c>
      <c r="AE44" s="170"/>
      <c r="AF44" s="174"/>
      <c r="AG44" s="175"/>
      <c r="AH44" s="649"/>
    </row>
    <row r="45" spans="1:34" x14ac:dyDescent="0.3">
      <c r="A45" s="178" t="s">
        <v>169</v>
      </c>
      <c r="B45" s="179">
        <f>H45+J45+L45+N45+P45+R45+T45+V45+X45+Z45+AB45+AD45</f>
        <v>0</v>
      </c>
      <c r="C45" s="180">
        <f>H45+J45</f>
        <v>0</v>
      </c>
      <c r="D45" s="179">
        <f>I45</f>
        <v>0</v>
      </c>
      <c r="E45" s="179">
        <v>0</v>
      </c>
      <c r="F45" s="179">
        <v>0</v>
      </c>
      <c r="G45" s="179">
        <v>0</v>
      </c>
      <c r="H45" s="179">
        <v>0</v>
      </c>
      <c r="I45" s="179">
        <v>0</v>
      </c>
      <c r="J45" s="179">
        <v>0</v>
      </c>
      <c r="K45" s="179">
        <v>0</v>
      </c>
      <c r="L45" s="179">
        <v>0</v>
      </c>
      <c r="M45" s="179">
        <v>0</v>
      </c>
      <c r="N45" s="179">
        <v>0</v>
      </c>
      <c r="O45" s="179">
        <v>0</v>
      </c>
      <c r="P45" s="179">
        <f t="shared" si="5"/>
        <v>0</v>
      </c>
      <c r="Q45" s="179">
        <f t="shared" si="5"/>
        <v>0</v>
      </c>
      <c r="R45" s="179">
        <f t="shared" ref="R45:S48" si="7">P45</f>
        <v>0</v>
      </c>
      <c r="S45" s="179">
        <f t="shared" si="7"/>
        <v>0</v>
      </c>
      <c r="T45" s="179">
        <f t="shared" ref="T45:U48" si="8">R45</f>
        <v>0</v>
      </c>
      <c r="U45" s="179">
        <f t="shared" si="8"/>
        <v>0</v>
      </c>
      <c r="V45" s="179"/>
      <c r="W45" s="179"/>
      <c r="X45" s="179"/>
      <c r="Y45" s="179"/>
      <c r="Z45" s="179"/>
      <c r="AA45" s="179"/>
      <c r="AB45" s="179"/>
      <c r="AC45" s="179"/>
      <c r="AD45" s="179"/>
      <c r="AE45" s="179"/>
      <c r="AF45" s="182"/>
      <c r="AG45" s="175"/>
      <c r="AH45" s="649"/>
    </row>
    <row r="46" spans="1:34" x14ac:dyDescent="0.3">
      <c r="A46" s="178" t="s">
        <v>32</v>
      </c>
      <c r="B46" s="179">
        <f>H46+J46+L46+N46+P46+R46+T46+V46+X46+Z46+AB46+AD46</f>
        <v>0</v>
      </c>
      <c r="C46" s="180">
        <f>H46+J46</f>
        <v>0</v>
      </c>
      <c r="D46" s="179">
        <f>I46</f>
        <v>0</v>
      </c>
      <c r="E46" s="179">
        <v>0</v>
      </c>
      <c r="F46" s="179">
        <v>0</v>
      </c>
      <c r="G46" s="179">
        <v>0</v>
      </c>
      <c r="H46" s="179">
        <v>0</v>
      </c>
      <c r="I46" s="179">
        <v>0</v>
      </c>
      <c r="J46" s="179">
        <v>0</v>
      </c>
      <c r="K46" s="179">
        <v>0</v>
      </c>
      <c r="L46" s="179">
        <v>0</v>
      </c>
      <c r="M46" s="179">
        <v>0</v>
      </c>
      <c r="N46" s="179">
        <v>0</v>
      </c>
      <c r="O46" s="179">
        <v>0</v>
      </c>
      <c r="P46" s="179">
        <f t="shared" si="5"/>
        <v>0</v>
      </c>
      <c r="Q46" s="179">
        <f t="shared" si="5"/>
        <v>0</v>
      </c>
      <c r="R46" s="179">
        <f t="shared" si="7"/>
        <v>0</v>
      </c>
      <c r="S46" s="179">
        <f t="shared" si="7"/>
        <v>0</v>
      </c>
      <c r="T46" s="179">
        <f t="shared" si="8"/>
        <v>0</v>
      </c>
      <c r="U46" s="179">
        <f t="shared" si="8"/>
        <v>0</v>
      </c>
      <c r="V46" s="179"/>
      <c r="W46" s="179"/>
      <c r="X46" s="179"/>
      <c r="Y46" s="179"/>
      <c r="Z46" s="179"/>
      <c r="AA46" s="179"/>
      <c r="AB46" s="179"/>
      <c r="AC46" s="179"/>
      <c r="AD46" s="179"/>
      <c r="AE46" s="179"/>
      <c r="AF46" s="182"/>
      <c r="AG46" s="175"/>
      <c r="AH46" s="649"/>
    </row>
    <row r="47" spans="1:34" x14ac:dyDescent="0.3">
      <c r="A47" s="178" t="s">
        <v>33</v>
      </c>
      <c r="B47" s="179">
        <f>H47+J47+L47+N47+P47+R47+T47+V47+X47+Z47+AB47+AD47</f>
        <v>1024</v>
      </c>
      <c r="C47" s="180">
        <f>H47+J47+L47+N47</f>
        <v>0</v>
      </c>
      <c r="D47" s="179">
        <f>I47</f>
        <v>0</v>
      </c>
      <c r="E47" s="181">
        <f>I47</f>
        <v>0</v>
      </c>
      <c r="F47" s="181">
        <v>0</v>
      </c>
      <c r="G47" s="181">
        <v>0</v>
      </c>
      <c r="H47" s="181">
        <v>0</v>
      </c>
      <c r="I47" s="181">
        <v>0</v>
      </c>
      <c r="J47" s="181">
        <v>0</v>
      </c>
      <c r="K47" s="181">
        <v>0</v>
      </c>
      <c r="L47" s="181">
        <v>0</v>
      </c>
      <c r="M47" s="181">
        <v>0</v>
      </c>
      <c r="N47" s="181">
        <v>0</v>
      </c>
      <c r="O47" s="181">
        <v>0</v>
      </c>
      <c r="P47" s="181">
        <f t="shared" si="5"/>
        <v>0</v>
      </c>
      <c r="Q47" s="181">
        <f t="shared" si="5"/>
        <v>0</v>
      </c>
      <c r="R47" s="181">
        <f t="shared" si="7"/>
        <v>0</v>
      </c>
      <c r="S47" s="181">
        <f t="shared" si="7"/>
        <v>0</v>
      </c>
      <c r="T47" s="181">
        <f t="shared" si="8"/>
        <v>0</v>
      </c>
      <c r="U47" s="181">
        <f t="shared" si="8"/>
        <v>0</v>
      </c>
      <c r="V47" s="181"/>
      <c r="W47" s="181"/>
      <c r="X47" s="181">
        <v>924</v>
      </c>
      <c r="Y47" s="181"/>
      <c r="Z47" s="181"/>
      <c r="AA47" s="181"/>
      <c r="AB47" s="181"/>
      <c r="AC47" s="181"/>
      <c r="AD47" s="181">
        <v>100</v>
      </c>
      <c r="AE47" s="183"/>
      <c r="AF47" s="182"/>
      <c r="AG47" s="175"/>
      <c r="AH47" s="649"/>
    </row>
    <row r="48" spans="1:34" x14ac:dyDescent="0.3">
      <c r="A48" s="178" t="s">
        <v>221</v>
      </c>
      <c r="B48" s="179">
        <f>H48+J48+L48+N48+P48+R48+T48+V48+X48+Z48+AB48+AD48</f>
        <v>0</v>
      </c>
      <c r="C48" s="180">
        <f>H48+J48</f>
        <v>0</v>
      </c>
      <c r="D48" s="179">
        <f>I48</f>
        <v>0</v>
      </c>
      <c r="E48" s="179">
        <v>0</v>
      </c>
      <c r="F48" s="179">
        <v>0</v>
      </c>
      <c r="G48" s="179">
        <v>0</v>
      </c>
      <c r="H48" s="179">
        <v>0</v>
      </c>
      <c r="I48" s="179">
        <v>0</v>
      </c>
      <c r="J48" s="179">
        <v>0</v>
      </c>
      <c r="K48" s="179">
        <v>0</v>
      </c>
      <c r="L48" s="179">
        <v>0</v>
      </c>
      <c r="M48" s="179">
        <v>0</v>
      </c>
      <c r="N48" s="179">
        <v>0</v>
      </c>
      <c r="O48" s="179">
        <v>0</v>
      </c>
      <c r="P48" s="179">
        <f t="shared" si="5"/>
        <v>0</v>
      </c>
      <c r="Q48" s="179">
        <f t="shared" si="5"/>
        <v>0</v>
      </c>
      <c r="R48" s="179">
        <f t="shared" si="7"/>
        <v>0</v>
      </c>
      <c r="S48" s="179">
        <f t="shared" si="7"/>
        <v>0</v>
      </c>
      <c r="T48" s="179">
        <f t="shared" si="8"/>
        <v>0</v>
      </c>
      <c r="U48" s="179">
        <f t="shared" si="8"/>
        <v>0</v>
      </c>
      <c r="V48" s="179"/>
      <c r="W48" s="179"/>
      <c r="X48" s="179"/>
      <c r="Y48" s="179"/>
      <c r="Z48" s="179"/>
      <c r="AA48" s="179"/>
      <c r="AB48" s="179"/>
      <c r="AC48" s="179"/>
      <c r="AD48" s="179"/>
      <c r="AE48" s="179"/>
      <c r="AF48" s="182"/>
      <c r="AG48" s="175"/>
      <c r="AH48" s="649"/>
    </row>
    <row r="49" spans="1:34" s="177" customFormat="1" ht="57.6" customHeight="1" x14ac:dyDescent="0.3">
      <c r="A49" s="184" t="s">
        <v>240</v>
      </c>
      <c r="B49" s="170">
        <f>B50</f>
        <v>0</v>
      </c>
      <c r="C49" s="171">
        <f>C50</f>
        <v>0</v>
      </c>
      <c r="D49" s="171">
        <f>D50</f>
        <v>0</v>
      </c>
      <c r="E49" s="170">
        <f>E50</f>
        <v>0</v>
      </c>
      <c r="F49" s="171">
        <f>F50</f>
        <v>0</v>
      </c>
      <c r="G49" s="172">
        <v>0</v>
      </c>
      <c r="H49" s="170">
        <f t="shared" ref="H49:N49" si="9">H50</f>
        <v>0</v>
      </c>
      <c r="I49" s="170">
        <f t="shared" si="9"/>
        <v>0</v>
      </c>
      <c r="J49" s="170">
        <f t="shared" si="9"/>
        <v>0</v>
      </c>
      <c r="K49" s="172">
        <f t="shared" si="9"/>
        <v>0</v>
      </c>
      <c r="L49" s="170">
        <f t="shared" si="9"/>
        <v>0</v>
      </c>
      <c r="M49" s="172">
        <f t="shared" si="9"/>
        <v>0</v>
      </c>
      <c r="N49" s="170">
        <f t="shared" si="9"/>
        <v>0</v>
      </c>
      <c r="O49" s="172">
        <v>0</v>
      </c>
      <c r="P49" s="170">
        <f>P50</f>
        <v>0</v>
      </c>
      <c r="Q49" s="172">
        <v>0</v>
      </c>
      <c r="R49" s="170">
        <f>R50</f>
        <v>0</v>
      </c>
      <c r="S49" s="172">
        <f>S50</f>
        <v>0</v>
      </c>
      <c r="T49" s="170">
        <f>T50</f>
        <v>0</v>
      </c>
      <c r="U49" s="172">
        <f>U50</f>
        <v>0</v>
      </c>
      <c r="V49" s="170">
        <f>V50</f>
        <v>0</v>
      </c>
      <c r="W49" s="172"/>
      <c r="X49" s="170">
        <f>X50</f>
        <v>0</v>
      </c>
      <c r="Y49" s="172"/>
      <c r="Z49" s="170">
        <f>Z50</f>
        <v>0</v>
      </c>
      <c r="AA49" s="172"/>
      <c r="AB49" s="170">
        <f>AB50</f>
        <v>0</v>
      </c>
      <c r="AC49" s="172"/>
      <c r="AD49" s="170">
        <f>AD50</f>
        <v>0</v>
      </c>
      <c r="AE49" s="173"/>
      <c r="AF49" s="174"/>
      <c r="AG49" s="175"/>
      <c r="AH49" s="649"/>
    </row>
    <row r="50" spans="1:34" s="177" customFormat="1" ht="30" x14ac:dyDescent="0.3">
      <c r="A50" s="176" t="s">
        <v>31</v>
      </c>
      <c r="B50" s="170">
        <f t="shared" ref="B50:J50" si="10">B51+B52+B53+B54</f>
        <v>0</v>
      </c>
      <c r="C50" s="170">
        <f t="shared" si="10"/>
        <v>0</v>
      </c>
      <c r="D50" s="170">
        <f t="shared" si="10"/>
        <v>0</v>
      </c>
      <c r="E50" s="170">
        <f>E51+E52+E53+E54</f>
        <v>0</v>
      </c>
      <c r="F50" s="170">
        <f t="shared" si="10"/>
        <v>0</v>
      </c>
      <c r="G50" s="170">
        <f t="shared" si="10"/>
        <v>0</v>
      </c>
      <c r="H50" s="170">
        <f t="shared" si="10"/>
        <v>0</v>
      </c>
      <c r="I50" s="170">
        <f t="shared" si="10"/>
        <v>0</v>
      </c>
      <c r="J50" s="170">
        <f t="shared" si="10"/>
        <v>0</v>
      </c>
      <c r="K50" s="170">
        <f>K51+K52+K53+K54</f>
        <v>0</v>
      </c>
      <c r="L50" s="170">
        <f>L51+L52+L53+L54</f>
        <v>0</v>
      </c>
      <c r="M50" s="170">
        <f>M53</f>
        <v>0</v>
      </c>
      <c r="N50" s="170">
        <f>N51+N52+N53+N54</f>
        <v>0</v>
      </c>
      <c r="O50" s="170">
        <v>0</v>
      </c>
      <c r="P50" s="170">
        <f>P51+P52+P53+P54</f>
        <v>0</v>
      </c>
      <c r="Q50" s="170">
        <v>0</v>
      </c>
      <c r="R50" s="170">
        <f>R51+R52+R53+R54</f>
        <v>0</v>
      </c>
      <c r="S50" s="170">
        <f>S51+S52+S53+S54</f>
        <v>0</v>
      </c>
      <c r="T50" s="170">
        <f>T51+T52+T53+T54</f>
        <v>0</v>
      </c>
      <c r="U50" s="170">
        <f>U51+U52+U53+U54</f>
        <v>0</v>
      </c>
      <c r="V50" s="170">
        <f>V51+V52+V53+V54</f>
        <v>0</v>
      </c>
      <c r="W50" s="170"/>
      <c r="X50" s="170">
        <f>X51+X52+X53+X54</f>
        <v>0</v>
      </c>
      <c r="Y50" s="170"/>
      <c r="Z50" s="170">
        <f>Z51+Z52+Z53+Z54</f>
        <v>0</v>
      </c>
      <c r="AA50" s="170"/>
      <c r="AB50" s="170">
        <f>AB51+AB52+AB53+AB54</f>
        <v>0</v>
      </c>
      <c r="AC50" s="170"/>
      <c r="AD50" s="170">
        <f>AD51+AD52+AD53+AD54</f>
        <v>0</v>
      </c>
      <c r="AE50" s="170"/>
      <c r="AF50" s="813" t="s">
        <v>484</v>
      </c>
      <c r="AG50" s="175"/>
      <c r="AH50" s="649"/>
    </row>
    <row r="51" spans="1:34" x14ac:dyDescent="0.3">
      <c r="A51" s="178" t="s">
        <v>169</v>
      </c>
      <c r="B51" s="179">
        <f>H51+J51+L51+N51+P51+R51+T51+V51+X51+Z51+AB51+AD51</f>
        <v>0</v>
      </c>
      <c r="C51" s="179">
        <f>H51+J51</f>
        <v>0</v>
      </c>
      <c r="D51" s="185">
        <f>I51</f>
        <v>0</v>
      </c>
      <c r="E51" s="179">
        <v>0</v>
      </c>
      <c r="F51" s="179">
        <v>0</v>
      </c>
      <c r="G51" s="179">
        <v>0</v>
      </c>
      <c r="H51" s="179">
        <v>0</v>
      </c>
      <c r="I51" s="179">
        <v>0</v>
      </c>
      <c r="J51" s="179">
        <v>0</v>
      </c>
      <c r="K51" s="179">
        <v>0</v>
      </c>
      <c r="L51" s="179">
        <v>0</v>
      </c>
      <c r="M51" s="179">
        <v>0</v>
      </c>
      <c r="N51" s="179">
        <v>0</v>
      </c>
      <c r="O51" s="179">
        <v>0</v>
      </c>
      <c r="P51" s="179">
        <v>0</v>
      </c>
      <c r="Q51" s="179">
        <v>0</v>
      </c>
      <c r="R51" s="179">
        <v>0</v>
      </c>
      <c r="S51" s="179">
        <v>0</v>
      </c>
      <c r="T51" s="179">
        <v>0</v>
      </c>
      <c r="U51" s="179">
        <v>0</v>
      </c>
      <c r="V51" s="179">
        <v>0</v>
      </c>
      <c r="W51" s="179"/>
      <c r="X51" s="179">
        <v>0</v>
      </c>
      <c r="Y51" s="179"/>
      <c r="Z51" s="179">
        <v>0</v>
      </c>
      <c r="AA51" s="179"/>
      <c r="AB51" s="179">
        <v>0</v>
      </c>
      <c r="AC51" s="179"/>
      <c r="AD51" s="179">
        <v>0</v>
      </c>
      <c r="AE51" s="179"/>
      <c r="AF51" s="182"/>
      <c r="AG51" s="175"/>
      <c r="AH51" s="649"/>
    </row>
    <row r="52" spans="1:34" x14ac:dyDescent="0.3">
      <c r="A52" s="178" t="s">
        <v>32</v>
      </c>
      <c r="B52" s="179">
        <f>H52+J52+L52+N52+P52+R52+T52+V52+X52+Z52+AB52+AD52</f>
        <v>0</v>
      </c>
      <c r="C52" s="179">
        <f>H52+J52</f>
        <v>0</v>
      </c>
      <c r="D52" s="185">
        <f>I52</f>
        <v>0</v>
      </c>
      <c r="E52" s="179">
        <v>0</v>
      </c>
      <c r="F52" s="179">
        <v>0</v>
      </c>
      <c r="G52" s="179">
        <v>0</v>
      </c>
      <c r="H52" s="179">
        <v>0</v>
      </c>
      <c r="I52" s="179">
        <v>0</v>
      </c>
      <c r="J52" s="179">
        <v>0</v>
      </c>
      <c r="K52" s="179">
        <v>0</v>
      </c>
      <c r="L52" s="179">
        <v>0</v>
      </c>
      <c r="M52" s="179">
        <v>0</v>
      </c>
      <c r="N52" s="179">
        <v>0</v>
      </c>
      <c r="O52" s="179">
        <v>0</v>
      </c>
      <c r="P52" s="179">
        <v>0</v>
      </c>
      <c r="Q52" s="179">
        <v>0</v>
      </c>
      <c r="R52" s="179">
        <v>0</v>
      </c>
      <c r="S52" s="179">
        <v>0</v>
      </c>
      <c r="T52" s="179">
        <v>0</v>
      </c>
      <c r="U52" s="179">
        <v>0</v>
      </c>
      <c r="V52" s="179">
        <v>0</v>
      </c>
      <c r="W52" s="179"/>
      <c r="X52" s="179">
        <v>0</v>
      </c>
      <c r="Y52" s="179"/>
      <c r="Z52" s="179">
        <v>0</v>
      </c>
      <c r="AA52" s="179"/>
      <c r="AB52" s="179">
        <v>0</v>
      </c>
      <c r="AC52" s="179"/>
      <c r="AD52" s="179">
        <v>0</v>
      </c>
      <c r="AE52" s="179"/>
      <c r="AF52" s="182"/>
      <c r="AG52" s="175"/>
      <c r="AH52" s="649"/>
    </row>
    <row r="53" spans="1:34" x14ac:dyDescent="0.3">
      <c r="A53" s="178" t="s">
        <v>33</v>
      </c>
      <c r="B53" s="179">
        <f>H53+J53+L53+N53+P53+R53+T53+V53+X53+Z53+AB53+AD53</f>
        <v>0</v>
      </c>
      <c r="C53" s="179">
        <f>H53+J53</f>
        <v>0</v>
      </c>
      <c r="D53" s="185">
        <f>I53</f>
        <v>0</v>
      </c>
      <c r="E53" s="181">
        <f>I53</f>
        <v>0</v>
      </c>
      <c r="F53" s="181">
        <v>0</v>
      </c>
      <c r="G53" s="181">
        <v>0</v>
      </c>
      <c r="H53" s="181">
        <v>0</v>
      </c>
      <c r="I53" s="181">
        <v>0</v>
      </c>
      <c r="J53" s="181">
        <v>0</v>
      </c>
      <c r="K53" s="181">
        <v>0</v>
      </c>
      <c r="L53" s="181">
        <v>0</v>
      </c>
      <c r="M53" s="181">
        <v>0</v>
      </c>
      <c r="N53" s="181">
        <v>0</v>
      </c>
      <c r="O53" s="181">
        <v>0</v>
      </c>
      <c r="P53" s="181">
        <v>0</v>
      </c>
      <c r="Q53" s="181">
        <v>0</v>
      </c>
      <c r="R53" s="181">
        <v>0</v>
      </c>
      <c r="S53" s="181">
        <v>0</v>
      </c>
      <c r="T53" s="181">
        <v>0</v>
      </c>
      <c r="U53" s="181">
        <v>0</v>
      </c>
      <c r="V53" s="181">
        <v>0</v>
      </c>
      <c r="W53" s="181"/>
      <c r="X53" s="181">
        <v>0</v>
      </c>
      <c r="Y53" s="181"/>
      <c r="Z53" s="181">
        <v>0</v>
      </c>
      <c r="AA53" s="181"/>
      <c r="AB53" s="181">
        <v>0</v>
      </c>
      <c r="AC53" s="181"/>
      <c r="AD53" s="181">
        <v>0</v>
      </c>
      <c r="AE53" s="183"/>
      <c r="AF53" s="182"/>
      <c r="AG53" s="175"/>
      <c r="AH53" s="649"/>
    </row>
    <row r="54" spans="1:34" x14ac:dyDescent="0.3">
      <c r="A54" s="178" t="s">
        <v>221</v>
      </c>
      <c r="B54" s="179">
        <f>H54+J54+L54+N54+P54+R54+T54+V54+X54+Z54+AB54+AD54</f>
        <v>0</v>
      </c>
      <c r="C54" s="179">
        <f>H54+J54</f>
        <v>0</v>
      </c>
      <c r="D54" s="185">
        <f>I54</f>
        <v>0</v>
      </c>
      <c r="E54" s="179">
        <v>0</v>
      </c>
      <c r="F54" s="179">
        <v>0</v>
      </c>
      <c r="G54" s="179">
        <v>0</v>
      </c>
      <c r="H54" s="179">
        <v>0</v>
      </c>
      <c r="I54" s="179">
        <v>0</v>
      </c>
      <c r="J54" s="179">
        <v>0</v>
      </c>
      <c r="K54" s="179">
        <v>0</v>
      </c>
      <c r="L54" s="179">
        <v>0</v>
      </c>
      <c r="M54" s="179">
        <v>0</v>
      </c>
      <c r="N54" s="179">
        <v>0</v>
      </c>
      <c r="O54" s="179">
        <v>0</v>
      </c>
      <c r="P54" s="179">
        <v>0</v>
      </c>
      <c r="Q54" s="179">
        <v>0</v>
      </c>
      <c r="R54" s="179">
        <v>0</v>
      </c>
      <c r="S54" s="179">
        <v>0</v>
      </c>
      <c r="T54" s="179">
        <v>0</v>
      </c>
      <c r="U54" s="179">
        <v>0</v>
      </c>
      <c r="V54" s="179">
        <v>0</v>
      </c>
      <c r="W54" s="179"/>
      <c r="X54" s="179">
        <v>0</v>
      </c>
      <c r="Y54" s="179"/>
      <c r="Z54" s="179">
        <v>0</v>
      </c>
      <c r="AA54" s="179"/>
      <c r="AB54" s="179">
        <v>0</v>
      </c>
      <c r="AC54" s="179"/>
      <c r="AD54" s="179">
        <v>0</v>
      </c>
      <c r="AE54" s="179"/>
      <c r="AF54" s="182"/>
      <c r="AG54" s="175"/>
      <c r="AH54" s="649"/>
    </row>
    <row r="55" spans="1:34" s="168" customFormat="1" x14ac:dyDescent="0.3">
      <c r="A55" s="1070" t="s">
        <v>241</v>
      </c>
      <c r="B55" s="1071"/>
      <c r="C55" s="1071"/>
      <c r="D55" s="1071"/>
      <c r="E55" s="1071"/>
      <c r="F55" s="1071"/>
      <c r="G55" s="1071"/>
      <c r="H55" s="1071"/>
      <c r="I55" s="1071"/>
      <c r="J55" s="1071"/>
      <c r="K55" s="1071"/>
      <c r="L55" s="1071"/>
      <c r="M55" s="1071"/>
      <c r="N55" s="1071"/>
      <c r="O55" s="1071"/>
      <c r="P55" s="1071"/>
      <c r="Q55" s="1071"/>
      <c r="R55" s="1071"/>
      <c r="S55" s="1071"/>
      <c r="T55" s="1071"/>
      <c r="U55" s="1071"/>
      <c r="V55" s="1071"/>
      <c r="W55" s="1071"/>
      <c r="X55" s="1071"/>
      <c r="Y55" s="1071"/>
      <c r="Z55" s="1071"/>
      <c r="AA55" s="1071"/>
      <c r="AB55" s="1071"/>
      <c r="AC55" s="1071"/>
      <c r="AD55" s="1071"/>
      <c r="AE55" s="1071"/>
      <c r="AF55" s="1072"/>
      <c r="AG55" s="175"/>
      <c r="AH55" s="714"/>
    </row>
    <row r="56" spans="1:34" s="168" customFormat="1" x14ac:dyDescent="0.3">
      <c r="A56" s="1070" t="s">
        <v>54</v>
      </c>
      <c r="B56" s="1071"/>
      <c r="C56" s="1071"/>
      <c r="D56" s="1071"/>
      <c r="E56" s="1071"/>
      <c r="F56" s="1071"/>
      <c r="G56" s="1071"/>
      <c r="H56" s="1071"/>
      <c r="I56" s="1071"/>
      <c r="J56" s="1071"/>
      <c r="K56" s="1071"/>
      <c r="L56" s="1071"/>
      <c r="M56" s="1071"/>
      <c r="N56" s="1071"/>
      <c r="O56" s="1071"/>
      <c r="P56" s="1071"/>
      <c r="Q56" s="1071"/>
      <c r="R56" s="1071"/>
      <c r="S56" s="1071"/>
      <c r="T56" s="1071"/>
      <c r="U56" s="1071"/>
      <c r="V56" s="1071"/>
      <c r="W56" s="1071"/>
      <c r="X56" s="1071"/>
      <c r="Y56" s="1071"/>
      <c r="Z56" s="1071"/>
      <c r="AA56" s="1071"/>
      <c r="AB56" s="1071"/>
      <c r="AC56" s="1071"/>
      <c r="AD56" s="1071"/>
      <c r="AE56" s="1071"/>
      <c r="AF56" s="1072"/>
      <c r="AG56" s="175"/>
      <c r="AH56" s="714"/>
    </row>
    <row r="57" spans="1:34" s="177" customFormat="1" ht="56.25" x14ac:dyDescent="0.3">
      <c r="A57" s="98" t="s">
        <v>242</v>
      </c>
      <c r="B57" s="170">
        <f>B58</f>
        <v>18782.606000000003</v>
      </c>
      <c r="C57" s="170">
        <f>C58</f>
        <v>10991.939250000001</v>
      </c>
      <c r="D57" s="170">
        <f>D58</f>
        <v>9530.476999999999</v>
      </c>
      <c r="E57" s="170">
        <f>E58</f>
        <v>9530.476999999999</v>
      </c>
      <c r="F57" s="172">
        <f t="shared" ref="F57:AD57" si="11">F58</f>
        <v>42.137480816027328</v>
      </c>
      <c r="G57" s="172">
        <f t="shared" si="11"/>
        <v>86.704236470375307</v>
      </c>
      <c r="H57" s="170">
        <f t="shared" si="11"/>
        <v>1291.4488099999999</v>
      </c>
      <c r="I57" s="170">
        <f t="shared" si="11"/>
        <v>550.79</v>
      </c>
      <c r="J57" s="170">
        <f t="shared" si="11"/>
        <v>1460.04962</v>
      </c>
      <c r="K57" s="170">
        <f>K58</f>
        <v>1213.0620000000001</v>
      </c>
      <c r="L57" s="170">
        <f t="shared" si="11"/>
        <v>1538.2255400000001</v>
      </c>
      <c r="M57" s="170">
        <f>M58</f>
        <v>1400.625</v>
      </c>
      <c r="N57" s="170">
        <f t="shared" si="11"/>
        <v>1520</v>
      </c>
      <c r="O57" s="170">
        <f>O58</f>
        <v>1520.0149999999999</v>
      </c>
      <c r="P57" s="170">
        <f t="shared" si="11"/>
        <v>1453.73128</v>
      </c>
      <c r="Q57" s="170">
        <f>Q58</f>
        <v>1651.0249999999999</v>
      </c>
      <c r="R57" s="170">
        <f t="shared" si="11"/>
        <v>1780.222</v>
      </c>
      <c r="S57" s="170">
        <f>S58</f>
        <v>1579</v>
      </c>
      <c r="T57" s="170">
        <f t="shared" si="11"/>
        <v>1948.2619999999999</v>
      </c>
      <c r="U57" s="170"/>
      <c r="V57" s="170">
        <f t="shared" si="11"/>
        <v>1605.2370000000001</v>
      </c>
      <c r="W57" s="170"/>
      <c r="X57" s="170">
        <f t="shared" si="11"/>
        <v>1605.2370000000001</v>
      </c>
      <c r="Y57" s="170"/>
      <c r="Z57" s="170">
        <f t="shared" si="11"/>
        <v>1606.6120000000001</v>
      </c>
      <c r="AA57" s="170"/>
      <c r="AB57" s="170">
        <f t="shared" si="11"/>
        <v>1445.393</v>
      </c>
      <c r="AC57" s="170"/>
      <c r="AD57" s="170">
        <f t="shared" si="11"/>
        <v>1528.1877500000001</v>
      </c>
      <c r="AE57" s="170"/>
      <c r="AF57" s="186"/>
      <c r="AG57" s="175"/>
      <c r="AH57" s="649"/>
    </row>
    <row r="58" spans="1:34" s="177" customFormat="1" x14ac:dyDescent="0.3">
      <c r="A58" s="187" t="s">
        <v>31</v>
      </c>
      <c r="B58" s="170">
        <f>H58+J58+L58+N58+P58+R58+T58+V58+X58+Z58+AB58+AD58</f>
        <v>18782.606000000003</v>
      </c>
      <c r="C58" s="170">
        <f>H58+J58+L58+N58+P58+R58+T58</f>
        <v>10991.939250000001</v>
      </c>
      <c r="D58" s="170">
        <f>E58</f>
        <v>9530.476999999999</v>
      </c>
      <c r="E58" s="170">
        <f>E67+E73</f>
        <v>9530.476999999999</v>
      </c>
      <c r="F58" s="170">
        <f>F59+F60+F61+F62</f>
        <v>42.137480816027328</v>
      </c>
      <c r="G58" s="170">
        <f>E58/C58*100</f>
        <v>86.704236470375307</v>
      </c>
      <c r="H58" s="170">
        <f>H59+H60+H61+H62</f>
        <v>1291.4488099999999</v>
      </c>
      <c r="I58" s="170">
        <f>I59+I60+I61+I62</f>
        <v>550.79</v>
      </c>
      <c r="J58" s="170">
        <f t="shared" ref="J58:AD58" si="12">J59+J60+J61+J62</f>
        <v>1460.04962</v>
      </c>
      <c r="K58" s="170">
        <f>K59+K60+K61+K62</f>
        <v>1213.0620000000001</v>
      </c>
      <c r="L58" s="170">
        <f t="shared" si="12"/>
        <v>1538.2255400000001</v>
      </c>
      <c r="M58" s="170">
        <f>M61</f>
        <v>1400.625</v>
      </c>
      <c r="N58" s="170">
        <f t="shared" si="12"/>
        <v>1520</v>
      </c>
      <c r="O58" s="170">
        <f>O61</f>
        <v>1520.0149999999999</v>
      </c>
      <c r="P58" s="170">
        <f t="shared" si="12"/>
        <v>1453.73128</v>
      </c>
      <c r="Q58" s="170">
        <f>Q61</f>
        <v>1651.0249999999999</v>
      </c>
      <c r="R58" s="170">
        <f t="shared" si="12"/>
        <v>1780.222</v>
      </c>
      <c r="S58" s="170">
        <f>S61</f>
        <v>1579</v>
      </c>
      <c r="T58" s="170">
        <f t="shared" si="12"/>
        <v>1948.2619999999999</v>
      </c>
      <c r="U58" s="170"/>
      <c r="V58" s="170">
        <f t="shared" si="12"/>
        <v>1605.2370000000001</v>
      </c>
      <c r="W58" s="170"/>
      <c r="X58" s="170">
        <f t="shared" si="12"/>
        <v>1605.2370000000001</v>
      </c>
      <c r="Y58" s="170"/>
      <c r="Z58" s="170">
        <f t="shared" si="12"/>
        <v>1606.6120000000001</v>
      </c>
      <c r="AA58" s="170"/>
      <c r="AB58" s="170">
        <f t="shared" si="12"/>
        <v>1445.393</v>
      </c>
      <c r="AC58" s="170"/>
      <c r="AD58" s="170">
        <f t="shared" si="12"/>
        <v>1528.1877500000001</v>
      </c>
      <c r="AE58" s="170"/>
      <c r="AF58" s="813" t="s">
        <v>650</v>
      </c>
      <c r="AG58" s="175"/>
      <c r="AH58" s="649"/>
    </row>
    <row r="59" spans="1:34" x14ac:dyDescent="0.3">
      <c r="A59" s="178" t="s">
        <v>169</v>
      </c>
      <c r="B59" s="179">
        <f>H59+J59+L59+N59+P59+R59+T59+V59+X59+Z59+AB59+AD59</f>
        <v>0</v>
      </c>
      <c r="C59" s="179">
        <f>H59+J59</f>
        <v>0</v>
      </c>
      <c r="D59" s="179">
        <f>E59</f>
        <v>0</v>
      </c>
      <c r="E59" s="179">
        <v>0</v>
      </c>
      <c r="F59" s="179">
        <v>0</v>
      </c>
      <c r="G59" s="179">
        <v>0</v>
      </c>
      <c r="H59" s="179">
        <f>H65+H71</f>
        <v>0</v>
      </c>
      <c r="I59" s="179">
        <f t="shared" ref="I59:AE62" si="13">I65+I71</f>
        <v>0</v>
      </c>
      <c r="J59" s="179">
        <f t="shared" si="13"/>
        <v>0</v>
      </c>
      <c r="K59" s="179">
        <f t="shared" si="13"/>
        <v>0</v>
      </c>
      <c r="L59" s="179">
        <f t="shared" si="13"/>
        <v>0</v>
      </c>
      <c r="M59" s="179">
        <f t="shared" si="13"/>
        <v>0</v>
      </c>
      <c r="N59" s="179">
        <f t="shared" si="13"/>
        <v>0</v>
      </c>
      <c r="O59" s="179">
        <f>O65+O71</f>
        <v>0</v>
      </c>
      <c r="P59" s="179">
        <f t="shared" si="13"/>
        <v>0</v>
      </c>
      <c r="Q59" s="179">
        <f t="shared" si="13"/>
        <v>0</v>
      </c>
      <c r="R59" s="179">
        <f t="shared" si="13"/>
        <v>0</v>
      </c>
      <c r="S59" s="179">
        <f t="shared" si="13"/>
        <v>0</v>
      </c>
      <c r="T59" s="179">
        <f t="shared" si="13"/>
        <v>0</v>
      </c>
      <c r="U59" s="179">
        <f t="shared" si="13"/>
        <v>0</v>
      </c>
      <c r="V59" s="179">
        <f t="shared" si="13"/>
        <v>0</v>
      </c>
      <c r="W59" s="179">
        <f t="shared" si="13"/>
        <v>0</v>
      </c>
      <c r="X59" s="179">
        <f t="shared" si="13"/>
        <v>0</v>
      </c>
      <c r="Y59" s="179">
        <f t="shared" si="13"/>
        <v>0</v>
      </c>
      <c r="Z59" s="179">
        <f t="shared" si="13"/>
        <v>0</v>
      </c>
      <c r="AA59" s="179">
        <f t="shared" si="13"/>
        <v>0</v>
      </c>
      <c r="AB59" s="179">
        <f t="shared" si="13"/>
        <v>0</v>
      </c>
      <c r="AC59" s="179">
        <f t="shared" si="13"/>
        <v>0</v>
      </c>
      <c r="AD59" s="179">
        <f t="shared" si="13"/>
        <v>0</v>
      </c>
      <c r="AE59" s="179">
        <f t="shared" si="13"/>
        <v>0</v>
      </c>
      <c r="AF59" s="189"/>
      <c r="AG59" s="175"/>
      <c r="AH59" s="649"/>
    </row>
    <row r="60" spans="1:34" x14ac:dyDescent="0.3">
      <c r="A60" s="178" t="s">
        <v>32</v>
      </c>
      <c r="B60" s="179">
        <f>H60+J60+L60+N60+P60+R60+T60+V60+X60+Z60+AB60+AD60</f>
        <v>0</v>
      </c>
      <c r="C60" s="179">
        <f>H60+J60</f>
        <v>0</v>
      </c>
      <c r="D60" s="179">
        <f>E60</f>
        <v>0</v>
      </c>
      <c r="E60" s="179">
        <v>0</v>
      </c>
      <c r="F60" s="179">
        <v>0</v>
      </c>
      <c r="G60" s="179">
        <v>0</v>
      </c>
      <c r="H60" s="179">
        <f>H66+H72</f>
        <v>0</v>
      </c>
      <c r="I60" s="179">
        <f t="shared" ref="I60:N60" si="14">I66+I72</f>
        <v>0</v>
      </c>
      <c r="J60" s="179">
        <f t="shared" si="14"/>
        <v>0</v>
      </c>
      <c r="K60" s="179">
        <f t="shared" si="14"/>
        <v>0</v>
      </c>
      <c r="L60" s="179">
        <f t="shared" si="14"/>
        <v>0</v>
      </c>
      <c r="M60" s="179">
        <f t="shared" si="14"/>
        <v>0</v>
      </c>
      <c r="N60" s="179">
        <f t="shared" si="14"/>
        <v>0</v>
      </c>
      <c r="O60" s="179">
        <f>O66+O72</f>
        <v>0</v>
      </c>
      <c r="P60" s="179">
        <f t="shared" ref="P60:W60" si="15">P66+P72</f>
        <v>0</v>
      </c>
      <c r="Q60" s="179">
        <f t="shared" si="15"/>
        <v>0</v>
      </c>
      <c r="R60" s="179">
        <f t="shared" si="15"/>
        <v>0</v>
      </c>
      <c r="S60" s="179">
        <f t="shared" si="15"/>
        <v>0</v>
      </c>
      <c r="T60" s="179">
        <f t="shared" si="15"/>
        <v>0</v>
      </c>
      <c r="U60" s="179">
        <f t="shared" si="15"/>
        <v>0</v>
      </c>
      <c r="V60" s="179">
        <f t="shared" si="15"/>
        <v>0</v>
      </c>
      <c r="W60" s="179">
        <f t="shared" si="15"/>
        <v>0</v>
      </c>
      <c r="X60" s="179">
        <f t="shared" si="13"/>
        <v>0</v>
      </c>
      <c r="Y60" s="179">
        <f t="shared" si="13"/>
        <v>0</v>
      </c>
      <c r="Z60" s="179">
        <f t="shared" si="13"/>
        <v>0</v>
      </c>
      <c r="AA60" s="179">
        <f t="shared" si="13"/>
        <v>0</v>
      </c>
      <c r="AB60" s="179">
        <f t="shared" si="13"/>
        <v>0</v>
      </c>
      <c r="AC60" s="179">
        <f t="shared" si="13"/>
        <v>0</v>
      </c>
      <c r="AD60" s="179">
        <f t="shared" si="13"/>
        <v>0</v>
      </c>
      <c r="AE60" s="179">
        <f t="shared" si="13"/>
        <v>0</v>
      </c>
      <c r="AF60" s="189"/>
      <c r="AG60" s="175"/>
      <c r="AH60" s="649"/>
    </row>
    <row r="61" spans="1:34" x14ac:dyDescent="0.3">
      <c r="A61" s="178" t="s">
        <v>33</v>
      </c>
      <c r="B61" s="179">
        <f>H61+J61+L61+N61+P61+R61+T61+V61+X61+Z61+AB61+AD61</f>
        <v>18782.606000000003</v>
      </c>
      <c r="C61" s="179">
        <f>C67+C73</f>
        <v>10991.939249999999</v>
      </c>
      <c r="D61" s="179">
        <f>E61</f>
        <v>7914.5169999999998</v>
      </c>
      <c r="E61" s="179">
        <f>I61+K61+M61+O61+Q61+S61</f>
        <v>7914.5169999999998</v>
      </c>
      <c r="F61" s="179">
        <f>E61/B61*100</f>
        <v>42.137480816027328</v>
      </c>
      <c r="G61" s="179">
        <f>E61/C61*100</f>
        <v>72.00291795644705</v>
      </c>
      <c r="H61" s="179">
        <f>H67+H73</f>
        <v>1291.4488099999999</v>
      </c>
      <c r="I61" s="179">
        <f t="shared" si="13"/>
        <v>550.79</v>
      </c>
      <c r="J61" s="179">
        <f t="shared" si="13"/>
        <v>1460.04962</v>
      </c>
      <c r="K61" s="179">
        <f t="shared" si="13"/>
        <v>1213.0620000000001</v>
      </c>
      <c r="L61" s="179">
        <f t="shared" si="13"/>
        <v>1538.2255400000001</v>
      </c>
      <c r="M61" s="179">
        <f t="shared" si="13"/>
        <v>1400.625</v>
      </c>
      <c r="N61" s="179">
        <f t="shared" si="13"/>
        <v>1520</v>
      </c>
      <c r="O61" s="179">
        <f t="shared" si="13"/>
        <v>1520.0149999999999</v>
      </c>
      <c r="P61" s="179">
        <f t="shared" si="13"/>
        <v>1453.73128</v>
      </c>
      <c r="Q61" s="179">
        <f t="shared" si="13"/>
        <v>1651.0249999999999</v>
      </c>
      <c r="R61" s="179">
        <f t="shared" si="13"/>
        <v>1780.222</v>
      </c>
      <c r="S61" s="179">
        <f t="shared" si="13"/>
        <v>1579</v>
      </c>
      <c r="T61" s="179">
        <f t="shared" si="13"/>
        <v>1948.2619999999999</v>
      </c>
      <c r="U61" s="179">
        <f t="shared" si="13"/>
        <v>1615.96</v>
      </c>
      <c r="V61" s="179">
        <f t="shared" si="13"/>
        <v>1605.2370000000001</v>
      </c>
      <c r="W61" s="179">
        <f t="shared" si="13"/>
        <v>0</v>
      </c>
      <c r="X61" s="179">
        <f t="shared" si="13"/>
        <v>1605.2370000000001</v>
      </c>
      <c r="Y61" s="179">
        <f t="shared" si="13"/>
        <v>0</v>
      </c>
      <c r="Z61" s="179">
        <f t="shared" si="13"/>
        <v>1606.6120000000001</v>
      </c>
      <c r="AA61" s="179">
        <f t="shared" si="13"/>
        <v>0</v>
      </c>
      <c r="AB61" s="179">
        <f t="shared" si="13"/>
        <v>1445.393</v>
      </c>
      <c r="AC61" s="179">
        <f t="shared" si="13"/>
        <v>0</v>
      </c>
      <c r="AD61" s="179">
        <f t="shared" si="13"/>
        <v>1528.1877500000001</v>
      </c>
      <c r="AE61" s="179">
        <f t="shared" si="13"/>
        <v>0</v>
      </c>
      <c r="AF61" s="189"/>
      <c r="AG61" s="175"/>
      <c r="AH61" s="649"/>
    </row>
    <row r="62" spans="1:34" x14ac:dyDescent="0.3">
      <c r="A62" s="178" t="s">
        <v>221</v>
      </c>
      <c r="B62" s="179">
        <f>H62+J62+L62+N62+P62+R62+T62+V62+X62+Z62+AB62+AD62</f>
        <v>0</v>
      </c>
      <c r="C62" s="179">
        <f>H62+J62</f>
        <v>0</v>
      </c>
      <c r="D62" s="179">
        <f>E62</f>
        <v>0</v>
      </c>
      <c r="E62" s="179">
        <v>0</v>
      </c>
      <c r="F62" s="179">
        <v>0</v>
      </c>
      <c r="G62" s="179">
        <v>0</v>
      </c>
      <c r="H62" s="179">
        <f>H68+H74</f>
        <v>0</v>
      </c>
      <c r="I62" s="179">
        <f t="shared" si="13"/>
        <v>0</v>
      </c>
      <c r="J62" s="179">
        <f t="shared" si="13"/>
        <v>0</v>
      </c>
      <c r="K62" s="179">
        <f t="shared" si="13"/>
        <v>0</v>
      </c>
      <c r="L62" s="179">
        <f t="shared" si="13"/>
        <v>0</v>
      </c>
      <c r="M62" s="179">
        <f t="shared" si="13"/>
        <v>0</v>
      </c>
      <c r="N62" s="179">
        <f t="shared" si="13"/>
        <v>0</v>
      </c>
      <c r="O62" s="179">
        <f t="shared" si="13"/>
        <v>0</v>
      </c>
      <c r="P62" s="179">
        <f t="shared" si="13"/>
        <v>0</v>
      </c>
      <c r="Q62" s="179">
        <f t="shared" si="13"/>
        <v>0</v>
      </c>
      <c r="R62" s="179">
        <f t="shared" si="13"/>
        <v>0</v>
      </c>
      <c r="S62" s="179">
        <f t="shared" si="13"/>
        <v>0</v>
      </c>
      <c r="T62" s="179">
        <f t="shared" si="13"/>
        <v>0</v>
      </c>
      <c r="U62" s="179">
        <f t="shared" si="13"/>
        <v>0</v>
      </c>
      <c r="V62" s="179">
        <f t="shared" si="13"/>
        <v>0</v>
      </c>
      <c r="W62" s="179">
        <f t="shared" si="13"/>
        <v>0</v>
      </c>
      <c r="X62" s="179">
        <f t="shared" si="13"/>
        <v>0</v>
      </c>
      <c r="Y62" s="179">
        <f t="shared" si="13"/>
        <v>0</v>
      </c>
      <c r="Z62" s="179">
        <f t="shared" si="13"/>
        <v>0</v>
      </c>
      <c r="AA62" s="179">
        <f t="shared" si="13"/>
        <v>0</v>
      </c>
      <c r="AB62" s="179">
        <f t="shared" si="13"/>
        <v>0</v>
      </c>
      <c r="AC62" s="179">
        <f t="shared" si="13"/>
        <v>0</v>
      </c>
      <c r="AD62" s="179">
        <f t="shared" si="13"/>
        <v>0</v>
      </c>
      <c r="AE62" s="179">
        <f t="shared" si="13"/>
        <v>0</v>
      </c>
      <c r="AF62" s="189"/>
      <c r="AG62" s="175"/>
      <c r="AH62" s="649"/>
    </row>
    <row r="63" spans="1:34" ht="61.15" customHeight="1" x14ac:dyDescent="0.3">
      <c r="A63" s="190" t="s">
        <v>243</v>
      </c>
      <c r="B63" s="191"/>
      <c r="C63" s="191"/>
      <c r="D63" s="191"/>
      <c r="E63" s="192"/>
      <c r="F63" s="193"/>
      <c r="G63" s="193"/>
      <c r="H63" s="191"/>
      <c r="I63" s="192"/>
      <c r="J63" s="191"/>
      <c r="K63" s="192"/>
      <c r="L63" s="191"/>
      <c r="M63" s="192"/>
      <c r="N63" s="191"/>
      <c r="O63" s="192"/>
      <c r="P63" s="191"/>
      <c r="Q63" s="192"/>
      <c r="R63" s="191"/>
      <c r="S63" s="192"/>
      <c r="T63" s="191"/>
      <c r="U63" s="192"/>
      <c r="V63" s="191"/>
      <c r="W63" s="192"/>
      <c r="X63" s="191"/>
      <c r="Y63" s="192"/>
      <c r="Z63" s="191"/>
      <c r="AA63" s="192"/>
      <c r="AB63" s="191"/>
      <c r="AC63" s="192"/>
      <c r="AD63" s="191"/>
      <c r="AE63" s="194"/>
      <c r="AF63" s="744" t="s">
        <v>651</v>
      </c>
      <c r="AG63" s="175"/>
      <c r="AH63" s="649"/>
    </row>
    <row r="64" spans="1:34" s="752" customFormat="1" x14ac:dyDescent="0.3">
      <c r="A64" s="751" t="s">
        <v>31</v>
      </c>
      <c r="B64" s="673">
        <f>B65+B66+B67+B68</f>
        <v>1926.6000000000004</v>
      </c>
      <c r="C64" s="673">
        <f>C65+C66+C67+C68</f>
        <v>1070.6402500000002</v>
      </c>
      <c r="D64" s="673">
        <f>D65+D66+D67+D68</f>
        <v>864.73699999999997</v>
      </c>
      <c r="E64" s="673">
        <f>E65+E66+E67+E68</f>
        <v>864.73699999999997</v>
      </c>
      <c r="F64" s="673">
        <v>0</v>
      </c>
      <c r="G64" s="673">
        <f>E64/C64*100</f>
        <v>80.768213225684335</v>
      </c>
      <c r="H64" s="673">
        <f>H65+H66+H67+H68</f>
        <v>70.140249999999995</v>
      </c>
      <c r="I64" s="673">
        <f>I67</f>
        <v>70.14</v>
      </c>
      <c r="J64" s="673">
        <f>J65+J66+J67+J68</f>
        <v>279.5</v>
      </c>
      <c r="K64" s="673">
        <f>K67</f>
        <v>82.662000000000006</v>
      </c>
      <c r="L64" s="673">
        <f>L65+L66+L67+L68</f>
        <v>144.19999999999999</v>
      </c>
      <c r="M64" s="673">
        <f>M67</f>
        <v>144.67500000000001</v>
      </c>
      <c r="N64" s="673">
        <f>N65+N66+N67+N68</f>
        <v>144.19999999999999</v>
      </c>
      <c r="O64" s="673">
        <f>O67</f>
        <v>144.67500000000001</v>
      </c>
      <c r="P64" s="673">
        <f>P65+P66+P67+P68</f>
        <v>144.19999999999999</v>
      </c>
      <c r="Q64" s="673">
        <f>Q67</f>
        <v>239.92500000000001</v>
      </c>
      <c r="R64" s="673">
        <f>R65+R66+R67+R68</f>
        <v>144.19999999999999</v>
      </c>
      <c r="S64" s="673">
        <f>S67</f>
        <v>100</v>
      </c>
      <c r="T64" s="673">
        <f>T65+T66+T67+T68</f>
        <v>144.19999999999999</v>
      </c>
      <c r="U64" s="673">
        <f>U67</f>
        <v>82.66</v>
      </c>
      <c r="V64" s="673">
        <f>V65+V66+V67+V68</f>
        <v>144.19999999999999</v>
      </c>
      <c r="W64" s="673"/>
      <c r="X64" s="673">
        <f>X65+X66+X67+X68</f>
        <v>144.19999999999999</v>
      </c>
      <c r="Y64" s="673"/>
      <c r="Z64" s="673">
        <f>Z65+Z66+Z67+Z68</f>
        <v>144.19999999999999</v>
      </c>
      <c r="AA64" s="673"/>
      <c r="AB64" s="673">
        <f>AB65+AB66+AB67+AB68</f>
        <v>144.19999999999999</v>
      </c>
      <c r="AC64" s="673"/>
      <c r="AD64" s="673">
        <f>AD65+AD66+AD67+AD68</f>
        <v>279.15974999999997</v>
      </c>
      <c r="AE64" s="673"/>
      <c r="AF64" s="747"/>
      <c r="AG64" s="748"/>
      <c r="AH64" s="749"/>
    </row>
    <row r="65" spans="1:35" x14ac:dyDescent="0.3">
      <c r="A65" s="199" t="s">
        <v>169</v>
      </c>
      <c r="B65" s="191">
        <f>H65+J65+L65+N65+P65+R65+T65+V65+X65+Z65+AB65+AD65</f>
        <v>0</v>
      </c>
      <c r="C65" s="191">
        <f>H65+J65</f>
        <v>0</v>
      </c>
      <c r="D65" s="191">
        <f t="shared" ref="D65:D82" si="16">E65</f>
        <v>0</v>
      </c>
      <c r="E65" s="191">
        <v>0</v>
      </c>
      <c r="F65" s="193">
        <v>0</v>
      </c>
      <c r="G65" s="193">
        <v>0</v>
      </c>
      <c r="H65" s="191">
        <v>0</v>
      </c>
      <c r="I65" s="191">
        <v>0</v>
      </c>
      <c r="J65" s="191">
        <v>0</v>
      </c>
      <c r="K65" s="191">
        <v>0</v>
      </c>
      <c r="L65" s="191">
        <v>0</v>
      </c>
      <c r="M65" s="191">
        <v>0</v>
      </c>
      <c r="N65" s="191">
        <v>0</v>
      </c>
      <c r="O65" s="191">
        <v>0</v>
      </c>
      <c r="P65" s="191">
        <v>0</v>
      </c>
      <c r="Q65" s="191">
        <v>0</v>
      </c>
      <c r="R65" s="191">
        <v>0</v>
      </c>
      <c r="S65" s="191">
        <v>0</v>
      </c>
      <c r="T65" s="191">
        <v>0</v>
      </c>
      <c r="U65" s="191">
        <v>0</v>
      </c>
      <c r="V65" s="191"/>
      <c r="W65" s="191"/>
      <c r="X65" s="191"/>
      <c r="Y65" s="191"/>
      <c r="Z65" s="191"/>
      <c r="AA65" s="191"/>
      <c r="AB65" s="191"/>
      <c r="AC65" s="191"/>
      <c r="AD65" s="191"/>
      <c r="AE65" s="191"/>
      <c r="AF65" s="195"/>
      <c r="AG65" s="175"/>
      <c r="AH65" s="649"/>
    </row>
    <row r="66" spans="1:35" x14ac:dyDescent="0.3">
      <c r="A66" s="199" t="s">
        <v>32</v>
      </c>
      <c r="B66" s="191">
        <f>H66+J66+L66+N66+P66+R66+T66+V66+X66+Z66+AB66+AD66</f>
        <v>0</v>
      </c>
      <c r="C66" s="191">
        <f>H66+J66</f>
        <v>0</v>
      </c>
      <c r="D66" s="191">
        <f t="shared" si="16"/>
        <v>0</v>
      </c>
      <c r="E66" s="191">
        <v>0</v>
      </c>
      <c r="F66" s="193">
        <v>0</v>
      </c>
      <c r="G66" s="193">
        <v>0</v>
      </c>
      <c r="H66" s="191">
        <v>0</v>
      </c>
      <c r="I66" s="191">
        <v>0</v>
      </c>
      <c r="J66" s="191">
        <v>0</v>
      </c>
      <c r="K66" s="191">
        <v>0</v>
      </c>
      <c r="L66" s="191">
        <v>0</v>
      </c>
      <c r="M66" s="191">
        <v>0</v>
      </c>
      <c r="N66" s="191">
        <v>0</v>
      </c>
      <c r="O66" s="191">
        <v>0</v>
      </c>
      <c r="P66" s="191">
        <v>0</v>
      </c>
      <c r="Q66" s="191">
        <v>0</v>
      </c>
      <c r="R66" s="191">
        <v>0</v>
      </c>
      <c r="S66" s="191">
        <v>0</v>
      </c>
      <c r="T66" s="191">
        <v>0</v>
      </c>
      <c r="U66" s="191">
        <v>0</v>
      </c>
      <c r="V66" s="191"/>
      <c r="W66" s="191"/>
      <c r="X66" s="191"/>
      <c r="Y66" s="191"/>
      <c r="Z66" s="191"/>
      <c r="AA66" s="191"/>
      <c r="AB66" s="191"/>
      <c r="AC66" s="191"/>
      <c r="AD66" s="191"/>
      <c r="AE66" s="191"/>
      <c r="AF66" s="195"/>
      <c r="AG66" s="175"/>
      <c r="AH66" s="649"/>
    </row>
    <row r="67" spans="1:35" s="647" customFormat="1" x14ac:dyDescent="0.3">
      <c r="A67" s="745" t="s">
        <v>33</v>
      </c>
      <c r="B67" s="674">
        <f>H67+J67+L67+N67+P67+R67+T67+V67+X67+Z67+AB67+AD67</f>
        <v>1926.6000000000004</v>
      </c>
      <c r="C67" s="674">
        <f>H67+J67+L67+N67+P67+R67+T67</f>
        <v>1070.6402500000002</v>
      </c>
      <c r="D67" s="750">
        <f>E67</f>
        <v>864.73699999999997</v>
      </c>
      <c r="E67" s="746">
        <f>I67+K67+M67+O67+Q67+S67+U67</f>
        <v>864.73699999999997</v>
      </c>
      <c r="F67" s="674">
        <v>0</v>
      </c>
      <c r="G67" s="674">
        <v>0</v>
      </c>
      <c r="H67" s="674">
        <v>70.140249999999995</v>
      </c>
      <c r="I67" s="674">
        <v>70.14</v>
      </c>
      <c r="J67" s="674">
        <v>279.5</v>
      </c>
      <c r="K67" s="674">
        <v>82.662000000000006</v>
      </c>
      <c r="L67" s="674">
        <v>144.19999999999999</v>
      </c>
      <c r="M67" s="674">
        <v>144.67500000000001</v>
      </c>
      <c r="N67" s="674">
        <v>144.19999999999999</v>
      </c>
      <c r="O67" s="674">
        <v>144.67500000000001</v>
      </c>
      <c r="P67" s="674">
        <v>144.19999999999999</v>
      </c>
      <c r="Q67" s="192">
        <v>239.92500000000001</v>
      </c>
      <c r="R67" s="674">
        <v>144.19999999999999</v>
      </c>
      <c r="S67" s="674">
        <v>100</v>
      </c>
      <c r="T67" s="674">
        <v>144.19999999999999</v>
      </c>
      <c r="U67" s="674">
        <v>82.66</v>
      </c>
      <c r="V67" s="674">
        <v>144.19999999999999</v>
      </c>
      <c r="W67" s="674"/>
      <c r="X67" s="674">
        <v>144.19999999999999</v>
      </c>
      <c r="Y67" s="674"/>
      <c r="Z67" s="674">
        <v>144.19999999999999</v>
      </c>
      <c r="AA67" s="674"/>
      <c r="AB67" s="674">
        <v>144.19999999999999</v>
      </c>
      <c r="AC67" s="674"/>
      <c r="AD67" s="674">
        <v>279.15974999999997</v>
      </c>
      <c r="AE67" s="674"/>
      <c r="AF67" s="747"/>
      <c r="AG67" s="748"/>
      <c r="AH67" s="749"/>
      <c r="AI67" s="749"/>
    </row>
    <row r="68" spans="1:35" x14ac:dyDescent="0.3">
      <c r="A68" s="199" t="s">
        <v>221</v>
      </c>
      <c r="B68" s="191">
        <f>H68+J68+L68+N68+P68+R68+T68+V68+X68+Z68+AB68+AD68</f>
        <v>0</v>
      </c>
      <c r="C68" s="191">
        <f>H68+J68</f>
        <v>0</v>
      </c>
      <c r="D68" s="191">
        <f t="shared" si="16"/>
        <v>0</v>
      </c>
      <c r="E68" s="191">
        <v>0</v>
      </c>
      <c r="F68" s="193">
        <v>0</v>
      </c>
      <c r="G68" s="193">
        <v>0</v>
      </c>
      <c r="H68" s="191">
        <v>0</v>
      </c>
      <c r="I68" s="191">
        <v>0</v>
      </c>
      <c r="J68" s="191">
        <v>0</v>
      </c>
      <c r="K68" s="191">
        <v>0</v>
      </c>
      <c r="L68" s="191">
        <v>0</v>
      </c>
      <c r="M68" s="191">
        <v>0</v>
      </c>
      <c r="N68" s="191">
        <v>0</v>
      </c>
      <c r="O68" s="191">
        <v>0</v>
      </c>
      <c r="P68" s="191">
        <v>0</v>
      </c>
      <c r="Q68" s="191">
        <v>0</v>
      </c>
      <c r="R68" s="191">
        <v>0</v>
      </c>
      <c r="S68" s="191">
        <v>0</v>
      </c>
      <c r="T68" s="191">
        <v>0</v>
      </c>
      <c r="U68" s="191">
        <v>0</v>
      </c>
      <c r="V68" s="191"/>
      <c r="W68" s="191"/>
      <c r="X68" s="191"/>
      <c r="Y68" s="191"/>
      <c r="Z68" s="191"/>
      <c r="AA68" s="191"/>
      <c r="AB68" s="191"/>
      <c r="AC68" s="191"/>
      <c r="AD68" s="191"/>
      <c r="AE68" s="191"/>
      <c r="AF68" s="195"/>
      <c r="AG68" s="175"/>
      <c r="AH68" s="649"/>
    </row>
    <row r="69" spans="1:35" ht="77.45" customHeight="1" x14ac:dyDescent="0.3">
      <c r="A69" s="903" t="s">
        <v>561</v>
      </c>
      <c r="B69" s="193"/>
      <c r="C69" s="191"/>
      <c r="D69" s="192"/>
      <c r="E69" s="193"/>
      <c r="F69" s="193"/>
      <c r="G69" s="191"/>
      <c r="H69" s="192"/>
      <c r="I69" s="191"/>
      <c r="J69" s="192"/>
      <c r="K69" s="192"/>
      <c r="L69" s="191"/>
      <c r="M69" s="192"/>
      <c r="N69" s="191"/>
      <c r="O69" s="192"/>
      <c r="P69" s="191"/>
      <c r="Q69" s="192"/>
      <c r="R69" s="191"/>
      <c r="S69" s="192"/>
      <c r="T69" s="191"/>
      <c r="U69" s="192"/>
      <c r="V69" s="191"/>
      <c r="W69" s="192"/>
      <c r="X69" s="191"/>
      <c r="Y69" s="192"/>
      <c r="Z69" s="191"/>
      <c r="AA69" s="192"/>
      <c r="AB69" s="191"/>
      <c r="AC69" s="192"/>
      <c r="AD69" s="191"/>
      <c r="AE69" s="194"/>
      <c r="AF69" s="195"/>
      <c r="AG69" s="175"/>
      <c r="AH69" s="649"/>
    </row>
    <row r="70" spans="1:35" s="177" customFormat="1" ht="81" customHeight="1" x14ac:dyDescent="0.3">
      <c r="A70" s="196" t="s">
        <v>31</v>
      </c>
      <c r="B70" s="673">
        <f>B71+B72+B73+B74</f>
        <v>16856.005999999998</v>
      </c>
      <c r="C70" s="197">
        <f>C71+C72+C73+C74</f>
        <v>9921.2989999999991</v>
      </c>
      <c r="D70" s="673">
        <f>D71+D72+D73+D74</f>
        <v>8665.74</v>
      </c>
      <c r="E70" s="197">
        <f>E71+E72+E73+E74</f>
        <v>8665.74</v>
      </c>
      <c r="F70" s="198">
        <f>F71+F72+F73+F74</f>
        <v>51.410399355576885</v>
      </c>
      <c r="G70" s="198">
        <f>E70/C70*100</f>
        <v>87.344812408133251</v>
      </c>
      <c r="H70" s="198">
        <f>H71+H72+H73+H74</f>
        <v>1221.3085599999999</v>
      </c>
      <c r="I70" s="198">
        <f>I71+I72+I73+I74</f>
        <v>480.65</v>
      </c>
      <c r="J70" s="197">
        <f>J71+J72+J73+J74</f>
        <v>1180.54962</v>
      </c>
      <c r="K70" s="197">
        <v>1130.3900000000001</v>
      </c>
      <c r="L70" s="197">
        <f>L71+L72+L73+L74</f>
        <v>1394.0255400000001</v>
      </c>
      <c r="M70" s="673">
        <f>M73</f>
        <v>1255.95</v>
      </c>
      <c r="N70" s="197">
        <f>N71+N72+N73+N74</f>
        <v>1375.8</v>
      </c>
      <c r="O70" s="197">
        <f>O73</f>
        <v>1375.34</v>
      </c>
      <c r="P70" s="197">
        <f>P71+P72+P73+P74</f>
        <v>1309.5312799999999</v>
      </c>
      <c r="Q70" s="197">
        <f>Q73</f>
        <v>1411.1</v>
      </c>
      <c r="R70" s="197">
        <f>R71+R72+R73+R74</f>
        <v>1636.0219999999999</v>
      </c>
      <c r="S70" s="197">
        <f>S73</f>
        <v>1479</v>
      </c>
      <c r="T70" s="197">
        <f>T71+T72+T73+T74</f>
        <v>1804.0619999999999</v>
      </c>
      <c r="U70" s="197">
        <f>U73</f>
        <v>1533.3</v>
      </c>
      <c r="V70" s="197">
        <f>V71+V72+V73+V74</f>
        <v>1461.037</v>
      </c>
      <c r="W70" s="197"/>
      <c r="X70" s="197">
        <f>X71+X72+X73+X74</f>
        <v>1461.037</v>
      </c>
      <c r="Y70" s="197"/>
      <c r="Z70" s="197">
        <f>Z71+Z72+Z73+Z74</f>
        <v>1462.412</v>
      </c>
      <c r="AA70" s="197"/>
      <c r="AB70" s="197">
        <f>AB71+AB72+AB73+AB74</f>
        <v>1301.193</v>
      </c>
      <c r="AC70" s="197"/>
      <c r="AD70" s="197">
        <f>AD71+AD72+AD73+AD74</f>
        <v>1249.028</v>
      </c>
      <c r="AE70" s="197"/>
      <c r="AF70" s="744" t="s">
        <v>652</v>
      </c>
      <c r="AG70" s="175"/>
      <c r="AH70" s="649"/>
    </row>
    <row r="71" spans="1:35" x14ac:dyDescent="0.3">
      <c r="A71" s="199" t="s">
        <v>169</v>
      </c>
      <c r="B71" s="191">
        <f>H71+J71+L71+N71+P71+R71+T71+V71+X71+Z71+AB71+AD71</f>
        <v>0</v>
      </c>
      <c r="C71" s="191">
        <f>H71+J71</f>
        <v>0</v>
      </c>
      <c r="D71" s="191">
        <f t="shared" si="16"/>
        <v>0</v>
      </c>
      <c r="E71" s="191">
        <v>0</v>
      </c>
      <c r="F71" s="193">
        <v>0</v>
      </c>
      <c r="G71" s="193">
        <v>0</v>
      </c>
      <c r="H71" s="191">
        <v>0</v>
      </c>
      <c r="I71" s="192">
        <v>0</v>
      </c>
      <c r="J71" s="191">
        <v>0</v>
      </c>
      <c r="K71" s="191">
        <v>0</v>
      </c>
      <c r="L71" s="191">
        <v>0</v>
      </c>
      <c r="M71" s="674">
        <v>0</v>
      </c>
      <c r="N71" s="191">
        <v>0</v>
      </c>
      <c r="O71" s="191">
        <v>0</v>
      </c>
      <c r="P71" s="191">
        <v>0</v>
      </c>
      <c r="Q71" s="191">
        <v>0</v>
      </c>
      <c r="R71" s="191">
        <v>0</v>
      </c>
      <c r="S71" s="191">
        <v>0</v>
      </c>
      <c r="T71" s="191">
        <v>0</v>
      </c>
      <c r="U71" s="191">
        <v>0</v>
      </c>
      <c r="V71" s="191"/>
      <c r="W71" s="191"/>
      <c r="X71" s="191"/>
      <c r="Y71" s="191"/>
      <c r="Z71" s="191"/>
      <c r="AA71" s="191"/>
      <c r="AB71" s="191"/>
      <c r="AC71" s="191"/>
      <c r="AD71" s="191"/>
      <c r="AE71" s="191"/>
      <c r="AF71" s="195"/>
      <c r="AG71" s="175"/>
      <c r="AH71" s="649"/>
    </row>
    <row r="72" spans="1:35" x14ac:dyDescent="0.3">
      <c r="A72" s="199" t="s">
        <v>32</v>
      </c>
      <c r="B72" s="191">
        <f>H72+J72+L72+N72+P72+R72+T72+V72+X72+Z72+AB72+AD72</f>
        <v>0</v>
      </c>
      <c r="C72" s="191">
        <f>H72+J72</f>
        <v>0</v>
      </c>
      <c r="D72" s="191">
        <f t="shared" si="16"/>
        <v>0</v>
      </c>
      <c r="E72" s="191">
        <v>0</v>
      </c>
      <c r="F72" s="193">
        <v>0</v>
      </c>
      <c r="G72" s="193">
        <v>0</v>
      </c>
      <c r="H72" s="191">
        <v>0</v>
      </c>
      <c r="I72" s="192">
        <v>0</v>
      </c>
      <c r="J72" s="191">
        <v>0</v>
      </c>
      <c r="K72" s="191">
        <v>0</v>
      </c>
      <c r="L72" s="191">
        <v>0</v>
      </c>
      <c r="M72" s="674">
        <v>0</v>
      </c>
      <c r="N72" s="191">
        <v>0</v>
      </c>
      <c r="O72" s="191">
        <v>0</v>
      </c>
      <c r="P72" s="191">
        <v>0</v>
      </c>
      <c r="Q72" s="191">
        <v>0</v>
      </c>
      <c r="R72" s="191">
        <v>0</v>
      </c>
      <c r="S72" s="191">
        <v>0</v>
      </c>
      <c r="T72" s="191">
        <v>0</v>
      </c>
      <c r="U72" s="191">
        <v>0</v>
      </c>
      <c r="V72" s="191"/>
      <c r="W72" s="191"/>
      <c r="X72" s="191"/>
      <c r="Y72" s="191"/>
      <c r="Z72" s="191"/>
      <c r="AA72" s="191"/>
      <c r="AB72" s="191"/>
      <c r="AC72" s="191"/>
      <c r="AD72" s="191"/>
      <c r="AE72" s="191"/>
      <c r="AF72" s="195"/>
      <c r="AG72" s="175"/>
      <c r="AH72" s="649"/>
    </row>
    <row r="73" spans="1:35" s="647" customFormat="1" ht="25.15" customHeight="1" x14ac:dyDescent="0.3">
      <c r="A73" s="745" t="s">
        <v>33</v>
      </c>
      <c r="B73" s="674">
        <f>H73+J73+L73+N73+P73+R73+T73+V73+X73+Z73+AB73+AD73</f>
        <v>16856.005999999998</v>
      </c>
      <c r="C73" s="674">
        <f>H73+J73+L73+N73+P73+R73+T73</f>
        <v>9921.2989999999991</v>
      </c>
      <c r="D73" s="674">
        <f>E73</f>
        <v>8665.74</v>
      </c>
      <c r="E73" s="674">
        <f>I73+K73+M73+O73+Q73+S73+U73</f>
        <v>8665.74</v>
      </c>
      <c r="F73" s="674">
        <f>E73/B73*100</f>
        <v>51.410399355576885</v>
      </c>
      <c r="G73" s="674">
        <f>E73/C73*100</f>
        <v>87.344812408133251</v>
      </c>
      <c r="H73" s="191">
        <v>1221.3085599999999</v>
      </c>
      <c r="I73" s="191">
        <v>480.65</v>
      </c>
      <c r="J73" s="191">
        <v>1180.54962</v>
      </c>
      <c r="K73" s="191">
        <v>1130.4000000000001</v>
      </c>
      <c r="L73" s="191">
        <v>1394.0255400000001</v>
      </c>
      <c r="M73" s="191">
        <v>1255.95</v>
      </c>
      <c r="N73" s="191">
        <v>1375.8</v>
      </c>
      <c r="O73" s="191">
        <v>1375.34</v>
      </c>
      <c r="P73" s="191">
        <v>1309.5312799999999</v>
      </c>
      <c r="Q73" s="191">
        <v>1411.1</v>
      </c>
      <c r="R73" s="191">
        <v>1636.0219999999999</v>
      </c>
      <c r="S73" s="191">
        <v>1479</v>
      </c>
      <c r="T73" s="674">
        <v>1804.0619999999999</v>
      </c>
      <c r="U73" s="674">
        <v>1533.3</v>
      </c>
      <c r="V73" s="674">
        <v>1461.037</v>
      </c>
      <c r="W73" s="674"/>
      <c r="X73" s="674">
        <v>1461.037</v>
      </c>
      <c r="Y73" s="674"/>
      <c r="Z73" s="674">
        <v>1462.412</v>
      </c>
      <c r="AA73" s="674"/>
      <c r="AB73" s="845">
        <v>1301.193</v>
      </c>
      <c r="AC73" s="674"/>
      <c r="AD73" s="674">
        <v>1249.028</v>
      </c>
      <c r="AE73" s="674"/>
      <c r="AF73" s="747"/>
      <c r="AG73" s="748"/>
      <c r="AH73" s="749"/>
    </row>
    <row r="74" spans="1:35" x14ac:dyDescent="0.3">
      <c r="A74" s="199" t="s">
        <v>221</v>
      </c>
      <c r="B74" s="191">
        <f>H74+J74+L74+N74+P74+R74+T74+V74+X74+Z74+AB74+AD74</f>
        <v>0</v>
      </c>
      <c r="C74" s="191">
        <f>H74+J74</f>
        <v>0</v>
      </c>
      <c r="D74" s="191">
        <f t="shared" si="16"/>
        <v>0</v>
      </c>
      <c r="E74" s="191">
        <v>0</v>
      </c>
      <c r="F74" s="193">
        <v>0</v>
      </c>
      <c r="G74" s="193">
        <v>0</v>
      </c>
      <c r="H74" s="191">
        <v>0</v>
      </c>
      <c r="I74" s="192">
        <v>0</v>
      </c>
      <c r="J74" s="191">
        <v>0</v>
      </c>
      <c r="K74" s="191">
        <v>0</v>
      </c>
      <c r="L74" s="191">
        <v>0</v>
      </c>
      <c r="M74" s="674">
        <v>0</v>
      </c>
      <c r="N74" s="191">
        <v>0</v>
      </c>
      <c r="O74" s="191">
        <v>0</v>
      </c>
      <c r="P74" s="191">
        <v>0</v>
      </c>
      <c r="Q74" s="191">
        <v>0</v>
      </c>
      <c r="R74" s="191">
        <v>0</v>
      </c>
      <c r="S74" s="191">
        <v>0</v>
      </c>
      <c r="T74" s="191">
        <v>0</v>
      </c>
      <c r="U74" s="191">
        <v>0</v>
      </c>
      <c r="V74" s="191"/>
      <c r="W74" s="191"/>
      <c r="X74" s="191"/>
      <c r="Y74" s="191"/>
      <c r="Z74" s="191"/>
      <c r="AA74" s="191"/>
      <c r="AB74" s="191"/>
      <c r="AC74" s="191"/>
      <c r="AD74" s="191"/>
      <c r="AE74" s="191"/>
      <c r="AF74" s="195"/>
      <c r="AG74" s="175"/>
      <c r="AH74" s="649"/>
    </row>
    <row r="75" spans="1:35" s="168" customFormat="1" x14ac:dyDescent="0.3">
      <c r="A75" s="1076" t="s">
        <v>244</v>
      </c>
      <c r="B75" s="1071"/>
      <c r="C75" s="1071"/>
      <c r="D75" s="1071"/>
      <c r="E75" s="1071"/>
      <c r="F75" s="1071"/>
      <c r="G75" s="1071"/>
      <c r="H75" s="1071"/>
      <c r="I75" s="1071"/>
      <c r="J75" s="1071"/>
      <c r="K75" s="1071"/>
      <c r="L75" s="1071"/>
      <c r="M75" s="1071"/>
      <c r="N75" s="1071"/>
      <c r="O75" s="1071"/>
      <c r="P75" s="1071"/>
      <c r="Q75" s="1071"/>
      <c r="R75" s="1071"/>
      <c r="S75" s="1071"/>
      <c r="T75" s="1071"/>
      <c r="U75" s="1071"/>
      <c r="V75" s="1071"/>
      <c r="W75" s="1071"/>
      <c r="X75" s="1071"/>
      <c r="Y75" s="1071"/>
      <c r="Z75" s="1071"/>
      <c r="AA75" s="1071"/>
      <c r="AB75" s="1071"/>
      <c r="AC75" s="1071"/>
      <c r="AD75" s="1071"/>
      <c r="AE75" s="1071"/>
      <c r="AF75" s="1072"/>
      <c r="AG75" s="175"/>
      <c r="AH75" s="714"/>
    </row>
    <row r="76" spans="1:35" s="168" customFormat="1" x14ac:dyDescent="0.3">
      <c r="A76" s="1070" t="s">
        <v>54</v>
      </c>
      <c r="B76" s="1071"/>
      <c r="C76" s="1071"/>
      <c r="D76" s="1071"/>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2"/>
      <c r="AG76" s="175"/>
      <c r="AH76" s="714"/>
    </row>
    <row r="77" spans="1:35" s="177" customFormat="1" ht="56.25" x14ac:dyDescent="0.3">
      <c r="A77" s="202" t="s">
        <v>245</v>
      </c>
      <c r="B77" s="170">
        <f>B78</f>
        <v>27917.077000000001</v>
      </c>
      <c r="C77" s="170">
        <f>C78</f>
        <v>17739.269</v>
      </c>
      <c r="D77" s="170">
        <f>D78</f>
        <v>16438.240999999998</v>
      </c>
      <c r="E77" s="172">
        <f>E78</f>
        <v>16438.240999999998</v>
      </c>
      <c r="F77" s="170">
        <v>0</v>
      </c>
      <c r="G77" s="170">
        <v>0</v>
      </c>
      <c r="H77" s="170">
        <f t="shared" ref="H77:O77" si="17">H78</f>
        <v>3549.9259999999999</v>
      </c>
      <c r="I77" s="172">
        <f t="shared" si="17"/>
        <v>1704.848</v>
      </c>
      <c r="J77" s="170">
        <f t="shared" si="17"/>
        <v>2293.0390000000002</v>
      </c>
      <c r="K77" s="172">
        <f t="shared" si="17"/>
        <v>2351.4690000000001</v>
      </c>
      <c r="L77" s="170">
        <f t="shared" si="17"/>
        <v>1823.9069999999999</v>
      </c>
      <c r="M77" s="172">
        <f t="shared" si="17"/>
        <v>1933.69</v>
      </c>
      <c r="N77" s="170">
        <f t="shared" si="17"/>
        <v>2676.9009999999998</v>
      </c>
      <c r="O77" s="172">
        <f t="shared" si="17"/>
        <v>1813.9850000000001</v>
      </c>
      <c r="P77" s="170">
        <f t="shared" ref="P77:V77" si="18">P78</f>
        <v>2857.8879999999999</v>
      </c>
      <c r="Q77" s="172">
        <f t="shared" si="18"/>
        <v>3813.3690000000001</v>
      </c>
      <c r="R77" s="170">
        <f t="shared" si="18"/>
        <v>1824.0070000000001</v>
      </c>
      <c r="S77" s="172">
        <f t="shared" si="18"/>
        <v>2711.9949999999999</v>
      </c>
      <c r="T77" s="170">
        <f t="shared" si="18"/>
        <v>2713.6010000000001</v>
      </c>
      <c r="U77" s="172">
        <f t="shared" si="18"/>
        <v>2108.8849999999998</v>
      </c>
      <c r="V77" s="170">
        <f t="shared" si="18"/>
        <v>2081.511</v>
      </c>
      <c r="W77" s="172"/>
      <c r="X77" s="170">
        <f>X78</f>
        <v>1823.9070000000002</v>
      </c>
      <c r="Y77" s="172"/>
      <c r="Z77" s="170">
        <f>Z78</f>
        <v>2676.9030000000002</v>
      </c>
      <c r="AA77" s="172"/>
      <c r="AB77" s="170">
        <f>AB78</f>
        <v>2081.5120000000002</v>
      </c>
      <c r="AC77" s="172"/>
      <c r="AD77" s="170">
        <f>AD78</f>
        <v>1513.9750000000001</v>
      </c>
      <c r="AE77" s="173"/>
      <c r="AF77" s="813" t="s">
        <v>646</v>
      </c>
      <c r="AG77" s="175"/>
      <c r="AH77" s="649"/>
    </row>
    <row r="78" spans="1:35" s="177" customFormat="1" x14ac:dyDescent="0.3">
      <c r="A78" s="187" t="s">
        <v>31</v>
      </c>
      <c r="B78" s="170">
        <f>B79+B80+B81+B82</f>
        <v>27917.077000000001</v>
      </c>
      <c r="C78" s="170">
        <f>C79+C80+C81+C82</f>
        <v>17739.269</v>
      </c>
      <c r="D78" s="170">
        <f>D79+D80+D81+D82</f>
        <v>16438.240999999998</v>
      </c>
      <c r="E78" s="170">
        <f>E79+E80+E81+E82</f>
        <v>16438.240999999998</v>
      </c>
      <c r="F78" s="170">
        <f>F79+F80+F81+F82</f>
        <v>57.780067905191657</v>
      </c>
      <c r="G78" s="170">
        <f>E78/C78*100</f>
        <v>92.665830818620535</v>
      </c>
      <c r="H78" s="170">
        <f t="shared" ref="H78:N78" si="19">H79+H80+H81+H82</f>
        <v>3549.9259999999999</v>
      </c>
      <c r="I78" s="170">
        <f t="shared" si="19"/>
        <v>1704.848</v>
      </c>
      <c r="J78" s="170">
        <f t="shared" si="19"/>
        <v>2293.0390000000002</v>
      </c>
      <c r="K78" s="170">
        <f t="shared" si="19"/>
        <v>2351.4690000000001</v>
      </c>
      <c r="L78" s="170">
        <f t="shared" si="19"/>
        <v>1823.9069999999999</v>
      </c>
      <c r="M78" s="170">
        <f t="shared" si="19"/>
        <v>1933.69</v>
      </c>
      <c r="N78" s="170">
        <f t="shared" si="19"/>
        <v>2676.9009999999998</v>
      </c>
      <c r="O78" s="170">
        <f>O79+O80+O81+O82</f>
        <v>1813.9850000000001</v>
      </c>
      <c r="P78" s="170">
        <f>P79+P80+P81+P82</f>
        <v>2857.8879999999999</v>
      </c>
      <c r="Q78" s="170">
        <f t="shared" ref="Q78:V78" si="20">Q79+Q80+Q81+Q82</f>
        <v>3813.3690000000001</v>
      </c>
      <c r="R78" s="170">
        <f t="shared" si="20"/>
        <v>1824.0070000000001</v>
      </c>
      <c r="S78" s="170">
        <f t="shared" si="20"/>
        <v>2711.9949999999999</v>
      </c>
      <c r="T78" s="170">
        <f t="shared" si="20"/>
        <v>2713.6010000000001</v>
      </c>
      <c r="U78" s="170">
        <f t="shared" si="20"/>
        <v>2108.8849999999998</v>
      </c>
      <c r="V78" s="170">
        <f t="shared" si="20"/>
        <v>2081.511</v>
      </c>
      <c r="W78" s="170"/>
      <c r="X78" s="170">
        <f>X79+X80+X81+X82</f>
        <v>1823.9070000000002</v>
      </c>
      <c r="Y78" s="170"/>
      <c r="Z78" s="170">
        <f>Z79+Z80+Z81+Z82</f>
        <v>2676.9030000000002</v>
      </c>
      <c r="AA78" s="170"/>
      <c r="AB78" s="170">
        <f>AB79+AB80+AB81+AB82</f>
        <v>2081.5120000000002</v>
      </c>
      <c r="AC78" s="170"/>
      <c r="AD78" s="170">
        <f>AD79+AD80+AD81+AD82</f>
        <v>1513.9750000000001</v>
      </c>
      <c r="AE78" s="170"/>
      <c r="AF78" s="174"/>
      <c r="AG78" s="175"/>
      <c r="AH78" s="649"/>
    </row>
    <row r="79" spans="1:35" x14ac:dyDescent="0.3">
      <c r="A79" s="178" t="s">
        <v>169</v>
      </c>
      <c r="B79" s="179">
        <f>H79+J79+L79+N79+P79+R79+T79+V79+X79+Z79+AB79+AD79</f>
        <v>0</v>
      </c>
      <c r="C79" s="179">
        <f>H79+J79</f>
        <v>0</v>
      </c>
      <c r="D79" s="179">
        <f t="shared" si="16"/>
        <v>0</v>
      </c>
      <c r="E79" s="179">
        <v>0</v>
      </c>
      <c r="F79" s="179">
        <v>0</v>
      </c>
      <c r="G79" s="179">
        <v>0</v>
      </c>
      <c r="H79" s="179">
        <f t="shared" ref="H79:AE79" si="21">H85+H91+H97</f>
        <v>0</v>
      </c>
      <c r="I79" s="179">
        <f t="shared" si="21"/>
        <v>0</v>
      </c>
      <c r="J79" s="179">
        <f t="shared" si="21"/>
        <v>0</v>
      </c>
      <c r="K79" s="179">
        <f t="shared" si="21"/>
        <v>0</v>
      </c>
      <c r="L79" s="179">
        <f t="shared" si="21"/>
        <v>0</v>
      </c>
      <c r="M79" s="179">
        <f t="shared" si="21"/>
        <v>0</v>
      </c>
      <c r="N79" s="179">
        <f t="shared" si="21"/>
        <v>0</v>
      </c>
      <c r="O79" s="179">
        <f t="shared" si="21"/>
        <v>0</v>
      </c>
      <c r="P79" s="179">
        <f t="shared" si="21"/>
        <v>0</v>
      </c>
      <c r="Q79" s="179">
        <f t="shared" si="21"/>
        <v>0</v>
      </c>
      <c r="R79" s="179">
        <f t="shared" si="21"/>
        <v>0</v>
      </c>
      <c r="S79" s="179">
        <f t="shared" si="21"/>
        <v>0</v>
      </c>
      <c r="T79" s="179">
        <f t="shared" si="21"/>
        <v>0</v>
      </c>
      <c r="U79" s="179">
        <f t="shared" si="21"/>
        <v>0</v>
      </c>
      <c r="V79" s="179">
        <f t="shared" si="21"/>
        <v>0</v>
      </c>
      <c r="W79" s="179">
        <f t="shared" si="21"/>
        <v>0</v>
      </c>
      <c r="X79" s="179">
        <f t="shared" si="21"/>
        <v>0</v>
      </c>
      <c r="Y79" s="179">
        <f t="shared" si="21"/>
        <v>0</v>
      </c>
      <c r="Z79" s="179">
        <f t="shared" si="21"/>
        <v>0</v>
      </c>
      <c r="AA79" s="179">
        <f t="shared" si="21"/>
        <v>0</v>
      </c>
      <c r="AB79" s="179">
        <f t="shared" si="21"/>
        <v>0</v>
      </c>
      <c r="AC79" s="179">
        <f t="shared" si="21"/>
        <v>0</v>
      </c>
      <c r="AD79" s="179">
        <f t="shared" si="21"/>
        <v>0</v>
      </c>
      <c r="AE79" s="179">
        <f t="shared" si="21"/>
        <v>0</v>
      </c>
      <c r="AF79" s="182"/>
      <c r="AG79" s="175"/>
      <c r="AH79" s="649"/>
    </row>
    <row r="80" spans="1:35" x14ac:dyDescent="0.3">
      <c r="A80" s="178" t="s">
        <v>32</v>
      </c>
      <c r="B80" s="179">
        <f>H80+J80+L80+N80+P80+R80+T80+V80+X80+Z80+AB80+AD80</f>
        <v>728.87599999999998</v>
      </c>
      <c r="C80" s="179">
        <f>P80</f>
        <v>728.87599999999998</v>
      </c>
      <c r="D80" s="179">
        <f t="shared" si="16"/>
        <v>728.88</v>
      </c>
      <c r="E80" s="179">
        <f>Q80</f>
        <v>728.88</v>
      </c>
      <c r="F80" s="179">
        <v>0</v>
      </c>
      <c r="G80" s="179">
        <v>0</v>
      </c>
      <c r="H80" s="179">
        <f t="shared" ref="H80:AE80" si="22">H86+H92+H98</f>
        <v>0</v>
      </c>
      <c r="I80" s="179">
        <f t="shared" si="22"/>
        <v>0</v>
      </c>
      <c r="J80" s="179">
        <f t="shared" si="22"/>
        <v>0</v>
      </c>
      <c r="K80" s="179">
        <f t="shared" si="22"/>
        <v>0</v>
      </c>
      <c r="L80" s="179">
        <f t="shared" si="22"/>
        <v>0</v>
      </c>
      <c r="M80" s="179">
        <f t="shared" si="22"/>
        <v>0</v>
      </c>
      <c r="N80" s="179">
        <f t="shared" si="22"/>
        <v>0</v>
      </c>
      <c r="O80" s="179">
        <f>R82</f>
        <v>0</v>
      </c>
      <c r="P80" s="179">
        <f t="shared" si="22"/>
        <v>728.87599999999998</v>
      </c>
      <c r="Q80" s="179">
        <f>Q86+Q92+Q98</f>
        <v>728.88</v>
      </c>
      <c r="R80" s="179">
        <f t="shared" si="22"/>
        <v>0</v>
      </c>
      <c r="S80" s="179">
        <f t="shared" si="22"/>
        <v>0</v>
      </c>
      <c r="T80" s="179">
        <f t="shared" si="22"/>
        <v>0</v>
      </c>
      <c r="U80" s="179">
        <f t="shared" si="22"/>
        <v>0</v>
      </c>
      <c r="V80" s="179">
        <f t="shared" si="22"/>
        <v>0</v>
      </c>
      <c r="W80" s="179">
        <f t="shared" si="22"/>
        <v>0</v>
      </c>
      <c r="X80" s="179">
        <f t="shared" si="22"/>
        <v>0</v>
      </c>
      <c r="Y80" s="179">
        <f t="shared" si="22"/>
        <v>0</v>
      </c>
      <c r="Z80" s="179">
        <f t="shared" si="22"/>
        <v>0</v>
      </c>
      <c r="AA80" s="179">
        <f t="shared" si="22"/>
        <v>0</v>
      </c>
      <c r="AB80" s="179">
        <f t="shared" si="22"/>
        <v>0</v>
      </c>
      <c r="AC80" s="179">
        <f t="shared" si="22"/>
        <v>0</v>
      </c>
      <c r="AD80" s="179">
        <f t="shared" si="22"/>
        <v>0</v>
      </c>
      <c r="AE80" s="179">
        <f t="shared" si="22"/>
        <v>0</v>
      </c>
      <c r="AF80" s="182"/>
      <c r="AG80" s="175"/>
      <c r="AH80" s="649"/>
    </row>
    <row r="81" spans="1:34" x14ac:dyDescent="0.3">
      <c r="A81" s="178" t="s">
        <v>33</v>
      </c>
      <c r="B81" s="179">
        <f>B87+B93+B99</f>
        <v>27188.201000000001</v>
      </c>
      <c r="C81" s="179">
        <f>H81+J81+L81+N81+P81+R81+T81</f>
        <v>17010.393</v>
      </c>
      <c r="D81" s="179">
        <f>E81</f>
        <v>15709.360999999999</v>
      </c>
      <c r="E81" s="1024">
        <f>I81+K81+M81+O81+Q81+S81+U81</f>
        <v>15709.360999999999</v>
      </c>
      <c r="F81" s="179">
        <f>E81/B81*100</f>
        <v>57.780067905191657</v>
      </c>
      <c r="G81" s="179">
        <v>0</v>
      </c>
      <c r="H81" s="179">
        <f>H87+H93+H99</f>
        <v>3549.9259999999999</v>
      </c>
      <c r="I81" s="179">
        <f t="shared" ref="H81:O82" si="23">I87+I93+I99</f>
        <v>1704.848</v>
      </c>
      <c r="J81" s="179">
        <f t="shared" si="23"/>
        <v>2293.0390000000002</v>
      </c>
      <c r="K81" s="179">
        <f t="shared" si="23"/>
        <v>2351.4690000000001</v>
      </c>
      <c r="L81" s="179">
        <f t="shared" si="23"/>
        <v>1823.9069999999999</v>
      </c>
      <c r="M81" s="179">
        <f t="shared" si="23"/>
        <v>1933.69</v>
      </c>
      <c r="N81" s="179">
        <f t="shared" si="23"/>
        <v>2676.9009999999998</v>
      </c>
      <c r="O81" s="179">
        <f t="shared" si="23"/>
        <v>1813.9850000000001</v>
      </c>
      <c r="P81" s="179">
        <f>P87+P93+P99</f>
        <v>2129.0119999999997</v>
      </c>
      <c r="Q81" s="179">
        <f t="shared" ref="Q81:AE81" si="24">Q87+Q93+Q99</f>
        <v>3084.489</v>
      </c>
      <c r="R81" s="179">
        <f t="shared" si="24"/>
        <v>1824.0070000000001</v>
      </c>
      <c r="S81" s="179">
        <f t="shared" si="24"/>
        <v>2711.9949999999999</v>
      </c>
      <c r="T81" s="179">
        <f t="shared" si="24"/>
        <v>2713.6010000000001</v>
      </c>
      <c r="U81" s="179">
        <f t="shared" si="24"/>
        <v>2108.8849999999998</v>
      </c>
      <c r="V81" s="179">
        <f t="shared" si="24"/>
        <v>2081.511</v>
      </c>
      <c r="W81" s="179">
        <f t="shared" si="24"/>
        <v>209.13900000000001</v>
      </c>
      <c r="X81" s="179">
        <f t="shared" si="24"/>
        <v>1823.9070000000002</v>
      </c>
      <c r="Y81" s="179">
        <f t="shared" si="24"/>
        <v>0</v>
      </c>
      <c r="Z81" s="179">
        <f t="shared" si="24"/>
        <v>2676.9030000000002</v>
      </c>
      <c r="AA81" s="179">
        <f t="shared" si="24"/>
        <v>0</v>
      </c>
      <c r="AB81" s="179">
        <f t="shared" si="24"/>
        <v>2081.5120000000002</v>
      </c>
      <c r="AC81" s="179">
        <f t="shared" si="24"/>
        <v>0</v>
      </c>
      <c r="AD81" s="179">
        <f t="shared" si="24"/>
        <v>1513.9750000000001</v>
      </c>
      <c r="AE81" s="179">
        <f t="shared" si="24"/>
        <v>0</v>
      </c>
      <c r="AF81" s="182"/>
      <c r="AG81" s="175"/>
      <c r="AH81" s="649"/>
    </row>
    <row r="82" spans="1:34" x14ac:dyDescent="0.3">
      <c r="A82" s="178" t="s">
        <v>221</v>
      </c>
      <c r="B82" s="179">
        <f>H82+J82+L82+N82+P82+R82+T82+V82+X82+Z82+AB82+AD82</f>
        <v>0</v>
      </c>
      <c r="C82" s="179">
        <f>H82+J82</f>
        <v>0</v>
      </c>
      <c r="D82" s="179">
        <f t="shared" si="16"/>
        <v>0</v>
      </c>
      <c r="E82" s="179">
        <v>0</v>
      </c>
      <c r="F82" s="179">
        <v>0</v>
      </c>
      <c r="G82" s="179">
        <v>0</v>
      </c>
      <c r="H82" s="179">
        <f t="shared" si="23"/>
        <v>0</v>
      </c>
      <c r="I82" s="179">
        <f t="shared" si="23"/>
        <v>0</v>
      </c>
      <c r="J82" s="179">
        <f t="shared" si="23"/>
        <v>0</v>
      </c>
      <c r="K82" s="179">
        <f t="shared" si="23"/>
        <v>0</v>
      </c>
      <c r="L82" s="179">
        <f t="shared" si="23"/>
        <v>0</v>
      </c>
      <c r="M82" s="179">
        <f t="shared" si="23"/>
        <v>0</v>
      </c>
      <c r="N82" s="179">
        <f t="shared" si="23"/>
        <v>0</v>
      </c>
      <c r="O82" s="179">
        <f t="shared" si="23"/>
        <v>0</v>
      </c>
      <c r="P82" s="179">
        <f>P88+P94+P100</f>
        <v>0</v>
      </c>
      <c r="Q82" s="179">
        <f>Q88+Q94+Q100</f>
        <v>0</v>
      </c>
      <c r="R82" s="179">
        <f>R88+R94+R100</f>
        <v>0</v>
      </c>
      <c r="S82" s="179">
        <v>0</v>
      </c>
      <c r="T82" s="179">
        <f t="shared" ref="T82:AE82" si="25">T88+T94+T100</f>
        <v>0</v>
      </c>
      <c r="U82" s="179">
        <f t="shared" si="25"/>
        <v>0</v>
      </c>
      <c r="V82" s="179">
        <f t="shared" si="25"/>
        <v>0</v>
      </c>
      <c r="W82" s="179">
        <f t="shared" si="25"/>
        <v>0</v>
      </c>
      <c r="X82" s="179">
        <f t="shared" si="25"/>
        <v>0</v>
      </c>
      <c r="Y82" s="179">
        <f t="shared" si="25"/>
        <v>0</v>
      </c>
      <c r="Z82" s="179">
        <f t="shared" si="25"/>
        <v>0</v>
      </c>
      <c r="AA82" s="179">
        <f t="shared" si="25"/>
        <v>0</v>
      </c>
      <c r="AB82" s="179">
        <f t="shared" si="25"/>
        <v>0</v>
      </c>
      <c r="AC82" s="179">
        <f t="shared" si="25"/>
        <v>0</v>
      </c>
      <c r="AD82" s="179">
        <f t="shared" si="25"/>
        <v>0</v>
      </c>
      <c r="AE82" s="179">
        <f t="shared" si="25"/>
        <v>0</v>
      </c>
      <c r="AF82" s="182"/>
      <c r="AG82" s="175"/>
      <c r="AH82" s="649"/>
    </row>
    <row r="83" spans="1:34" ht="56.25" x14ac:dyDescent="0.3">
      <c r="A83" s="190" t="s">
        <v>246</v>
      </c>
      <c r="B83" s="191"/>
      <c r="C83" s="191"/>
      <c r="D83" s="191"/>
      <c r="E83" s="192"/>
      <c r="F83" s="193"/>
      <c r="G83" s="193"/>
      <c r="H83" s="191"/>
      <c r="I83" s="192"/>
      <c r="J83" s="191"/>
      <c r="K83" s="192"/>
      <c r="L83" s="191"/>
      <c r="M83" s="192"/>
      <c r="N83" s="191"/>
      <c r="O83" s="192"/>
      <c r="P83" s="191"/>
      <c r="Q83" s="192"/>
      <c r="R83" s="191"/>
      <c r="S83" s="192"/>
      <c r="T83" s="191"/>
      <c r="U83" s="192"/>
      <c r="V83" s="191"/>
      <c r="W83" s="192"/>
      <c r="X83" s="191"/>
      <c r="Y83" s="192"/>
      <c r="Z83" s="191"/>
      <c r="AA83" s="192"/>
      <c r="AB83" s="191"/>
      <c r="AC83" s="192"/>
      <c r="AD83" s="191"/>
      <c r="AE83" s="194"/>
      <c r="AF83" s="195"/>
      <c r="AG83" s="175"/>
      <c r="AH83" s="649"/>
    </row>
    <row r="84" spans="1:34" s="177" customFormat="1" ht="60" x14ac:dyDescent="0.3">
      <c r="A84" s="196" t="s">
        <v>31</v>
      </c>
      <c r="B84" s="197">
        <f>B85+B86+B87+B88</f>
        <v>5871.8009999999995</v>
      </c>
      <c r="C84" s="197">
        <f>C85+C86+C87+C88</f>
        <v>3942.5489999999995</v>
      </c>
      <c r="D84" s="197">
        <f>D85+D86+D87+D88</f>
        <v>3013.5020000000004</v>
      </c>
      <c r="E84" s="197">
        <f>E85+E86+E87+E88</f>
        <v>3013.5020000000004</v>
      </c>
      <c r="F84" s="198">
        <v>0</v>
      </c>
      <c r="G84" s="198">
        <f>E84/C84*100</f>
        <v>76.43537214122135</v>
      </c>
      <c r="H84" s="197">
        <f>H85+H86+H87+H88</f>
        <v>969.53499999999997</v>
      </c>
      <c r="I84" s="197">
        <f>I85+I86+I87+I88</f>
        <v>452.28100000000001</v>
      </c>
      <c r="J84" s="197">
        <f>J85+J86+J87+J88</f>
        <v>600.06700000000001</v>
      </c>
      <c r="K84" s="197">
        <v>602.96100000000001</v>
      </c>
      <c r="L84" s="197">
        <f>L85+L86+L87+L88</f>
        <v>430.63799999999998</v>
      </c>
      <c r="M84" s="197">
        <f>M87</f>
        <v>360.17099999999999</v>
      </c>
      <c r="N84" s="197">
        <f t="shared" ref="N84:AE84" si="26">N85+N86+N87+N88</f>
        <v>595.66499999999996</v>
      </c>
      <c r="O84" s="197">
        <f t="shared" si="26"/>
        <v>353.04899999999998</v>
      </c>
      <c r="P84" s="197">
        <f t="shared" si="26"/>
        <v>500.59899999999999</v>
      </c>
      <c r="Q84" s="197">
        <f t="shared" si="26"/>
        <v>586.83300000000008</v>
      </c>
      <c r="R84" s="197">
        <f t="shared" si="26"/>
        <v>356.61500000000001</v>
      </c>
      <c r="S84" s="197">
        <f t="shared" si="26"/>
        <v>469.791</v>
      </c>
      <c r="T84" s="197">
        <f t="shared" si="26"/>
        <v>489.43</v>
      </c>
      <c r="U84" s="197">
        <f t="shared" si="26"/>
        <v>188.416</v>
      </c>
      <c r="V84" s="197">
        <f t="shared" si="26"/>
        <v>396.72500000000002</v>
      </c>
      <c r="W84" s="197">
        <f t="shared" si="26"/>
        <v>0</v>
      </c>
      <c r="X84" s="197">
        <f t="shared" si="26"/>
        <v>356.61500000000001</v>
      </c>
      <c r="Y84" s="197">
        <f t="shared" si="26"/>
        <v>0</v>
      </c>
      <c r="Z84" s="197">
        <f t="shared" si="26"/>
        <v>579.88400000000001</v>
      </c>
      <c r="AA84" s="197">
        <f t="shared" si="26"/>
        <v>0</v>
      </c>
      <c r="AB84" s="197">
        <f t="shared" si="26"/>
        <v>347.83600000000001</v>
      </c>
      <c r="AC84" s="197">
        <f t="shared" si="26"/>
        <v>0</v>
      </c>
      <c r="AD84" s="197">
        <f t="shared" si="26"/>
        <v>248.19200000000001</v>
      </c>
      <c r="AE84" s="197">
        <f t="shared" si="26"/>
        <v>0</v>
      </c>
      <c r="AF84" s="744" t="s">
        <v>647</v>
      </c>
      <c r="AG84" s="175"/>
      <c r="AH84" s="649"/>
    </row>
    <row r="85" spans="1:34" x14ac:dyDescent="0.3">
      <c r="A85" s="199" t="s">
        <v>169</v>
      </c>
      <c r="B85" s="191">
        <f>H85+J85+L85+N85+P85+R85+T85+V85+X85+Z85+AB85+AD85</f>
        <v>0</v>
      </c>
      <c r="C85" s="191">
        <f>H85+J85</f>
        <v>0</v>
      </c>
      <c r="D85" s="191">
        <f>E85</f>
        <v>0</v>
      </c>
      <c r="E85" s="191">
        <v>0</v>
      </c>
      <c r="F85" s="193">
        <v>0</v>
      </c>
      <c r="G85" s="193">
        <v>0</v>
      </c>
      <c r="H85" s="191">
        <v>0</v>
      </c>
      <c r="I85" s="191">
        <v>0</v>
      </c>
      <c r="J85" s="191">
        <v>0</v>
      </c>
      <c r="K85" s="191">
        <v>0</v>
      </c>
      <c r="L85" s="191">
        <v>0</v>
      </c>
      <c r="M85" s="191">
        <v>0</v>
      </c>
      <c r="N85" s="191">
        <v>0</v>
      </c>
      <c r="O85" s="191">
        <v>0</v>
      </c>
      <c r="P85" s="191">
        <v>0</v>
      </c>
      <c r="Q85" s="191">
        <v>0</v>
      </c>
      <c r="R85" s="191">
        <v>0</v>
      </c>
      <c r="S85" s="191">
        <v>0</v>
      </c>
      <c r="T85" s="191">
        <v>0</v>
      </c>
      <c r="U85" s="191">
        <v>0</v>
      </c>
      <c r="V85" s="191"/>
      <c r="W85" s="191"/>
      <c r="X85" s="191"/>
      <c r="Y85" s="191"/>
      <c r="Z85" s="191"/>
      <c r="AA85" s="191"/>
      <c r="AB85" s="191"/>
      <c r="AC85" s="191"/>
      <c r="AD85" s="191"/>
      <c r="AE85" s="191"/>
      <c r="AF85" s="195"/>
      <c r="AG85" s="175"/>
      <c r="AH85" s="649"/>
    </row>
    <row r="86" spans="1:34" x14ac:dyDescent="0.3">
      <c r="A86" s="199" t="s">
        <v>32</v>
      </c>
      <c r="B86" s="191">
        <f>H86+J86+L86+N86+P86+R86+T86+V86+X86+Z86+AB86+AD86</f>
        <v>76</v>
      </c>
      <c r="C86" s="191">
        <f>P86</f>
        <v>76</v>
      </c>
      <c r="D86" s="191">
        <f>E86</f>
        <v>76</v>
      </c>
      <c r="E86" s="191">
        <f>Q86</f>
        <v>76</v>
      </c>
      <c r="F86" s="193">
        <v>100</v>
      </c>
      <c r="G86" s="193">
        <v>100</v>
      </c>
      <c r="H86" s="191">
        <v>0</v>
      </c>
      <c r="I86" s="191">
        <v>0</v>
      </c>
      <c r="J86" s="191">
        <v>0</v>
      </c>
      <c r="K86" s="191">
        <v>0</v>
      </c>
      <c r="L86" s="191">
        <v>0</v>
      </c>
      <c r="M86" s="191">
        <v>0</v>
      </c>
      <c r="N86" s="191">
        <v>0</v>
      </c>
      <c r="O86" s="191">
        <v>0</v>
      </c>
      <c r="P86" s="191">
        <v>76</v>
      </c>
      <c r="Q86" s="191">
        <v>76</v>
      </c>
      <c r="R86" s="191">
        <v>0</v>
      </c>
      <c r="S86" s="191">
        <v>0</v>
      </c>
      <c r="T86" s="191">
        <v>0</v>
      </c>
      <c r="U86" s="191">
        <v>0</v>
      </c>
      <c r="V86" s="191"/>
      <c r="W86" s="191"/>
      <c r="X86" s="191"/>
      <c r="Y86" s="191"/>
      <c r="Z86" s="191"/>
      <c r="AA86" s="191"/>
      <c r="AB86" s="191"/>
      <c r="AC86" s="191"/>
      <c r="AD86" s="191"/>
      <c r="AE86" s="191"/>
      <c r="AF86" s="195"/>
      <c r="AG86" s="175"/>
      <c r="AH86" s="649"/>
    </row>
    <row r="87" spans="1:34" s="647" customFormat="1" x14ac:dyDescent="0.3">
      <c r="A87" s="745" t="s">
        <v>33</v>
      </c>
      <c r="B87" s="674">
        <f>H87+J87+L87+N87+P87+R87+T87+V87+X87+Z87+AB87+AD87</f>
        <v>5795.8009999999995</v>
      </c>
      <c r="C87" s="674">
        <f>H87+J87+L87+N87+P87+R87+T87</f>
        <v>3866.5489999999995</v>
      </c>
      <c r="D87" s="750">
        <f>E87</f>
        <v>2937.5020000000004</v>
      </c>
      <c r="E87" s="746">
        <f>I87+K87+M87+O87+Q87+S87+U87</f>
        <v>2937.5020000000004</v>
      </c>
      <c r="F87" s="674">
        <v>0</v>
      </c>
      <c r="G87" s="674">
        <v>0</v>
      </c>
      <c r="H87" s="674">
        <v>969.53499999999997</v>
      </c>
      <c r="I87" s="674">
        <v>452.28100000000001</v>
      </c>
      <c r="J87" s="674">
        <v>600.06700000000001</v>
      </c>
      <c r="K87" s="674">
        <v>602.96100000000001</v>
      </c>
      <c r="L87" s="674">
        <v>430.63799999999998</v>
      </c>
      <c r="M87" s="674">
        <v>360.17099999999999</v>
      </c>
      <c r="N87" s="674">
        <v>595.66499999999996</v>
      </c>
      <c r="O87" s="674">
        <v>353.04899999999998</v>
      </c>
      <c r="P87" s="674">
        <v>424.59899999999999</v>
      </c>
      <c r="Q87" s="674">
        <v>510.83300000000003</v>
      </c>
      <c r="R87" s="674">
        <v>356.61500000000001</v>
      </c>
      <c r="S87" s="674">
        <v>469.791</v>
      </c>
      <c r="T87" s="674">
        <v>489.43</v>
      </c>
      <c r="U87" s="674">
        <v>188.416</v>
      </c>
      <c r="V87" s="674">
        <v>396.72500000000002</v>
      </c>
      <c r="W87" s="674"/>
      <c r="X87" s="674">
        <v>356.61500000000001</v>
      </c>
      <c r="Y87" s="674"/>
      <c r="Z87" s="674">
        <v>579.88400000000001</v>
      </c>
      <c r="AA87" s="674"/>
      <c r="AB87" s="674">
        <v>347.83600000000001</v>
      </c>
      <c r="AC87" s="674"/>
      <c r="AD87" s="674">
        <v>248.19200000000001</v>
      </c>
      <c r="AE87" s="674"/>
      <c r="AF87" s="747"/>
      <c r="AG87" s="748"/>
      <c r="AH87" s="749"/>
    </row>
    <row r="88" spans="1:34" x14ac:dyDescent="0.3">
      <c r="A88" s="199" t="s">
        <v>221</v>
      </c>
      <c r="B88" s="191">
        <f>H88+J88+L88+N88+P88+R88+T88+V88+X88+Z88+AB88+AD88</f>
        <v>0</v>
      </c>
      <c r="C88" s="191">
        <f>H88+J88</f>
        <v>0</v>
      </c>
      <c r="D88" s="191">
        <f>E88</f>
        <v>0</v>
      </c>
      <c r="E88" s="191">
        <v>0</v>
      </c>
      <c r="F88" s="193">
        <v>0</v>
      </c>
      <c r="G88" s="193">
        <v>0</v>
      </c>
      <c r="H88" s="191">
        <v>0</v>
      </c>
      <c r="I88" s="191">
        <v>0</v>
      </c>
      <c r="J88" s="191">
        <v>0</v>
      </c>
      <c r="K88" s="191">
        <v>0</v>
      </c>
      <c r="L88" s="191">
        <v>0</v>
      </c>
      <c r="M88" s="191">
        <v>0</v>
      </c>
      <c r="N88" s="191">
        <v>0</v>
      </c>
      <c r="O88" s="191">
        <v>0</v>
      </c>
      <c r="P88" s="191">
        <v>0</v>
      </c>
      <c r="Q88" s="191">
        <v>0</v>
      </c>
      <c r="R88" s="191">
        <v>0</v>
      </c>
      <c r="S88" s="191">
        <v>0</v>
      </c>
      <c r="T88" s="191">
        <v>0</v>
      </c>
      <c r="U88" s="191">
        <v>0</v>
      </c>
      <c r="V88" s="191"/>
      <c r="W88" s="191"/>
      <c r="X88" s="191"/>
      <c r="Y88" s="191"/>
      <c r="Z88" s="191"/>
      <c r="AA88" s="191"/>
      <c r="AB88" s="191"/>
      <c r="AC88" s="191"/>
      <c r="AD88" s="191"/>
      <c r="AE88" s="191"/>
      <c r="AF88" s="195"/>
      <c r="AG88" s="175"/>
      <c r="AH88" s="649"/>
    </row>
    <row r="89" spans="1:34" ht="40.15" customHeight="1" x14ac:dyDescent="0.3">
      <c r="A89" s="190" t="s">
        <v>247</v>
      </c>
      <c r="B89" s="191"/>
      <c r="C89" s="191"/>
      <c r="D89" s="191"/>
      <c r="E89" s="192"/>
      <c r="F89" s="193"/>
      <c r="G89" s="193"/>
      <c r="H89" s="191"/>
      <c r="I89" s="192"/>
      <c r="J89" s="191"/>
      <c r="K89" s="192"/>
      <c r="L89" s="191"/>
      <c r="M89" s="192"/>
      <c r="N89" s="191"/>
      <c r="O89" s="192"/>
      <c r="P89" s="191"/>
      <c r="Q89" s="192"/>
      <c r="R89" s="191"/>
      <c r="S89" s="192"/>
      <c r="T89" s="191"/>
      <c r="U89" s="192"/>
      <c r="V89" s="191"/>
      <c r="W89" s="192"/>
      <c r="X89" s="191"/>
      <c r="Y89" s="192"/>
      <c r="Z89" s="191"/>
      <c r="AA89" s="192"/>
      <c r="AB89" s="191"/>
      <c r="AC89" s="192"/>
      <c r="AD89" s="191"/>
      <c r="AE89" s="194"/>
      <c r="AF89" s="195"/>
      <c r="AG89" s="175"/>
      <c r="AH89" s="649"/>
    </row>
    <row r="90" spans="1:34" s="177" customFormat="1" ht="99.6" customHeight="1" x14ac:dyDescent="0.3">
      <c r="A90" s="196" t="s">
        <v>31</v>
      </c>
      <c r="B90" s="197">
        <f>B91+B93+B92+B94</f>
        <v>3817.7949999999996</v>
      </c>
      <c r="C90" s="197">
        <f>C91+C93+C92+C94</f>
        <v>2464.9749999999999</v>
      </c>
      <c r="D90" s="197">
        <f>D91+D93+D92+D94</f>
        <v>2242.4670000000001</v>
      </c>
      <c r="E90" s="197">
        <f>E91+E93+E92+E94</f>
        <v>2242.4670000000001</v>
      </c>
      <c r="F90" s="198">
        <f>F91+F93+F94</f>
        <v>57.026215287249713</v>
      </c>
      <c r="G90" s="198">
        <f>E90/C90*100</f>
        <v>90.973214738486192</v>
      </c>
      <c r="H90" s="197">
        <f>H91+H92+H93+H94</f>
        <v>512.93100000000004</v>
      </c>
      <c r="I90" s="197">
        <f>I91+I92+I93+I94</f>
        <v>205.011</v>
      </c>
      <c r="J90" s="197">
        <f>J91+J92+J93+J94</f>
        <v>308.41800000000001</v>
      </c>
      <c r="K90" s="197">
        <f>K93</f>
        <v>264.72800000000001</v>
      </c>
      <c r="L90" s="197">
        <f>L91+L92+L93+L94</f>
        <v>245.05500000000001</v>
      </c>
      <c r="M90" s="197">
        <f>M93</f>
        <v>267.84399999999999</v>
      </c>
      <c r="N90" s="197">
        <f>N91+N92+N93+N94</f>
        <v>360.76100000000002</v>
      </c>
      <c r="O90" s="197">
        <f>O93</f>
        <v>212.29400000000001</v>
      </c>
      <c r="P90" s="197">
        <f>P93+P92</f>
        <v>431.99400000000003</v>
      </c>
      <c r="Q90" s="197">
        <f>Q93+Q92</f>
        <v>837.16200000000003</v>
      </c>
      <c r="R90" s="197">
        <f>R91+R92+R93+R94</f>
        <v>245.05500000000001</v>
      </c>
      <c r="S90" s="197">
        <f>S93+S92</f>
        <v>246.28899999999999</v>
      </c>
      <c r="T90" s="197">
        <f>T91+T92+T93+T94</f>
        <v>360.76100000000002</v>
      </c>
      <c r="U90" s="197">
        <f>U93+U92</f>
        <v>209.13900000000001</v>
      </c>
      <c r="V90" s="197">
        <f>V91+V92+V93+V94</f>
        <v>279.99799999999999</v>
      </c>
      <c r="W90" s="197">
        <f>W93</f>
        <v>209.13900000000001</v>
      </c>
      <c r="X90" s="197">
        <f>X91+X92+X93+X94</f>
        <v>245.05500000000001</v>
      </c>
      <c r="Y90" s="197"/>
      <c r="Z90" s="197">
        <f>Z91+Z92+Z93+Z94</f>
        <v>360.76100000000002</v>
      </c>
      <c r="AA90" s="197"/>
      <c r="AB90" s="197">
        <f>AB91+AB92+AB93+AB94</f>
        <v>279.99799999999999</v>
      </c>
      <c r="AC90" s="197"/>
      <c r="AD90" s="197">
        <f>AD91+AD92+AD93+AD94</f>
        <v>187.00800000000001</v>
      </c>
      <c r="AE90" s="197"/>
      <c r="AF90" s="744" t="s">
        <v>648</v>
      </c>
      <c r="AG90" s="175"/>
      <c r="AH90" s="649"/>
    </row>
    <row r="91" spans="1:34" x14ac:dyDescent="0.3">
      <c r="A91" s="199" t="s">
        <v>169</v>
      </c>
      <c r="B91" s="191">
        <f>H91+J91+L91+N91+P91+R91+T91+V91+X91+Z91+AB91+AD91</f>
        <v>0</v>
      </c>
      <c r="C91" s="191">
        <f>H91+J91</f>
        <v>0</v>
      </c>
      <c r="D91" s="191">
        <f>E91</f>
        <v>0</v>
      </c>
      <c r="E91" s="191">
        <v>0</v>
      </c>
      <c r="F91" s="193">
        <v>0</v>
      </c>
      <c r="G91" s="193">
        <v>0</v>
      </c>
      <c r="H91" s="191">
        <v>0</v>
      </c>
      <c r="I91" s="191">
        <v>0</v>
      </c>
      <c r="J91" s="191">
        <v>0</v>
      </c>
      <c r="K91" s="191">
        <v>0</v>
      </c>
      <c r="L91" s="191">
        <v>0</v>
      </c>
      <c r="M91" s="191">
        <v>0</v>
      </c>
      <c r="N91" s="191">
        <v>0</v>
      </c>
      <c r="O91" s="191">
        <v>0</v>
      </c>
      <c r="P91" s="191">
        <v>0</v>
      </c>
      <c r="Q91" s="191">
        <v>0</v>
      </c>
      <c r="R91" s="191">
        <v>0</v>
      </c>
      <c r="S91" s="191">
        <v>0</v>
      </c>
      <c r="T91" s="191">
        <v>0</v>
      </c>
      <c r="U91" s="191">
        <v>0</v>
      </c>
      <c r="V91" s="191">
        <v>0</v>
      </c>
      <c r="W91" s="191">
        <v>0</v>
      </c>
      <c r="X91" s="191"/>
      <c r="Y91" s="191"/>
      <c r="Z91" s="191"/>
      <c r="AA91" s="191"/>
      <c r="AB91" s="191"/>
      <c r="AC91" s="191"/>
      <c r="AD91" s="191"/>
      <c r="AE91" s="191"/>
      <c r="AF91" s="195"/>
      <c r="AG91" s="175"/>
      <c r="AH91" s="649"/>
    </row>
    <row r="92" spans="1:34" ht="39.6" customHeight="1" x14ac:dyDescent="0.3">
      <c r="A92" s="199" t="s">
        <v>32</v>
      </c>
      <c r="B92" s="674">
        <f>P92</f>
        <v>151.995</v>
      </c>
      <c r="C92" s="674">
        <f>P92</f>
        <v>151.995</v>
      </c>
      <c r="D92" s="750">
        <f>E92</f>
        <v>152</v>
      </c>
      <c r="E92" s="746">
        <f>Q92</f>
        <v>152</v>
      </c>
      <c r="F92" s="674">
        <v>100</v>
      </c>
      <c r="G92" s="674">
        <v>100</v>
      </c>
      <c r="H92" s="191">
        <v>0</v>
      </c>
      <c r="I92" s="191">
        <v>0</v>
      </c>
      <c r="J92" s="191">
        <v>0</v>
      </c>
      <c r="K92" s="191">
        <v>0</v>
      </c>
      <c r="L92" s="191">
        <v>0</v>
      </c>
      <c r="M92" s="191">
        <v>0</v>
      </c>
      <c r="N92" s="191">
        <v>0</v>
      </c>
      <c r="O92" s="191">
        <v>0</v>
      </c>
      <c r="P92" s="674">
        <v>151.995</v>
      </c>
      <c r="Q92" s="674">
        <v>152</v>
      </c>
      <c r="R92" s="191">
        <v>0</v>
      </c>
      <c r="S92" s="191">
        <v>0</v>
      </c>
      <c r="T92" s="191">
        <v>0</v>
      </c>
      <c r="U92" s="191">
        <v>0</v>
      </c>
      <c r="V92" s="191">
        <v>0</v>
      </c>
      <c r="W92" s="191">
        <v>0</v>
      </c>
      <c r="X92" s="191"/>
      <c r="Y92" s="191"/>
      <c r="Z92" s="191"/>
      <c r="AA92" s="191"/>
      <c r="AB92" s="191"/>
      <c r="AC92" s="191"/>
      <c r="AD92" s="191"/>
      <c r="AE92" s="191"/>
      <c r="AF92" s="195"/>
      <c r="AG92" s="175"/>
      <c r="AH92" s="649"/>
    </row>
    <row r="93" spans="1:34" s="647" customFormat="1" x14ac:dyDescent="0.3">
      <c r="A93" s="745" t="s">
        <v>33</v>
      </c>
      <c r="B93" s="674">
        <f>H93+J93+L93+N93+P93+R93+T93+V93+X93+Z93+AB93+AD93</f>
        <v>3665.7999999999997</v>
      </c>
      <c r="C93" s="674">
        <f>H93+J93+L93+N93+P93+R93+T93</f>
        <v>2312.98</v>
      </c>
      <c r="D93" s="750">
        <f>E93</f>
        <v>2090.4670000000001</v>
      </c>
      <c r="E93" s="746">
        <f>I93+K93+M93+O93+Q93+S93+U93</f>
        <v>2090.4670000000001</v>
      </c>
      <c r="F93" s="674">
        <f>E93/B93*100</f>
        <v>57.026215287249713</v>
      </c>
      <c r="G93" s="674">
        <f>E93/C93*100</f>
        <v>90.379813055019937</v>
      </c>
      <c r="H93" s="674">
        <v>512.93100000000004</v>
      </c>
      <c r="I93" s="674">
        <v>205.011</v>
      </c>
      <c r="J93" s="674">
        <v>308.41800000000001</v>
      </c>
      <c r="K93" s="674">
        <v>264.72800000000001</v>
      </c>
      <c r="L93" s="674">
        <v>245.05500000000001</v>
      </c>
      <c r="M93" s="674">
        <v>267.84399999999999</v>
      </c>
      <c r="N93" s="674">
        <v>360.76100000000002</v>
      </c>
      <c r="O93" s="674">
        <v>212.29400000000001</v>
      </c>
      <c r="P93" s="674">
        <v>279.99900000000002</v>
      </c>
      <c r="Q93" s="674">
        <v>685.16200000000003</v>
      </c>
      <c r="R93" s="674">
        <v>245.05500000000001</v>
      </c>
      <c r="S93" s="674">
        <v>246.28899999999999</v>
      </c>
      <c r="T93" s="674">
        <v>360.76100000000002</v>
      </c>
      <c r="U93" s="674">
        <v>209.13900000000001</v>
      </c>
      <c r="V93" s="674">
        <v>279.99799999999999</v>
      </c>
      <c r="W93" s="674">
        <v>209.13900000000001</v>
      </c>
      <c r="X93" s="674">
        <v>245.05500000000001</v>
      </c>
      <c r="Y93" s="674"/>
      <c r="Z93" s="674">
        <v>360.76100000000002</v>
      </c>
      <c r="AA93" s="674"/>
      <c r="AB93" s="674">
        <v>279.99799999999999</v>
      </c>
      <c r="AC93" s="674"/>
      <c r="AD93" s="674">
        <v>187.00800000000001</v>
      </c>
      <c r="AE93" s="674"/>
      <c r="AF93" s="904"/>
      <c r="AG93" s="748"/>
      <c r="AH93" s="749"/>
    </row>
    <row r="94" spans="1:34" x14ac:dyDescent="0.3">
      <c r="A94" s="199" t="s">
        <v>221</v>
      </c>
      <c r="B94" s="191">
        <f>H94+J94+L94+N94+P94+R94+T94+V94+X94+Z94+AB94+AD94</f>
        <v>0</v>
      </c>
      <c r="C94" s="191">
        <f>H94+J94</f>
        <v>0</v>
      </c>
      <c r="D94" s="191">
        <v>0</v>
      </c>
      <c r="E94" s="191">
        <v>0</v>
      </c>
      <c r="F94" s="193">
        <v>0</v>
      </c>
      <c r="G94" s="193">
        <v>0</v>
      </c>
      <c r="H94" s="191">
        <v>0</v>
      </c>
      <c r="I94" s="191">
        <v>0</v>
      </c>
      <c r="J94" s="191">
        <v>0</v>
      </c>
      <c r="K94" s="191">
        <v>0</v>
      </c>
      <c r="L94" s="191">
        <v>0</v>
      </c>
      <c r="M94" s="191">
        <v>0</v>
      </c>
      <c r="N94" s="191">
        <v>0</v>
      </c>
      <c r="O94" s="191">
        <v>0</v>
      </c>
      <c r="P94" s="191">
        <v>0</v>
      </c>
      <c r="Q94" s="191">
        <v>0</v>
      </c>
      <c r="R94" s="191">
        <v>0</v>
      </c>
      <c r="S94" s="191">
        <v>0</v>
      </c>
      <c r="T94" s="191">
        <v>0</v>
      </c>
      <c r="U94" s="191">
        <v>0</v>
      </c>
      <c r="V94" s="191"/>
      <c r="W94" s="191"/>
      <c r="X94" s="191"/>
      <c r="Y94" s="191"/>
      <c r="Z94" s="191"/>
      <c r="AA94" s="191"/>
      <c r="AB94" s="191"/>
      <c r="AC94" s="191"/>
      <c r="AD94" s="191"/>
      <c r="AE94" s="191"/>
      <c r="AF94" s="195"/>
      <c r="AG94" s="175"/>
      <c r="AH94" s="649"/>
    </row>
    <row r="95" spans="1:34" ht="35.450000000000003" customHeight="1" x14ac:dyDescent="0.3">
      <c r="A95" s="190" t="s">
        <v>248</v>
      </c>
      <c r="B95" s="191"/>
      <c r="C95" s="191"/>
      <c r="D95" s="191"/>
      <c r="E95" s="192"/>
      <c r="F95" s="193"/>
      <c r="G95" s="193"/>
      <c r="H95" s="191"/>
      <c r="I95" s="192"/>
      <c r="J95" s="191"/>
      <c r="K95" s="192"/>
      <c r="L95" s="191"/>
      <c r="M95" s="192"/>
      <c r="N95" s="191"/>
      <c r="O95" s="192"/>
      <c r="P95" s="191"/>
      <c r="Q95" s="192"/>
      <c r="R95" s="191"/>
      <c r="S95" s="192"/>
      <c r="T95" s="191"/>
      <c r="U95" s="192"/>
      <c r="V95" s="191"/>
      <c r="W95" s="192"/>
      <c r="X95" s="191"/>
      <c r="Y95" s="192"/>
      <c r="Z95" s="191"/>
      <c r="AA95" s="192"/>
      <c r="AB95" s="191"/>
      <c r="AC95" s="192"/>
      <c r="AD95" s="191"/>
      <c r="AE95" s="194"/>
      <c r="AF95" s="195"/>
      <c r="AG95" s="175"/>
      <c r="AH95" s="649"/>
    </row>
    <row r="96" spans="1:34" s="177" customFormat="1" ht="45.6" customHeight="1" x14ac:dyDescent="0.3">
      <c r="A96" s="196" t="s">
        <v>31</v>
      </c>
      <c r="B96" s="197">
        <f>B97+B98+B99+B100</f>
        <v>18227.481000000003</v>
      </c>
      <c r="C96" s="197">
        <f>C97+C98+C99+C100</f>
        <v>11331.744999999999</v>
      </c>
      <c r="D96" s="197">
        <f>D97+D98+D99+D100</f>
        <v>11182.271999999999</v>
      </c>
      <c r="E96" s="197">
        <f>E97+E98+E99+E100</f>
        <v>11182.271999999999</v>
      </c>
      <c r="F96" s="198">
        <f>F97+F99+F100</f>
        <v>60.256292802906366</v>
      </c>
      <c r="G96" s="198">
        <f>E96/C96*100</f>
        <v>98.680935725256788</v>
      </c>
      <c r="H96" s="197">
        <f>H97+H98+H99+H100</f>
        <v>2067.46</v>
      </c>
      <c r="I96" s="197">
        <f>I97+I98+I99+I100</f>
        <v>1047.556</v>
      </c>
      <c r="J96" s="197">
        <f>J97+J98+J99+J100</f>
        <v>1384.5540000000001</v>
      </c>
      <c r="K96" s="197">
        <f>K99</f>
        <v>1483.78</v>
      </c>
      <c r="L96" s="197">
        <f>L97+L98+L99+L100</f>
        <v>1148.2139999999999</v>
      </c>
      <c r="M96" s="197">
        <f>M99</f>
        <v>1305.675</v>
      </c>
      <c r="N96" s="197">
        <f>N97+N98+N99+N100</f>
        <v>1720.4749999999999</v>
      </c>
      <c r="O96" s="197">
        <f>O99</f>
        <v>1248.6420000000001</v>
      </c>
      <c r="P96" s="197">
        <f>P99+P98</f>
        <v>1925.2950000000001</v>
      </c>
      <c r="Q96" s="197">
        <f>Q99+Q98</f>
        <v>2389.3739999999998</v>
      </c>
      <c r="R96" s="197">
        <f>R97+R98+R99+R100</f>
        <v>1222.337</v>
      </c>
      <c r="S96" s="197">
        <f>S99</f>
        <v>1995.915</v>
      </c>
      <c r="T96" s="197">
        <f>T97+T98+T99+T100</f>
        <v>1863.41</v>
      </c>
      <c r="U96" s="197">
        <f>U99</f>
        <v>1711.33</v>
      </c>
      <c r="V96" s="197">
        <f>V97+V98+V99+V100</f>
        <v>1404.788</v>
      </c>
      <c r="W96" s="197"/>
      <c r="X96" s="197">
        <f>X97+X98+X99+X100</f>
        <v>1222.2370000000001</v>
      </c>
      <c r="Y96" s="197"/>
      <c r="Z96" s="197">
        <f>Z97+Z98+Z99+Z100</f>
        <v>1736.258</v>
      </c>
      <c r="AA96" s="197"/>
      <c r="AB96" s="197">
        <f>AB97+AB98+AB99+AB100</f>
        <v>1453.6780000000001</v>
      </c>
      <c r="AC96" s="197"/>
      <c r="AD96" s="197">
        <f>AD97+AD98+AD99+AD100</f>
        <v>1078.7750000000001</v>
      </c>
      <c r="AE96" s="197"/>
      <c r="AF96" s="195"/>
      <c r="AG96" s="175"/>
      <c r="AH96" s="649"/>
    </row>
    <row r="97" spans="1:35" x14ac:dyDescent="0.3">
      <c r="A97" s="199" t="s">
        <v>169</v>
      </c>
      <c r="B97" s="191">
        <f>H97+J97+L97+N97+P97+R97+T97+V97+X97+Z97+AB97+AD97</f>
        <v>0</v>
      </c>
      <c r="C97" s="191">
        <f>H97+J97</f>
        <v>0</v>
      </c>
      <c r="D97" s="191">
        <f>E97</f>
        <v>0</v>
      </c>
      <c r="E97" s="191">
        <v>0</v>
      </c>
      <c r="F97" s="193">
        <v>0</v>
      </c>
      <c r="G97" s="193">
        <v>0</v>
      </c>
      <c r="H97" s="191">
        <v>0</v>
      </c>
      <c r="I97" s="191">
        <v>0</v>
      </c>
      <c r="J97" s="191">
        <v>0</v>
      </c>
      <c r="K97" s="191">
        <v>0</v>
      </c>
      <c r="L97" s="191">
        <v>0</v>
      </c>
      <c r="M97" s="191">
        <v>0</v>
      </c>
      <c r="N97" s="191">
        <v>0</v>
      </c>
      <c r="O97" s="191">
        <v>0</v>
      </c>
      <c r="P97" s="191">
        <v>0</v>
      </c>
      <c r="Q97" s="191">
        <v>0</v>
      </c>
      <c r="R97" s="191">
        <v>0</v>
      </c>
      <c r="S97" s="191">
        <v>0</v>
      </c>
      <c r="T97" s="191">
        <v>0</v>
      </c>
      <c r="U97" s="191">
        <v>0</v>
      </c>
      <c r="V97" s="191"/>
      <c r="W97" s="191"/>
      <c r="X97" s="191"/>
      <c r="Y97" s="191"/>
      <c r="Z97" s="191"/>
      <c r="AA97" s="191"/>
      <c r="AB97" s="191"/>
      <c r="AC97" s="191"/>
      <c r="AD97" s="191"/>
      <c r="AE97" s="191"/>
      <c r="AF97" s="195"/>
      <c r="AG97" s="175"/>
      <c r="AH97" s="649"/>
    </row>
    <row r="98" spans="1:35" ht="58.9" customHeight="1" x14ac:dyDescent="0.3">
      <c r="A98" s="199" t="s">
        <v>32</v>
      </c>
      <c r="B98" s="191">
        <f>P98</f>
        <v>500.88099999999997</v>
      </c>
      <c r="C98" s="191">
        <f>P98</f>
        <v>500.88099999999997</v>
      </c>
      <c r="D98" s="191">
        <f>E98</f>
        <v>500.88</v>
      </c>
      <c r="E98" s="191">
        <f>Q98</f>
        <v>500.88</v>
      </c>
      <c r="F98" s="674">
        <v>100</v>
      </c>
      <c r="G98" s="674">
        <v>100</v>
      </c>
      <c r="H98" s="191">
        <v>0</v>
      </c>
      <c r="I98" s="191">
        <v>0</v>
      </c>
      <c r="J98" s="191">
        <v>0</v>
      </c>
      <c r="K98" s="191">
        <v>0</v>
      </c>
      <c r="L98" s="191">
        <v>0</v>
      </c>
      <c r="M98" s="191">
        <v>0</v>
      </c>
      <c r="N98" s="191">
        <v>0</v>
      </c>
      <c r="O98" s="191">
        <v>0</v>
      </c>
      <c r="P98" s="674">
        <v>500.88099999999997</v>
      </c>
      <c r="Q98" s="674">
        <v>500.88</v>
      </c>
      <c r="R98" s="191">
        <v>0</v>
      </c>
      <c r="S98" s="191">
        <v>0</v>
      </c>
      <c r="T98" s="191">
        <v>0</v>
      </c>
      <c r="U98" s="191">
        <v>0</v>
      </c>
      <c r="V98" s="191"/>
      <c r="W98" s="191"/>
      <c r="X98" s="191"/>
      <c r="Y98" s="191"/>
      <c r="Z98" s="191"/>
      <c r="AA98" s="191"/>
      <c r="AB98" s="191"/>
      <c r="AC98" s="191"/>
      <c r="AD98" s="191"/>
      <c r="AE98" s="191"/>
      <c r="AF98" s="195"/>
      <c r="AG98" s="175"/>
      <c r="AH98" s="649"/>
    </row>
    <row r="99" spans="1:35" s="647" customFormat="1" ht="45" x14ac:dyDescent="0.3">
      <c r="A99" s="745" t="s">
        <v>33</v>
      </c>
      <c r="B99" s="951">
        <f>H99+J99+L99+N99+P99+R99+T99+V99+X99+Z99+AB99+AD99</f>
        <v>17726.600000000002</v>
      </c>
      <c r="C99" s="951">
        <f>H99+J99+L99+N99+P99+R99+T99</f>
        <v>10830.864</v>
      </c>
      <c r="D99" s="191">
        <f>E99</f>
        <v>10681.392</v>
      </c>
      <c r="E99" s="951">
        <f>I99+K99+M99+O99+Q99+S99+U99</f>
        <v>10681.392</v>
      </c>
      <c r="F99" s="191">
        <f>E99/B99*100</f>
        <v>60.256292802906366</v>
      </c>
      <c r="G99" s="191">
        <f>E99/C99*100</f>
        <v>98.61994389367274</v>
      </c>
      <c r="H99" s="191">
        <v>2067.46</v>
      </c>
      <c r="I99" s="191">
        <v>1047.556</v>
      </c>
      <c r="J99" s="191">
        <v>1384.5540000000001</v>
      </c>
      <c r="K99" s="191">
        <v>1483.78</v>
      </c>
      <c r="L99" s="191">
        <v>1148.2139999999999</v>
      </c>
      <c r="M99" s="191">
        <v>1305.675</v>
      </c>
      <c r="N99" s="191">
        <v>1720.4749999999999</v>
      </c>
      <c r="O99" s="191">
        <v>1248.6420000000001</v>
      </c>
      <c r="P99" s="191">
        <v>1424.414</v>
      </c>
      <c r="Q99" s="191">
        <v>1888.4939999999999</v>
      </c>
      <c r="R99" s="191">
        <v>1222.337</v>
      </c>
      <c r="S99" s="191">
        <v>1995.915</v>
      </c>
      <c r="T99" s="191">
        <v>1863.41</v>
      </c>
      <c r="U99" s="191">
        <v>1711.33</v>
      </c>
      <c r="V99" s="191">
        <v>1404.788</v>
      </c>
      <c r="W99" s="191"/>
      <c r="X99" s="191">
        <v>1222.2370000000001</v>
      </c>
      <c r="Y99" s="191"/>
      <c r="Z99" s="191">
        <v>1736.258</v>
      </c>
      <c r="AA99" s="191"/>
      <c r="AB99" s="191">
        <v>1453.6780000000001</v>
      </c>
      <c r="AC99" s="674"/>
      <c r="AD99" s="674">
        <v>1078.7750000000001</v>
      </c>
      <c r="AE99" s="674"/>
      <c r="AF99" s="744" t="s">
        <v>649</v>
      </c>
      <c r="AG99" s="748"/>
      <c r="AH99" s="749"/>
    </row>
    <row r="100" spans="1:35" ht="58.9" customHeight="1" x14ac:dyDescent="0.3">
      <c r="A100" s="199" t="s">
        <v>221</v>
      </c>
      <c r="B100" s="191">
        <f>H100+J100+L100+N100+P100+R100+T100+V100+X100+Z100+AB100+AD100</f>
        <v>0</v>
      </c>
      <c r="C100" s="191">
        <f>H100+J100</f>
        <v>0</v>
      </c>
      <c r="D100" s="191">
        <f>E100</f>
        <v>0</v>
      </c>
      <c r="E100" s="191">
        <v>0</v>
      </c>
      <c r="F100" s="193">
        <v>0</v>
      </c>
      <c r="G100" s="193">
        <v>0</v>
      </c>
      <c r="H100" s="191">
        <v>0</v>
      </c>
      <c r="I100" s="191">
        <v>0</v>
      </c>
      <c r="J100" s="191">
        <v>0</v>
      </c>
      <c r="K100" s="191">
        <v>0</v>
      </c>
      <c r="L100" s="191">
        <v>0</v>
      </c>
      <c r="M100" s="191">
        <v>0</v>
      </c>
      <c r="N100" s="191">
        <v>0</v>
      </c>
      <c r="O100" s="191">
        <v>0</v>
      </c>
      <c r="P100" s="191">
        <v>0</v>
      </c>
      <c r="Q100" s="191">
        <v>0</v>
      </c>
      <c r="R100" s="191">
        <v>0</v>
      </c>
      <c r="S100" s="191" t="s">
        <v>463</v>
      </c>
      <c r="T100" s="191">
        <v>0</v>
      </c>
      <c r="U100" s="191">
        <v>0</v>
      </c>
      <c r="V100" s="191"/>
      <c r="W100" s="191"/>
      <c r="X100" s="191"/>
      <c r="Y100" s="191"/>
      <c r="Z100" s="191"/>
      <c r="AA100" s="191"/>
      <c r="AB100" s="191"/>
      <c r="AC100" s="191"/>
      <c r="AD100" s="191"/>
      <c r="AE100" s="191"/>
      <c r="AF100" s="195"/>
      <c r="AG100" s="175"/>
      <c r="AH100" s="649"/>
    </row>
    <row r="101" spans="1:35" s="177" customFormat="1" x14ac:dyDescent="0.3">
      <c r="A101" s="148" t="s">
        <v>233</v>
      </c>
      <c r="B101" s="206">
        <f>B102+B103+B104+B105</f>
        <v>54714.983</v>
      </c>
      <c r="C101" s="206">
        <f>C102+C103+C104+C105</f>
        <v>34093.708249999996</v>
      </c>
      <c r="D101" s="206">
        <f>D104+D103</f>
        <v>29715.257999999998</v>
      </c>
      <c r="E101" s="206">
        <f>E102+E103+E104+E105</f>
        <v>29715.257999999998</v>
      </c>
      <c r="F101" s="206">
        <f>F104</f>
        <v>14.42</v>
      </c>
      <c r="G101" s="206">
        <f>G104</f>
        <v>74.66</v>
      </c>
      <c r="H101" s="206">
        <f>H102+H103+H104+H105</f>
        <v>10203.874809999999</v>
      </c>
      <c r="I101" s="206">
        <f>I104</f>
        <v>7618.1379999999999</v>
      </c>
      <c r="J101" s="206">
        <f>J102+J103+J104+J105</f>
        <v>3753.0886200000004</v>
      </c>
      <c r="K101" s="206">
        <f>K104</f>
        <v>3564.5309999999999</v>
      </c>
      <c r="L101" s="206">
        <f>L102+L103+L104+L105</f>
        <v>3362.1325400000001</v>
      </c>
      <c r="M101" s="206">
        <f>M104</f>
        <v>3334.3150000000001</v>
      </c>
      <c r="N101" s="206">
        <f>N102+N103+N104+N105</f>
        <v>4196.9009999999998</v>
      </c>
      <c r="O101" s="206">
        <f>O102+O103+O104+O105</f>
        <v>3334</v>
      </c>
      <c r="P101" s="206">
        <f>P102+P103+P104+P105</f>
        <v>4311.6192799999999</v>
      </c>
      <c r="Q101" s="206">
        <f>Q104</f>
        <v>4735.5140000000001</v>
      </c>
      <c r="R101" s="206">
        <f>R102+R103+R104+R105</f>
        <v>3604.2290000000003</v>
      </c>
      <c r="S101" s="206">
        <f>S102+S103+S104+S105</f>
        <v>4290.9949999999999</v>
      </c>
      <c r="T101" s="206">
        <f>T102+T103+T104+T105</f>
        <v>4661.8630000000003</v>
      </c>
      <c r="U101" s="206"/>
      <c r="V101" s="206">
        <f>V102+V103+V104+V105</f>
        <v>3686.748</v>
      </c>
      <c r="W101" s="206"/>
      <c r="X101" s="206">
        <f>X102+X103+X104+X105</f>
        <v>4981.9440000000004</v>
      </c>
      <c r="Y101" s="206"/>
      <c r="Z101" s="206">
        <f>Z102+Z103+Z104+Z105</f>
        <v>4283.5150000000003</v>
      </c>
      <c r="AA101" s="206"/>
      <c r="AB101" s="206">
        <f>AB102+AB103+AB104+AB105</f>
        <v>4526.9050000000007</v>
      </c>
      <c r="AC101" s="206"/>
      <c r="AD101" s="206">
        <f>AD102+AD103+AD104+AD105</f>
        <v>3142.1627500000004</v>
      </c>
      <c r="AE101" s="206"/>
      <c r="AF101" s="207"/>
      <c r="AG101" s="175"/>
      <c r="AH101" s="649"/>
    </row>
    <row r="102" spans="1:35" s="177" customFormat="1" ht="34.15" customHeight="1" x14ac:dyDescent="0.3">
      <c r="A102" s="150" t="s">
        <v>169</v>
      </c>
      <c r="B102" s="208">
        <f t="shared" ref="B102:AE102" si="27">B13+B45+B51+B59+B79</f>
        <v>0</v>
      </c>
      <c r="C102" s="208">
        <f t="shared" si="27"/>
        <v>0</v>
      </c>
      <c r="D102" s="208">
        <f t="shared" si="27"/>
        <v>0</v>
      </c>
      <c r="E102" s="208">
        <f t="shared" si="27"/>
        <v>0</v>
      </c>
      <c r="F102" s="208">
        <f t="shared" si="27"/>
        <v>0</v>
      </c>
      <c r="G102" s="208">
        <f t="shared" si="27"/>
        <v>0</v>
      </c>
      <c r="H102" s="208">
        <f t="shared" si="27"/>
        <v>0</v>
      </c>
      <c r="I102" s="208">
        <f t="shared" si="27"/>
        <v>0</v>
      </c>
      <c r="J102" s="208">
        <f t="shared" si="27"/>
        <v>0</v>
      </c>
      <c r="K102" s="208">
        <f t="shared" si="27"/>
        <v>0</v>
      </c>
      <c r="L102" s="208">
        <f t="shared" si="27"/>
        <v>0</v>
      </c>
      <c r="M102" s="208">
        <f t="shared" si="27"/>
        <v>0</v>
      </c>
      <c r="N102" s="208">
        <f t="shared" si="27"/>
        <v>0</v>
      </c>
      <c r="O102" s="208">
        <f t="shared" si="27"/>
        <v>0</v>
      </c>
      <c r="P102" s="208">
        <f t="shared" si="27"/>
        <v>0</v>
      </c>
      <c r="Q102" s="208">
        <f t="shared" si="27"/>
        <v>0</v>
      </c>
      <c r="R102" s="208">
        <f t="shared" si="27"/>
        <v>0</v>
      </c>
      <c r="S102" s="208">
        <f t="shared" si="27"/>
        <v>0</v>
      </c>
      <c r="T102" s="208">
        <f t="shared" si="27"/>
        <v>0</v>
      </c>
      <c r="U102" s="208">
        <f t="shared" si="27"/>
        <v>0</v>
      </c>
      <c r="V102" s="208">
        <f t="shared" si="27"/>
        <v>0</v>
      </c>
      <c r="W102" s="208">
        <f t="shared" si="27"/>
        <v>0</v>
      </c>
      <c r="X102" s="208">
        <f t="shared" si="27"/>
        <v>0</v>
      </c>
      <c r="Y102" s="208">
        <f t="shared" si="27"/>
        <v>0</v>
      </c>
      <c r="Z102" s="208">
        <f t="shared" si="27"/>
        <v>0</v>
      </c>
      <c r="AA102" s="208">
        <f t="shared" si="27"/>
        <v>0</v>
      </c>
      <c r="AB102" s="208">
        <f t="shared" si="27"/>
        <v>0</v>
      </c>
      <c r="AC102" s="208">
        <f t="shared" si="27"/>
        <v>0</v>
      </c>
      <c r="AD102" s="208">
        <f t="shared" si="27"/>
        <v>0</v>
      </c>
      <c r="AE102" s="208">
        <f t="shared" si="27"/>
        <v>0</v>
      </c>
      <c r="AF102" s="209"/>
      <c r="AG102" s="175"/>
      <c r="AH102" s="649"/>
    </row>
    <row r="103" spans="1:35" s="177" customFormat="1" ht="63.6" customHeight="1" x14ac:dyDescent="0.3">
      <c r="A103" s="150" t="s">
        <v>32</v>
      </c>
      <c r="B103" s="208">
        <f>B86+B92+B98</f>
        <v>728.87599999999998</v>
      </c>
      <c r="C103" s="208">
        <f>C14+C46+C52+C60+C80</f>
        <v>728.87599999999998</v>
      </c>
      <c r="D103" s="208">
        <f>D14+D46+D52+D60+D80</f>
        <v>728.88</v>
      </c>
      <c r="E103" s="208">
        <f>E14+E46+E52+E60+E80</f>
        <v>728.88</v>
      </c>
      <c r="F103" s="208">
        <f t="shared" ref="F103:F110" si="28">IFERROR(E103/B103*100,0)</f>
        <v>100.00054879019203</v>
      </c>
      <c r="G103" s="208">
        <f>IFERROR(E103/C103*100,0)</f>
        <v>100.00054879019203</v>
      </c>
      <c r="H103" s="208">
        <f t="shared" ref="H103:AE103" si="29">H14+H46+H52+H60+H80</f>
        <v>0</v>
      </c>
      <c r="I103" s="208">
        <f t="shared" si="29"/>
        <v>0</v>
      </c>
      <c r="J103" s="208">
        <f t="shared" si="29"/>
        <v>0</v>
      </c>
      <c r="K103" s="208">
        <f t="shared" si="29"/>
        <v>0</v>
      </c>
      <c r="L103" s="208">
        <f t="shared" si="29"/>
        <v>0</v>
      </c>
      <c r="M103" s="208">
        <f t="shared" si="29"/>
        <v>0</v>
      </c>
      <c r="N103" s="208">
        <f t="shared" si="29"/>
        <v>0</v>
      </c>
      <c r="O103" s="208">
        <f t="shared" si="29"/>
        <v>0</v>
      </c>
      <c r="P103" s="208">
        <f t="shared" si="29"/>
        <v>728.87599999999998</v>
      </c>
      <c r="Q103" s="208">
        <f t="shared" si="29"/>
        <v>728.88</v>
      </c>
      <c r="R103" s="208">
        <f t="shared" si="29"/>
        <v>0</v>
      </c>
      <c r="S103" s="208">
        <f t="shared" si="29"/>
        <v>0</v>
      </c>
      <c r="T103" s="208">
        <f t="shared" si="29"/>
        <v>0</v>
      </c>
      <c r="U103" s="208">
        <f t="shared" si="29"/>
        <v>0</v>
      </c>
      <c r="V103" s="208">
        <f t="shared" si="29"/>
        <v>0</v>
      </c>
      <c r="W103" s="208">
        <f t="shared" si="29"/>
        <v>0</v>
      </c>
      <c r="X103" s="208">
        <f t="shared" si="29"/>
        <v>0</v>
      </c>
      <c r="Y103" s="208">
        <f t="shared" si="29"/>
        <v>0</v>
      </c>
      <c r="Z103" s="208">
        <f t="shared" si="29"/>
        <v>0</v>
      </c>
      <c r="AA103" s="208">
        <f t="shared" si="29"/>
        <v>0</v>
      </c>
      <c r="AB103" s="208">
        <f t="shared" si="29"/>
        <v>0</v>
      </c>
      <c r="AC103" s="208">
        <f t="shared" si="29"/>
        <v>0</v>
      </c>
      <c r="AD103" s="208">
        <f t="shared" si="29"/>
        <v>0</v>
      </c>
      <c r="AE103" s="208">
        <f t="shared" si="29"/>
        <v>0</v>
      </c>
      <c r="AF103" s="210"/>
      <c r="AG103" s="175"/>
      <c r="AH103" s="649"/>
    </row>
    <row r="104" spans="1:35" s="177" customFormat="1" x14ac:dyDescent="0.3">
      <c r="A104" s="150" t="s">
        <v>33</v>
      </c>
      <c r="B104" s="208">
        <f>B15+B47+B61+B81</f>
        <v>53986.107000000004</v>
      </c>
      <c r="C104" s="208">
        <f>C15+C47+C53+C61+C81</f>
        <v>33364.832249999999</v>
      </c>
      <c r="D104" s="208">
        <f>D15+D47+D61+D81</f>
        <v>28986.377999999997</v>
      </c>
      <c r="E104" s="208">
        <f>E15+E47+E53+E61+E81</f>
        <v>28986.377999999997</v>
      </c>
      <c r="F104" s="208">
        <f>F106</f>
        <v>14.42</v>
      </c>
      <c r="G104" s="208">
        <f>G106</f>
        <v>74.66</v>
      </c>
      <c r="H104" s="208">
        <f>H105+H106+H107+H108</f>
        <v>10203.874809999999</v>
      </c>
      <c r="I104" s="208">
        <f>I15+I47+I61+I81</f>
        <v>7618.1379999999999</v>
      </c>
      <c r="J104" s="208">
        <f t="shared" ref="J104:AE104" si="30">J15+J47+J53+J61+J81</f>
        <v>3753.0886200000004</v>
      </c>
      <c r="K104" s="208">
        <f t="shared" si="30"/>
        <v>3564.5309999999999</v>
      </c>
      <c r="L104" s="208">
        <f t="shared" si="30"/>
        <v>3362.1325400000001</v>
      </c>
      <c r="M104" s="208">
        <f t="shared" si="30"/>
        <v>3334.3150000000001</v>
      </c>
      <c r="N104" s="208">
        <f t="shared" si="30"/>
        <v>4196.9009999999998</v>
      </c>
      <c r="O104" s="208">
        <f t="shared" si="30"/>
        <v>3334</v>
      </c>
      <c r="P104" s="208">
        <f t="shared" si="30"/>
        <v>3582.7432799999997</v>
      </c>
      <c r="Q104" s="208">
        <f t="shared" si="30"/>
        <v>4735.5140000000001</v>
      </c>
      <c r="R104" s="208">
        <f t="shared" si="30"/>
        <v>3604.2290000000003</v>
      </c>
      <c r="S104" s="208">
        <f t="shared" si="30"/>
        <v>4290.9949999999999</v>
      </c>
      <c r="T104" s="208">
        <f t="shared" si="30"/>
        <v>4661.8630000000003</v>
      </c>
      <c r="U104" s="208">
        <f t="shared" si="30"/>
        <v>3724.8449999999998</v>
      </c>
      <c r="V104" s="208">
        <f t="shared" si="30"/>
        <v>3686.748</v>
      </c>
      <c r="W104" s="208">
        <f t="shared" si="30"/>
        <v>209.13900000000001</v>
      </c>
      <c r="X104" s="208">
        <f t="shared" si="30"/>
        <v>4981.9440000000004</v>
      </c>
      <c r="Y104" s="208">
        <f t="shared" si="30"/>
        <v>0</v>
      </c>
      <c r="Z104" s="208">
        <f t="shared" si="30"/>
        <v>4283.5150000000003</v>
      </c>
      <c r="AA104" s="208">
        <f t="shared" si="30"/>
        <v>0</v>
      </c>
      <c r="AB104" s="208">
        <f t="shared" si="30"/>
        <v>4526.9050000000007</v>
      </c>
      <c r="AC104" s="208">
        <f t="shared" si="30"/>
        <v>0</v>
      </c>
      <c r="AD104" s="208">
        <f t="shared" si="30"/>
        <v>3142.1627500000004</v>
      </c>
      <c r="AE104" s="208">
        <f t="shared" si="30"/>
        <v>0</v>
      </c>
      <c r="AF104" s="210"/>
      <c r="AG104" s="175"/>
      <c r="AH104" s="649"/>
    </row>
    <row r="105" spans="1:35" s="177" customFormat="1" x14ac:dyDescent="0.3">
      <c r="A105" s="152" t="s">
        <v>221</v>
      </c>
      <c r="B105" s="208">
        <f>B16+B48+B54+B62+B82</f>
        <v>0</v>
      </c>
      <c r="C105" s="208">
        <f>C16+C48+C54+C62+C82</f>
        <v>0</v>
      </c>
      <c r="D105" s="208">
        <f>D16+D48+D54+D62+D82</f>
        <v>0</v>
      </c>
      <c r="E105" s="208">
        <f>E16+E48+E54+E62+E82</f>
        <v>0</v>
      </c>
      <c r="F105" s="208">
        <f t="shared" si="28"/>
        <v>0</v>
      </c>
      <c r="G105" s="208">
        <f>IFERROR(E105/C105*100,0)</f>
        <v>0</v>
      </c>
      <c r="H105" s="208">
        <f>H16+H48+H54+H62+H82</f>
        <v>0</v>
      </c>
      <c r="I105" s="208">
        <f>I16+I48+I54+I62+I82</f>
        <v>0</v>
      </c>
      <c r="J105" s="208">
        <f t="shared" ref="J105:AE105" si="31">J16+J48+J54+J62+J82</f>
        <v>0</v>
      </c>
      <c r="K105" s="208">
        <f t="shared" si="31"/>
        <v>0</v>
      </c>
      <c r="L105" s="208">
        <f t="shared" si="31"/>
        <v>0</v>
      </c>
      <c r="M105" s="208">
        <f t="shared" si="31"/>
        <v>0</v>
      </c>
      <c r="N105" s="208">
        <f t="shared" si="31"/>
        <v>0</v>
      </c>
      <c r="O105" s="208">
        <f t="shared" si="31"/>
        <v>0</v>
      </c>
      <c r="P105" s="208">
        <f t="shared" si="31"/>
        <v>0</v>
      </c>
      <c r="Q105" s="208">
        <f t="shared" si="31"/>
        <v>0</v>
      </c>
      <c r="R105" s="208">
        <f t="shared" si="31"/>
        <v>0</v>
      </c>
      <c r="S105" s="208">
        <f t="shared" si="31"/>
        <v>0</v>
      </c>
      <c r="T105" s="208">
        <f t="shared" si="31"/>
        <v>0</v>
      </c>
      <c r="U105" s="208">
        <f t="shared" si="31"/>
        <v>0</v>
      </c>
      <c r="V105" s="208">
        <f t="shared" si="31"/>
        <v>0</v>
      </c>
      <c r="W105" s="208">
        <f t="shared" si="31"/>
        <v>0</v>
      </c>
      <c r="X105" s="208">
        <f t="shared" si="31"/>
        <v>0</v>
      </c>
      <c r="Y105" s="208">
        <f t="shared" si="31"/>
        <v>0</v>
      </c>
      <c r="Z105" s="208">
        <f t="shared" si="31"/>
        <v>0</v>
      </c>
      <c r="AA105" s="208">
        <f t="shared" si="31"/>
        <v>0</v>
      </c>
      <c r="AB105" s="208">
        <f t="shared" si="31"/>
        <v>0</v>
      </c>
      <c r="AC105" s="208">
        <f t="shared" si="31"/>
        <v>0</v>
      </c>
      <c r="AD105" s="208">
        <f t="shared" si="31"/>
        <v>0</v>
      </c>
      <c r="AE105" s="208">
        <f t="shared" si="31"/>
        <v>0</v>
      </c>
      <c r="AF105" s="210"/>
      <c r="AG105" s="175"/>
      <c r="AH105" s="649"/>
    </row>
    <row r="106" spans="1:35" s="177" customFormat="1" ht="45" customHeight="1" x14ac:dyDescent="0.3">
      <c r="A106" s="148" t="s">
        <v>64</v>
      </c>
      <c r="B106" s="206">
        <f>B107+B108+B109+B110</f>
        <v>54714.983</v>
      </c>
      <c r="C106" s="206">
        <f>C104+C103</f>
        <v>34093.708249999996</v>
      </c>
      <c r="D106" s="206">
        <f>D109+D103</f>
        <v>29715.257999999998</v>
      </c>
      <c r="E106" s="206">
        <f>E107+E108+E109+E110</f>
        <v>29715.257999999998</v>
      </c>
      <c r="F106" s="206">
        <v>14.42</v>
      </c>
      <c r="G106" s="206">
        <f>G109</f>
        <v>74.66</v>
      </c>
      <c r="H106" s="206">
        <f>H107+H108+H109+H110</f>
        <v>10203.874809999999</v>
      </c>
      <c r="I106" s="206">
        <f>I109</f>
        <v>7618.1379999999999</v>
      </c>
      <c r="J106" s="206">
        <f>J107+J108+J109+J110</f>
        <v>3753.0886200000004</v>
      </c>
      <c r="K106" s="206">
        <f>K109</f>
        <v>3564.5309999999999</v>
      </c>
      <c r="L106" s="206">
        <f>L107+L108+L109+L110</f>
        <v>3362.1325400000001</v>
      </c>
      <c r="M106" s="206">
        <f>M109</f>
        <v>3334.3150000000001</v>
      </c>
      <c r="N106" s="206">
        <f>N107+N108+N109+N110</f>
        <v>4196.9009999999998</v>
      </c>
      <c r="O106" s="206">
        <f>O109</f>
        <v>3334</v>
      </c>
      <c r="P106" s="206">
        <f>P107+P108+P109+P110</f>
        <v>4311.6192799999999</v>
      </c>
      <c r="Q106" s="206">
        <f>Q109</f>
        <v>4735.5140000000001</v>
      </c>
      <c r="R106" s="206">
        <f>R107+R108+R109+R110</f>
        <v>3604.2290000000003</v>
      </c>
      <c r="S106" s="206">
        <f>S109</f>
        <v>4290.9949999999999</v>
      </c>
      <c r="T106" s="206">
        <f>T107+T108+T109+T110</f>
        <v>4661.8630000000003</v>
      </c>
      <c r="U106" s="206">
        <f>U109</f>
        <v>3724.8449999999998</v>
      </c>
      <c r="V106" s="206">
        <f>V107+V108+V109+V110</f>
        <v>3686.748</v>
      </c>
      <c r="W106" s="206"/>
      <c r="X106" s="206">
        <f>X107+X108+X109+X110</f>
        <v>4981.9440000000004</v>
      </c>
      <c r="Y106" s="206"/>
      <c r="Z106" s="206">
        <f>Z107+Z108+Z109+Z110</f>
        <v>4283.5150000000003</v>
      </c>
      <c r="AA106" s="206"/>
      <c r="AB106" s="206">
        <f>AB107+AB108+AB109+AB110</f>
        <v>4526.9050000000007</v>
      </c>
      <c r="AC106" s="206"/>
      <c r="AD106" s="206">
        <f>AD107+AD108+AD109+AD110</f>
        <v>3142.1627500000004</v>
      </c>
      <c r="AE106" s="206"/>
      <c r="AF106" s="207"/>
      <c r="AG106" s="175"/>
      <c r="AH106" s="649"/>
    </row>
    <row r="107" spans="1:35" s="177" customFormat="1" ht="56.45" customHeight="1" x14ac:dyDescent="0.3">
      <c r="A107" s="150" t="s">
        <v>169</v>
      </c>
      <c r="B107" s="208">
        <f t="shared" ref="B107:E108" si="32">B13+B45+B51+B59+B79</f>
        <v>0</v>
      </c>
      <c r="C107" s="208">
        <f t="shared" si="32"/>
        <v>0</v>
      </c>
      <c r="D107" s="208">
        <f t="shared" si="32"/>
        <v>0</v>
      </c>
      <c r="E107" s="208">
        <f t="shared" si="32"/>
        <v>0</v>
      </c>
      <c r="F107" s="208">
        <f t="shared" si="28"/>
        <v>0</v>
      </c>
      <c r="G107" s="208" t="s">
        <v>463</v>
      </c>
      <c r="H107" s="208">
        <f t="shared" ref="H107:AE107" si="33">H13+H45+H51+H59+H79</f>
        <v>0</v>
      </c>
      <c r="I107" s="208">
        <f t="shared" si="33"/>
        <v>0</v>
      </c>
      <c r="J107" s="208">
        <f t="shared" si="33"/>
        <v>0</v>
      </c>
      <c r="K107" s="208">
        <f t="shared" si="33"/>
        <v>0</v>
      </c>
      <c r="L107" s="208">
        <f t="shared" si="33"/>
        <v>0</v>
      </c>
      <c r="M107" s="208">
        <f t="shared" si="33"/>
        <v>0</v>
      </c>
      <c r="N107" s="208">
        <f t="shared" si="33"/>
        <v>0</v>
      </c>
      <c r="O107" s="208">
        <f t="shared" si="33"/>
        <v>0</v>
      </c>
      <c r="P107" s="208">
        <f t="shared" si="33"/>
        <v>0</v>
      </c>
      <c r="Q107" s="208">
        <f t="shared" si="33"/>
        <v>0</v>
      </c>
      <c r="R107" s="208">
        <f t="shared" si="33"/>
        <v>0</v>
      </c>
      <c r="S107" s="208">
        <f t="shared" si="33"/>
        <v>0</v>
      </c>
      <c r="T107" s="208">
        <f t="shared" si="33"/>
        <v>0</v>
      </c>
      <c r="U107" s="208">
        <f t="shared" si="33"/>
        <v>0</v>
      </c>
      <c r="V107" s="208">
        <f t="shared" si="33"/>
        <v>0</v>
      </c>
      <c r="W107" s="208">
        <f t="shared" si="33"/>
        <v>0</v>
      </c>
      <c r="X107" s="208">
        <f t="shared" si="33"/>
        <v>0</v>
      </c>
      <c r="Y107" s="208">
        <f t="shared" si="33"/>
        <v>0</v>
      </c>
      <c r="Z107" s="208">
        <f t="shared" si="33"/>
        <v>0</v>
      </c>
      <c r="AA107" s="208">
        <f t="shared" si="33"/>
        <v>0</v>
      </c>
      <c r="AB107" s="208">
        <f t="shared" si="33"/>
        <v>0</v>
      </c>
      <c r="AC107" s="208">
        <f t="shared" si="33"/>
        <v>0</v>
      </c>
      <c r="AD107" s="208">
        <f t="shared" si="33"/>
        <v>0</v>
      </c>
      <c r="AE107" s="208">
        <f t="shared" si="33"/>
        <v>0</v>
      </c>
      <c r="AF107" s="209"/>
      <c r="AG107" s="175"/>
      <c r="AH107" s="649"/>
    </row>
    <row r="108" spans="1:35" s="177" customFormat="1" ht="61.15" customHeight="1" x14ac:dyDescent="0.3">
      <c r="A108" s="150" t="s">
        <v>32</v>
      </c>
      <c r="B108" s="208">
        <f t="shared" si="32"/>
        <v>728.87599999999998</v>
      </c>
      <c r="C108" s="208">
        <f t="shared" si="32"/>
        <v>728.87599999999998</v>
      </c>
      <c r="D108" s="208">
        <f t="shared" si="32"/>
        <v>728.88</v>
      </c>
      <c r="E108" s="208">
        <f t="shared" si="32"/>
        <v>728.88</v>
      </c>
      <c r="F108" s="208">
        <f t="shared" si="28"/>
        <v>100.00054879019203</v>
      </c>
      <c r="G108" s="208">
        <f>IFERROR(E108/C108*100,0)</f>
        <v>100.00054879019203</v>
      </c>
      <c r="H108" s="208">
        <f t="shared" ref="H108:AE108" si="34">H14+H46+H52+H60+H80</f>
        <v>0</v>
      </c>
      <c r="I108" s="208">
        <f t="shared" si="34"/>
        <v>0</v>
      </c>
      <c r="J108" s="208">
        <f t="shared" si="34"/>
        <v>0</v>
      </c>
      <c r="K108" s="208">
        <f t="shared" si="34"/>
        <v>0</v>
      </c>
      <c r="L108" s="208">
        <f t="shared" si="34"/>
        <v>0</v>
      </c>
      <c r="M108" s="208">
        <f t="shared" si="34"/>
        <v>0</v>
      </c>
      <c r="N108" s="208">
        <f t="shared" si="34"/>
        <v>0</v>
      </c>
      <c r="O108" s="208">
        <f t="shared" si="34"/>
        <v>0</v>
      </c>
      <c r="P108" s="208">
        <f t="shared" si="34"/>
        <v>728.87599999999998</v>
      </c>
      <c r="Q108" s="208">
        <f t="shared" si="34"/>
        <v>728.88</v>
      </c>
      <c r="R108" s="208">
        <f t="shared" si="34"/>
        <v>0</v>
      </c>
      <c r="S108" s="208">
        <f t="shared" si="34"/>
        <v>0</v>
      </c>
      <c r="T108" s="208">
        <f t="shared" si="34"/>
        <v>0</v>
      </c>
      <c r="U108" s="208">
        <f t="shared" si="34"/>
        <v>0</v>
      </c>
      <c r="V108" s="208">
        <f t="shared" si="34"/>
        <v>0</v>
      </c>
      <c r="W108" s="208">
        <f t="shared" si="34"/>
        <v>0</v>
      </c>
      <c r="X108" s="208">
        <f t="shared" si="34"/>
        <v>0</v>
      </c>
      <c r="Y108" s="208">
        <f t="shared" si="34"/>
        <v>0</v>
      </c>
      <c r="Z108" s="208">
        <f t="shared" si="34"/>
        <v>0</v>
      </c>
      <c r="AA108" s="208">
        <f t="shared" si="34"/>
        <v>0</v>
      </c>
      <c r="AB108" s="208">
        <f t="shared" si="34"/>
        <v>0</v>
      </c>
      <c r="AC108" s="208">
        <f t="shared" si="34"/>
        <v>0</v>
      </c>
      <c r="AD108" s="208">
        <f t="shared" si="34"/>
        <v>0</v>
      </c>
      <c r="AE108" s="208">
        <f t="shared" si="34"/>
        <v>0</v>
      </c>
      <c r="AF108" s="210"/>
      <c r="AG108" s="175"/>
      <c r="AH108" s="649"/>
    </row>
    <row r="109" spans="1:35" s="177" customFormat="1" ht="46.9" customHeight="1" x14ac:dyDescent="0.3">
      <c r="A109" s="150" t="s">
        <v>33</v>
      </c>
      <c r="B109" s="208">
        <f>B15+B47+B53+B61+B81</f>
        <v>53986.107000000004</v>
      </c>
      <c r="C109" s="208">
        <f>C106</f>
        <v>34093.708249999996</v>
      </c>
      <c r="D109" s="208">
        <f>D15+D47+D53+D61+D81</f>
        <v>28986.377999999997</v>
      </c>
      <c r="E109" s="208">
        <f>E15+E47+E53+E61+E81</f>
        <v>28986.377999999997</v>
      </c>
      <c r="F109" s="208">
        <v>14.42</v>
      </c>
      <c r="G109" s="208">
        <v>74.66</v>
      </c>
      <c r="H109" s="208">
        <f t="shared" ref="H109:AE109" si="35">H15+H47+H53+H61+H81</f>
        <v>10203.874809999999</v>
      </c>
      <c r="I109" s="208">
        <f t="shared" si="35"/>
        <v>7618.1379999999999</v>
      </c>
      <c r="J109" s="208">
        <f t="shared" si="35"/>
        <v>3753.0886200000004</v>
      </c>
      <c r="K109" s="208">
        <f t="shared" si="35"/>
        <v>3564.5309999999999</v>
      </c>
      <c r="L109" s="208">
        <f t="shared" si="35"/>
        <v>3362.1325400000001</v>
      </c>
      <c r="M109" s="208">
        <f t="shared" si="35"/>
        <v>3334.3150000000001</v>
      </c>
      <c r="N109" s="208">
        <f t="shared" si="35"/>
        <v>4196.9009999999998</v>
      </c>
      <c r="O109" s="208">
        <f t="shared" si="35"/>
        <v>3334</v>
      </c>
      <c r="P109" s="208">
        <f t="shared" si="35"/>
        <v>3582.7432799999997</v>
      </c>
      <c r="Q109" s="208">
        <f t="shared" si="35"/>
        <v>4735.5140000000001</v>
      </c>
      <c r="R109" s="208">
        <f t="shared" si="35"/>
        <v>3604.2290000000003</v>
      </c>
      <c r="S109" s="208">
        <f t="shared" si="35"/>
        <v>4290.9949999999999</v>
      </c>
      <c r="T109" s="208">
        <f t="shared" si="35"/>
        <v>4661.8630000000003</v>
      </c>
      <c r="U109" s="208">
        <f t="shared" si="35"/>
        <v>3724.8449999999998</v>
      </c>
      <c r="V109" s="208">
        <f t="shared" si="35"/>
        <v>3686.748</v>
      </c>
      <c r="W109" s="208">
        <f t="shared" si="35"/>
        <v>209.13900000000001</v>
      </c>
      <c r="X109" s="208">
        <f t="shared" si="35"/>
        <v>4981.9440000000004</v>
      </c>
      <c r="Y109" s="208">
        <f t="shared" si="35"/>
        <v>0</v>
      </c>
      <c r="Z109" s="208">
        <f t="shared" si="35"/>
        <v>4283.5150000000003</v>
      </c>
      <c r="AA109" s="208">
        <f t="shared" si="35"/>
        <v>0</v>
      </c>
      <c r="AB109" s="208">
        <f t="shared" si="35"/>
        <v>4526.9050000000007</v>
      </c>
      <c r="AC109" s="208">
        <f t="shared" si="35"/>
        <v>0</v>
      </c>
      <c r="AD109" s="208">
        <f t="shared" si="35"/>
        <v>3142.1627500000004</v>
      </c>
      <c r="AE109" s="208">
        <f t="shared" si="35"/>
        <v>0</v>
      </c>
      <c r="AF109" s="209"/>
      <c r="AG109" s="175"/>
      <c r="AH109" s="649"/>
    </row>
    <row r="110" spans="1:35" s="177" customFormat="1" x14ac:dyDescent="0.3">
      <c r="A110" s="152" t="s">
        <v>221</v>
      </c>
      <c r="B110" s="208">
        <f>B16+B48+B54+B62+B82</f>
        <v>0</v>
      </c>
      <c r="C110" s="208">
        <f>C16+C48+C54+C62+C82</f>
        <v>0</v>
      </c>
      <c r="D110" s="208">
        <f>D16+D48+D54+D62+D82</f>
        <v>0</v>
      </c>
      <c r="E110" s="208">
        <f>E16+E48+E54+E62+E82</f>
        <v>0</v>
      </c>
      <c r="F110" s="208">
        <f t="shared" si="28"/>
        <v>0</v>
      </c>
      <c r="G110" s="208">
        <f>IFERROR(E110/C110*100,0)</f>
        <v>0</v>
      </c>
      <c r="H110" s="208">
        <f t="shared" ref="H110:AE110" si="36">H16+H48+H54+H62+H82</f>
        <v>0</v>
      </c>
      <c r="I110" s="208">
        <f t="shared" si="36"/>
        <v>0</v>
      </c>
      <c r="J110" s="208">
        <f t="shared" si="36"/>
        <v>0</v>
      </c>
      <c r="K110" s="208">
        <f t="shared" si="36"/>
        <v>0</v>
      </c>
      <c r="L110" s="208">
        <f t="shared" si="36"/>
        <v>0</v>
      </c>
      <c r="M110" s="208">
        <f t="shared" si="36"/>
        <v>0</v>
      </c>
      <c r="N110" s="208">
        <f t="shared" si="36"/>
        <v>0</v>
      </c>
      <c r="O110" s="208">
        <f t="shared" si="36"/>
        <v>0</v>
      </c>
      <c r="P110" s="208">
        <f t="shared" si="36"/>
        <v>0</v>
      </c>
      <c r="Q110" s="208">
        <f t="shared" si="36"/>
        <v>0</v>
      </c>
      <c r="R110" s="208">
        <f t="shared" si="36"/>
        <v>0</v>
      </c>
      <c r="S110" s="208">
        <f t="shared" si="36"/>
        <v>0</v>
      </c>
      <c r="T110" s="208">
        <f t="shared" si="36"/>
        <v>0</v>
      </c>
      <c r="U110" s="208">
        <f t="shared" si="36"/>
        <v>0</v>
      </c>
      <c r="V110" s="208">
        <f t="shared" si="36"/>
        <v>0</v>
      </c>
      <c r="W110" s="208">
        <f t="shared" si="36"/>
        <v>0</v>
      </c>
      <c r="X110" s="208">
        <f t="shared" si="36"/>
        <v>0</v>
      </c>
      <c r="Y110" s="208">
        <f t="shared" si="36"/>
        <v>0</v>
      </c>
      <c r="Z110" s="208">
        <f t="shared" si="36"/>
        <v>0</v>
      </c>
      <c r="AA110" s="208">
        <f t="shared" si="36"/>
        <v>0</v>
      </c>
      <c r="AB110" s="208">
        <f t="shared" si="36"/>
        <v>0</v>
      </c>
      <c r="AC110" s="208">
        <f t="shared" si="36"/>
        <v>0</v>
      </c>
      <c r="AD110" s="208">
        <f t="shared" si="36"/>
        <v>0</v>
      </c>
      <c r="AE110" s="208">
        <f t="shared" si="36"/>
        <v>0</v>
      </c>
      <c r="AF110" s="210"/>
      <c r="AG110" s="175"/>
      <c r="AH110" s="649"/>
    </row>
    <row r="111" spans="1:35" s="159" customFormat="1" x14ac:dyDescent="0.3">
      <c r="B111" s="175"/>
      <c r="C111" s="748"/>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G111" s="175"/>
      <c r="AI111" s="175"/>
    </row>
    <row r="112" spans="1:35" s="159" customFormat="1" x14ac:dyDescent="0.3">
      <c r="B112" s="175"/>
      <c r="AH112" s="814"/>
      <c r="AI112" s="815"/>
    </row>
    <row r="113" spans="1:31" x14ac:dyDescent="0.3">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row>
    <row r="114" spans="1:31" x14ac:dyDescent="0.3">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row>
    <row r="115" spans="1:31" x14ac:dyDescent="0.3">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row>
    <row r="116" spans="1:31" x14ac:dyDescent="0.3">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row>
    <row r="120" spans="1:31" ht="26.25" x14ac:dyDescent="0.4">
      <c r="A120" s="844"/>
      <c r="B120" s="844"/>
      <c r="C120" s="844"/>
      <c r="D120" s="844"/>
      <c r="E120" s="844"/>
      <c r="F120" s="844"/>
      <c r="G120" s="844"/>
      <c r="H120" s="844"/>
      <c r="I120" s="844"/>
      <c r="J120" s="844"/>
      <c r="K120" s="844"/>
      <c r="L120" s="844"/>
      <c r="M120" s="844"/>
      <c r="N120" s="844"/>
      <c r="O120" s="844"/>
      <c r="P120" s="844"/>
      <c r="Q120" s="844"/>
      <c r="R120" s="844"/>
      <c r="S120" s="844"/>
      <c r="T120" s="844"/>
      <c r="U120" s="844"/>
    </row>
    <row r="165" spans="6:7" x14ac:dyDescent="0.3">
      <c r="F165" s="10">
        <v>0</v>
      </c>
      <c r="G165" s="10" t="e">
        <f>E165/C165*100</f>
        <v>#DIV/0!</v>
      </c>
    </row>
    <row r="168" spans="6:7" x14ac:dyDescent="0.3">
      <c r="F168" s="10">
        <v>0</v>
      </c>
      <c r="G168" s="10">
        <v>0</v>
      </c>
    </row>
  </sheetData>
  <customSheetViews>
    <customSheetView guid="{7C130984-112A-4861-AA43-E2940708E3DC}" scale="50" state="hidden">
      <pane xSplit="2" ySplit="10" topLeftCell="C74" activePane="bottomRight" state="frozen"/>
      <selection pane="bottomRight" activeCell="AD7" sqref="AD7"/>
      <pageMargins left="0.7" right="0.7" top="0.75" bottom="0.75" header="0.3" footer="0.3"/>
      <pageSetup paperSize="9" orientation="portrait" r:id="rId1"/>
    </customSheetView>
    <customSheetView guid="{3C3F523F-5F34-4CF7-831E-F1ABC4278CEB}" scale="50">
      <pane xSplit="2" ySplit="10" topLeftCell="C74" activePane="bottomRight" state="frozen"/>
      <selection pane="bottomRight" activeCell="AD7" sqref="AD7"/>
      <pageMargins left="0.7" right="0.7" top="0.75" bottom="0.75" header="0.3" footer="0.3"/>
      <pageSetup paperSize="9" orientation="portrait" r:id="rId2"/>
    </customSheetView>
    <customSheetView guid="{D01FA037-9AEC-4167-ADB8-2F327C01ECE6}" scale="50">
      <pane xSplit="2" ySplit="10" topLeftCell="C74" activePane="bottomRight" state="frozen"/>
      <selection pane="bottomRight" activeCell="AD7" sqref="AD7"/>
      <pageMargins left="0.7" right="0.7" top="0.75" bottom="0.75" header="0.3" footer="0.3"/>
      <pageSetup paperSize="9" orientation="portrait" r:id="rId3"/>
    </customSheetView>
    <customSheetView guid="{602C8EDB-B9EF-4C85-B0D5-0558C3A0ABAB}" scale="50">
      <pane xSplit="2" ySplit="10" topLeftCell="C11" activePane="bottomRight" state="frozen"/>
      <selection pane="bottomRight" activeCell="A82" sqref="A82:XFD82"/>
      <pageMargins left="0.7" right="0.7" top="0.75" bottom="0.75" header="0.3" footer="0.3"/>
      <pageSetup paperSize="9" orientation="portrait" r:id="rId4"/>
    </customSheetView>
    <customSheetView guid="{69DABE6F-6182-4403-A4A2-969F10F1C13A}" scale="50">
      <pane xSplit="2" ySplit="10" topLeftCell="C11" activePane="bottomRight" state="frozen"/>
      <selection pane="bottomRight" activeCell="A82" sqref="A82:XFD82"/>
      <pageMargins left="0.7" right="0.7" top="0.75" bottom="0.75" header="0.3" footer="0.3"/>
      <pageSetup paperSize="9" orientation="portrait" r:id="rId5"/>
    </customSheetView>
    <customSheetView guid="{E508E171-4ED9-4B07-84DF-DA28C60E1969}" scale="50">
      <pane xSplit="2" ySplit="10" topLeftCell="C11" activePane="bottomRight" state="frozen"/>
      <selection pane="bottomRight" activeCell="A82" sqref="A82:XFD82"/>
      <pageMargins left="0.7" right="0.7" top="0.75" bottom="0.75" header="0.3" footer="0.3"/>
      <pageSetup paperSize="9" orientation="portrait" r:id="rId6"/>
    </customSheetView>
    <customSheetView guid="{AC2D5927-4079-4C74-AF69-1BFAC505648F}" scale="65">
      <pane xSplit="2" ySplit="10" topLeftCell="X61" activePane="bottomRight" state="frozen"/>
      <selection pane="bottomRight" activeCell="AB73" sqref="AB73"/>
      <pageMargins left="0.7" right="0.7" top="0.75" bottom="0.75" header="0.3" footer="0.3"/>
      <pageSetup paperSize="9" orientation="portrait" r:id="rId7"/>
    </customSheetView>
    <customSheetView guid="{442F2C94-DD1B-4A01-8694-513D4D6F3BD9}" scale="65">
      <pane xSplit="2" ySplit="10" topLeftCell="X61" activePane="bottomRight" state="frozen"/>
      <selection pane="bottomRight" activeCell="AB73" sqref="AB73"/>
      <pageMargins left="0.7" right="0.7" top="0.75" bottom="0.75" header="0.3" footer="0.3"/>
      <pageSetup paperSize="9" orientation="portrait" r:id="rId8"/>
    </customSheetView>
    <customSheetView guid="{CE1CCA00-200D-4EAA-9FBE-F8EE7C5F82FE}" scale="65">
      <pane xSplit="2" ySplit="10" topLeftCell="X61" activePane="bottomRight" state="frozen"/>
      <selection pane="bottomRight" activeCell="AB73" sqref="AB73"/>
      <pageMargins left="0.7" right="0.7" top="0.75" bottom="0.75" header="0.3" footer="0.3"/>
      <pageSetup paperSize="9" orientation="portrait" r:id="rId9"/>
    </customSheetView>
    <customSheetView guid="{4D0DFB57-2CBA-42F2-9A97-C453A6851FBA}" scale="75">
      <pane xSplit="2" ySplit="10" topLeftCell="D71" activePane="bottomRight" state="frozen"/>
      <selection pane="bottomRight" activeCell="M8" sqref="M8"/>
      <pageMargins left="0.7" right="0.7" top="0.75" bottom="0.75" header="0.3" footer="0.3"/>
      <pageSetup paperSize="9" orientation="portrait" r:id="rId10"/>
    </customSheetView>
    <customSheetView guid="{85F4575B-DBC5-482A-9916-255D8F0BC94E}" scale="50">
      <pane xSplit="2" ySplit="10" topLeftCell="Z59" activePane="bottomRight" state="frozen"/>
      <selection pane="bottomRight" activeCell="AA71" sqref="AA71"/>
      <pageMargins left="0.7" right="0.7" top="0.75" bottom="0.75" header="0.3" footer="0.3"/>
      <pageSetup paperSize="9" orientation="portrait" r:id="rId11"/>
    </customSheetView>
    <customSheetView guid="{B1BF08D1-D416-4B47-ADD0-4F59132DC9E8}" scale="50">
      <pane xSplit="2" ySplit="10" topLeftCell="Z59" activePane="bottomRight" state="frozen"/>
      <selection pane="bottomRight" activeCell="AA71" sqref="AA71"/>
      <pageMargins left="0.7" right="0.7" top="0.75" bottom="0.75" header="0.3" footer="0.3"/>
      <pageSetup paperSize="9" orientation="portrait" r:id="rId12"/>
    </customSheetView>
    <customSheetView guid="{BCD82A82-B724-4763-8580-D765356E09BA}" scale="70">
      <pane xSplit="2" ySplit="10" topLeftCell="C11" activePane="bottomRight" state="frozen"/>
      <selection pane="bottomRight" activeCell="A4" sqref="A4:AD4"/>
      <pageMargins left="0.7" right="0.7" top="0.75" bottom="0.75" header="0.3" footer="0.3"/>
      <pageSetup paperSize="9" orientation="portrait" r:id="rId13"/>
    </customSheetView>
    <customSheetView guid="{C236B307-BD63-48C4-A75F-B3F3717BF55C}" scale="70">
      <pane xSplit="2" ySplit="10" topLeftCell="C11" activePane="bottomRight" state="frozen"/>
      <selection pane="bottomRight" activeCell="Q27" sqref="Q27"/>
      <pageMargins left="0.7" right="0.7" top="0.75" bottom="0.75" header="0.3" footer="0.3"/>
      <pageSetup paperSize="9" orientation="portrait" r:id="rId14"/>
    </customSheetView>
    <customSheetView guid="{874882D1-E741-4CCA-BF0D-E72FA60B771D}" scale="70">
      <pane xSplit="2" ySplit="10" topLeftCell="F83" activePane="bottomRight" state="frozen"/>
      <selection pane="bottomRight" activeCell="J98" sqref="J98"/>
      <pageMargins left="0.7" right="0.7" top="0.75" bottom="0.75" header="0.3" footer="0.3"/>
      <pageSetup paperSize="9" orientation="portrait" r:id="rId15"/>
    </customSheetView>
    <customSheetView guid="{B82BA08A-1A30-4F4D-A478-74A6BD09EA97}" scale="70">
      <pane xSplit="2" ySplit="10" topLeftCell="F83" activePane="bottomRight" state="frozen"/>
      <selection pane="bottomRight" activeCell="J98" sqref="J98"/>
      <pageMargins left="0.7" right="0.7" top="0.75" bottom="0.75" header="0.3" footer="0.3"/>
      <pageSetup paperSize="9" orientation="portrait" r:id="rId16"/>
    </customSheetView>
    <customSheetView guid="{770624BF-07F3-44B6-94C3-4CC447CDD45C}" scale="70">
      <pane xSplit="2" ySplit="10" topLeftCell="C11" activePane="bottomRight" state="frozen"/>
      <selection pane="bottomRight" activeCell="E23" sqref="E23"/>
      <pageMargins left="0.7" right="0.7" top="0.75" bottom="0.75" header="0.3" footer="0.3"/>
      <pageSetup paperSize="9" orientation="portrait" r:id="rId17"/>
    </customSheetView>
    <customSheetView guid="{009B3074-D8EC-4952-BF50-43CD64449612}" scale="70">
      <pane xSplit="2" ySplit="10" topLeftCell="T11" activePane="bottomRight" state="frozen"/>
      <selection pane="bottomRight" activeCell="AF23" sqref="AF23"/>
      <pageMargins left="0.7" right="0.7" top="0.75" bottom="0.75" header="0.3" footer="0.3"/>
      <pageSetup paperSize="9" orientation="portrait" r:id="rId18"/>
    </customSheetView>
    <customSheetView guid="{F679EF4A-C5FD-4B86-B87B-D85968E0F2CA}" scale="50">
      <pane xSplit="2" ySplit="10" topLeftCell="C50" activePane="bottomRight" state="frozen"/>
      <selection pane="bottomRight" activeCell="C61" sqref="C61"/>
      <pageMargins left="0.7" right="0.7" top="0.75" bottom="0.75" header="0.3" footer="0.3"/>
      <pageSetup paperSize="9" orientation="portrait" r:id="rId19"/>
    </customSheetView>
    <customSheetView guid="{959E901C-5DDE-42EE-AE94-AB8976B5E00B}" scale="50">
      <pane xSplit="2" ySplit="10" topLeftCell="Z59" activePane="bottomRight" state="frozen"/>
      <selection pane="bottomRight" activeCell="AA71" sqref="AA71"/>
      <pageMargins left="0.7" right="0.7" top="0.75" bottom="0.75" header="0.3" footer="0.3"/>
      <pageSetup paperSize="9" orientation="portrait" r:id="rId20"/>
    </customSheetView>
    <customSheetView guid="{533DC55B-6AD4-4674-9488-685EF2039F3E}" scale="55">
      <pane xSplit="2" ySplit="10" topLeftCell="C62" activePane="bottomRight" state="frozen"/>
      <selection pane="bottomRight" activeCell="AF87" sqref="AF87"/>
      <pageMargins left="0.7" right="0.7" top="0.75" bottom="0.75" header="0.3" footer="0.3"/>
      <pageSetup paperSize="9" orientation="portrait" r:id="rId21"/>
    </customSheetView>
    <customSheetView guid="{87218168-6C8E-4D5B-A5E5-DCCC26803AA3}" scale="75">
      <pane xSplit="2" ySplit="10" topLeftCell="D71" activePane="bottomRight" state="frozen"/>
      <selection pane="bottomRight" activeCell="M8" sqref="M8"/>
      <pageMargins left="0.7" right="0.7" top="0.75" bottom="0.75" header="0.3" footer="0.3"/>
      <pageSetup paperSize="9" orientation="portrait" r:id="rId22"/>
    </customSheetView>
    <customSheetView guid="{DAA8A688-7558-4B5B-8DBD-E2629BD9E9A8}" scale="65">
      <pane xSplit="2" ySplit="10" topLeftCell="X61" activePane="bottomRight" state="frozen"/>
      <selection pane="bottomRight" activeCell="AB73" sqref="AB73"/>
      <pageMargins left="0.7" right="0.7" top="0.75" bottom="0.75" header="0.3" footer="0.3"/>
      <pageSetup paperSize="9" orientation="portrait" r:id="rId23"/>
    </customSheetView>
    <customSheetView guid="{391AB76E-B386-49C1-800F-016A48AA1A46}" scale="65">
      <pane xSplit="2" ySplit="10" topLeftCell="X61" activePane="bottomRight" state="frozen"/>
      <selection pane="bottomRight" activeCell="AB73" sqref="AB73"/>
      <pageMargins left="0.7" right="0.7" top="0.75" bottom="0.75" header="0.3" footer="0.3"/>
      <pageSetup paperSize="9" orientation="portrait" r:id="rId24"/>
    </customSheetView>
    <customSheetView guid="{09C3E205-981E-4A4E-BE89-8B7044192060}" scale="50">
      <pane xSplit="2" ySplit="10" topLeftCell="C11" activePane="bottomRight" state="frozen"/>
      <selection pane="bottomRight" activeCell="L14" sqref="L14"/>
      <pageMargins left="0.7" right="0.7" top="0.75" bottom="0.75" header="0.3" footer="0.3"/>
      <pageSetup paperSize="9" orientation="portrait" r:id="rId25"/>
    </customSheetView>
    <customSheetView guid="{84867370-1F3E-4368-AF79-FBCE46FFFE92}" scale="50">
      <pane xSplit="2" ySplit="10" topLeftCell="C11" activePane="bottomRight" state="frozen"/>
      <selection pane="bottomRight" activeCell="L14" sqref="L14"/>
      <pageMargins left="0.7" right="0.7" top="0.75" bottom="0.75" header="0.3" footer="0.3"/>
      <pageSetup paperSize="9" orientation="portrait" r:id="rId26"/>
    </customSheetView>
    <customSheetView guid="{0C2B9C2A-7B94-41EF-A2E6-F8AC9A67DE25}" scale="50">
      <pane xSplit="2" ySplit="10" topLeftCell="C11" activePane="bottomRight" state="frozen"/>
      <selection pane="bottomRight" activeCell="A82" sqref="A82:XFD82"/>
      <pageMargins left="0.7" right="0.7" top="0.75" bottom="0.75" header="0.3" footer="0.3"/>
      <pageSetup paperSize="9" orientation="portrait" r:id="rId27"/>
    </customSheetView>
    <customSheetView guid="{CB4792DB-A624-4844-AEB6-A6ADA80946BB}" scale="50">
      <pane xSplit="2" ySplit="10" topLeftCell="C11" activePane="bottomRight" state="frozen"/>
      <selection pane="bottomRight" activeCell="A82" sqref="A82:XFD82"/>
      <pageMargins left="0.7" right="0.7" top="0.75" bottom="0.75" header="0.3" footer="0.3"/>
      <pageSetup paperSize="9" orientation="portrait" r:id="rId28"/>
    </customSheetView>
    <customSheetView guid="{74870EE6-26B9-40F7-9DC9-260EF16D8959}" scale="50">
      <pane xSplit="2" ySplit="10" topLeftCell="C59" activePane="bottomRight" state="frozen"/>
      <selection pane="bottomRight" activeCell="C69" sqref="C69"/>
      <pageMargins left="0.7" right="0.7" top="0.75" bottom="0.75" header="0.3" footer="0.3"/>
      <pageSetup paperSize="9" orientation="portrait" r:id="rId29"/>
    </customSheetView>
    <customSheetView guid="{6A602CB8-B24C-4ED4-B378-B27354BE0A1A}" scale="50">
      <pane xSplit="2" ySplit="10" topLeftCell="C11" activePane="bottomRight" state="frozen"/>
      <selection pane="bottomRight" activeCell="A82" sqref="A82:XFD82"/>
      <pageMargins left="0.7" right="0.7" top="0.75" bottom="0.75" header="0.3" footer="0.3"/>
      <pageSetup paperSize="9" orientation="portrait" r:id="rId30"/>
    </customSheetView>
    <customSheetView guid="{4F41B9CC-959D-442C-80B0-1F0DB2C76D27}" scale="50">
      <pane xSplit="2" ySplit="10" topLeftCell="C74" activePane="bottomRight" state="frozen"/>
      <selection pane="bottomRight" activeCell="AD7" sqref="AD7"/>
      <pageMargins left="0.7" right="0.7" top="0.75" bottom="0.75" header="0.3" footer="0.3"/>
      <pageSetup paperSize="9" orientation="portrait" r:id="rId31"/>
    </customSheetView>
    <customSheetView guid="{47B983AB-FE5F-4725-860C-A2F29420596D}" scale="50">
      <pane xSplit="2" ySplit="10" topLeftCell="C74" activePane="bottomRight" state="frozen"/>
      <selection pane="bottomRight" activeCell="AD7" sqref="AD7"/>
      <pageMargins left="0.7" right="0.7" top="0.75" bottom="0.75" header="0.3" footer="0.3"/>
      <pageSetup paperSize="9" orientation="portrait" r:id="rId32"/>
    </customSheetView>
  </customSheetViews>
  <mergeCells count="28">
    <mergeCell ref="J6:K6"/>
    <mergeCell ref="L6:M6"/>
    <mergeCell ref="A1:AD1"/>
    <mergeCell ref="A2:AD2"/>
    <mergeCell ref="A3:AD3"/>
    <mergeCell ref="A4:AD4"/>
    <mergeCell ref="AB5:AD5"/>
    <mergeCell ref="A76:AF76"/>
    <mergeCell ref="Z6:AA6"/>
    <mergeCell ref="AB6:AC6"/>
    <mergeCell ref="AD6:AE6"/>
    <mergeCell ref="AF6:AF7"/>
    <mergeCell ref="A9:AF9"/>
    <mergeCell ref="A10:AF10"/>
    <mergeCell ref="N6:O6"/>
    <mergeCell ref="P6:Q6"/>
    <mergeCell ref="R6:S6"/>
    <mergeCell ref="T6:U6"/>
    <mergeCell ref="V6:W6"/>
    <mergeCell ref="X6:Y6"/>
    <mergeCell ref="A6:A7"/>
    <mergeCell ref="F6:G6"/>
    <mergeCell ref="H6:I6"/>
    <mergeCell ref="A41:AF41"/>
    <mergeCell ref="A42:AF42"/>
    <mergeCell ref="A55:AF55"/>
    <mergeCell ref="A56:AF56"/>
    <mergeCell ref="A75:AF75"/>
  </mergeCells>
  <hyperlinks>
    <hyperlink ref="A4:AD4" location="Оглавление!A1" display="Комплексный план (сетевой график) по реализации муниципальной программы &quot;Развитие институтов гражданского общества города Когалыма&quot;"/>
  </hyperlinks>
  <pageMargins left="0.7" right="0.7" top="0.75" bottom="0.75" header="0.3" footer="0.3"/>
  <pageSetup paperSize="9" orientation="portrait" r:id="rId3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I166"/>
  <sheetViews>
    <sheetView zoomScale="55" zoomScaleNormal="55" workbookViewId="0">
      <pane xSplit="7" ySplit="10" topLeftCell="H11" activePane="bottomRight" state="frozen"/>
      <selection pane="topRight" activeCell="H1" sqref="H1"/>
      <selection pane="bottomLeft" activeCell="A11" sqref="A11"/>
      <selection pane="bottomRight" activeCell="A23" sqref="A23:AF23"/>
    </sheetView>
  </sheetViews>
  <sheetFormatPr defaultColWidth="9.140625" defaultRowHeight="18.75" x14ac:dyDescent="0.3"/>
  <cols>
    <col min="1" max="1" width="55" style="33" customWidth="1"/>
    <col min="2" max="5" width="16.7109375" style="33" customWidth="1"/>
    <col min="6" max="7" width="16.42578125" style="33" customWidth="1"/>
    <col min="8" max="10" width="13.42578125" style="33" customWidth="1"/>
    <col min="11" max="11" width="15.7109375" style="33" customWidth="1"/>
    <col min="12" max="16" width="13.42578125" style="33" customWidth="1"/>
    <col min="17" max="17" width="13.7109375" style="33" customWidth="1"/>
    <col min="18" max="31" width="13.42578125" style="33" customWidth="1"/>
    <col min="32" max="32" width="27.5703125" style="33" customWidth="1"/>
    <col min="33" max="33" width="10.7109375" style="33" customWidth="1"/>
    <col min="34" max="34" width="16.7109375" style="33" bestFit="1" customWidth="1"/>
    <col min="35" max="35" width="12.7109375" style="33" bestFit="1" customWidth="1"/>
    <col min="36" max="16384" width="9.140625" style="33"/>
  </cols>
  <sheetData>
    <row r="4" spans="1:35" x14ac:dyDescent="0.3">
      <c r="A4" s="1061" t="s">
        <v>249</v>
      </c>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6" spans="1:35" ht="50.25" customHeight="1" x14ac:dyDescent="0.3">
      <c r="A6" s="1062" t="s">
        <v>163</v>
      </c>
      <c r="B6" s="95" t="s">
        <v>3</v>
      </c>
      <c r="C6" s="95" t="s">
        <v>3</v>
      </c>
      <c r="D6" s="95" t="s">
        <v>4</v>
      </c>
      <c r="E6" s="95" t="s">
        <v>5</v>
      </c>
      <c r="F6" s="1063" t="s">
        <v>6</v>
      </c>
      <c r="G6" s="1064"/>
      <c r="H6" s="1063" t="s">
        <v>7</v>
      </c>
      <c r="I6" s="1065"/>
      <c r="J6" s="1063" t="s">
        <v>8</v>
      </c>
      <c r="K6" s="1065"/>
      <c r="L6" s="1063" t="s">
        <v>9</v>
      </c>
      <c r="M6" s="1065"/>
      <c r="N6" s="1063" t="s">
        <v>10</v>
      </c>
      <c r="O6" s="1065"/>
      <c r="P6" s="1063" t="s">
        <v>11</v>
      </c>
      <c r="Q6" s="1065"/>
      <c r="R6" s="1063" t="s">
        <v>12</v>
      </c>
      <c r="S6" s="1065"/>
      <c r="T6" s="1063" t="s">
        <v>13</v>
      </c>
      <c r="U6" s="1065"/>
      <c r="V6" s="1063" t="s">
        <v>14</v>
      </c>
      <c r="W6" s="1065"/>
      <c r="X6" s="1063" t="s">
        <v>15</v>
      </c>
      <c r="Y6" s="1065"/>
      <c r="Z6" s="1063" t="s">
        <v>16</v>
      </c>
      <c r="AA6" s="1065"/>
      <c r="AB6" s="1063" t="s">
        <v>17</v>
      </c>
      <c r="AC6" s="1065"/>
      <c r="AD6" s="1066" t="s">
        <v>18</v>
      </c>
      <c r="AE6" s="1066"/>
      <c r="AF6" s="1052" t="s">
        <v>19</v>
      </c>
    </row>
    <row r="7" spans="1:35" ht="56.25" x14ac:dyDescent="0.3">
      <c r="A7" s="1062"/>
      <c r="B7" s="3">
        <v>2024</v>
      </c>
      <c r="C7" s="4">
        <v>45444</v>
      </c>
      <c r="D7" s="4">
        <v>45444</v>
      </c>
      <c r="E7" s="4">
        <v>45444</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53"/>
    </row>
    <row r="8" spans="1:35"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5" s="97" customFormat="1" x14ac:dyDescent="0.3">
      <c r="A9" s="1058" t="s">
        <v>250</v>
      </c>
      <c r="B9" s="1059"/>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59"/>
      <c r="AF9" s="1060"/>
      <c r="AH9" s="97" t="s">
        <v>510</v>
      </c>
    </row>
    <row r="10" spans="1:35" s="97" customFormat="1" x14ac:dyDescent="0.3">
      <c r="A10" s="1058" t="s">
        <v>167</v>
      </c>
      <c r="B10" s="1059"/>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60"/>
      <c r="AH10" s="730">
        <v>10600.25</v>
      </c>
      <c r="AI10" s="737">
        <f>AI76+AH70+AH116</f>
        <v>12497.038</v>
      </c>
    </row>
    <row r="11" spans="1:35" ht="56.25" customHeight="1" x14ac:dyDescent="0.3">
      <c r="A11" s="98" t="s">
        <v>251</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5" x14ac:dyDescent="0.3">
      <c r="A12" s="103" t="s">
        <v>31</v>
      </c>
      <c r="B12" s="104">
        <f>B13+B14+B15+B16</f>
        <v>0</v>
      </c>
      <c r="C12" s="104">
        <f>C13+C14+C15+C16</f>
        <v>0</v>
      </c>
      <c r="D12" s="104">
        <f>D13+D14+D15+D16</f>
        <v>0</v>
      </c>
      <c r="E12" s="104">
        <f>E13+E14+E15+E16</f>
        <v>0</v>
      </c>
      <c r="F12" s="105">
        <f>IFERROR(E12/B12*100,0)</f>
        <v>0</v>
      </c>
      <c r="G12" s="105">
        <f>IFERROR(E12/C12*100,0)</f>
        <v>0</v>
      </c>
      <c r="H12" s="104">
        <f>H13+H14+H15+H16</f>
        <v>0</v>
      </c>
      <c r="I12" s="104">
        <f t="shared" ref="I12:AE12" si="0">I13+I14+I15+I16</f>
        <v>0</v>
      </c>
      <c r="J12" s="104">
        <f t="shared" si="0"/>
        <v>0</v>
      </c>
      <c r="K12" s="104">
        <f t="shared" si="0"/>
        <v>0</v>
      </c>
      <c r="L12" s="104">
        <f t="shared" si="0"/>
        <v>0</v>
      </c>
      <c r="M12" s="104">
        <f t="shared" si="0"/>
        <v>0</v>
      </c>
      <c r="N12" s="104">
        <f t="shared" si="0"/>
        <v>0</v>
      </c>
      <c r="O12" s="104">
        <f t="shared" si="0"/>
        <v>0</v>
      </c>
      <c r="P12" s="104">
        <f t="shared" si="0"/>
        <v>0</v>
      </c>
      <c r="Q12" s="104">
        <f t="shared" si="0"/>
        <v>0</v>
      </c>
      <c r="R12" s="104">
        <f t="shared" si="0"/>
        <v>0</v>
      </c>
      <c r="S12" s="104">
        <f t="shared" si="0"/>
        <v>0</v>
      </c>
      <c r="T12" s="104">
        <f t="shared" si="0"/>
        <v>0</v>
      </c>
      <c r="U12" s="104">
        <f t="shared" si="0"/>
        <v>0</v>
      </c>
      <c r="V12" s="104">
        <f t="shared" si="0"/>
        <v>0</v>
      </c>
      <c r="W12" s="104">
        <f t="shared" si="0"/>
        <v>0</v>
      </c>
      <c r="X12" s="104">
        <f t="shared" si="0"/>
        <v>0</v>
      </c>
      <c r="Y12" s="104">
        <f t="shared" si="0"/>
        <v>0</v>
      </c>
      <c r="Z12" s="104">
        <f t="shared" si="0"/>
        <v>0</v>
      </c>
      <c r="AA12" s="104">
        <f t="shared" si="0"/>
        <v>0</v>
      </c>
      <c r="AB12" s="104">
        <f t="shared" si="0"/>
        <v>0</v>
      </c>
      <c r="AC12" s="104">
        <f t="shared" si="0"/>
        <v>0</v>
      </c>
      <c r="AD12" s="104">
        <f t="shared" si="0"/>
        <v>0</v>
      </c>
      <c r="AE12" s="104">
        <f t="shared" si="0"/>
        <v>0</v>
      </c>
      <c r="AF12" s="101"/>
      <c r="AG12" s="102">
        <f t="shared" ref="AG12:AG81" si="1">B12-H12-J12-L12-N12-P12-R12-T12-V12-X12-Z12-AB12-AD12</f>
        <v>0</v>
      </c>
      <c r="AH12" s="155">
        <f>C12-E12</f>
        <v>0</v>
      </c>
    </row>
    <row r="13" spans="1:35" x14ac:dyDescent="0.3">
      <c r="A13" s="106" t="s">
        <v>169</v>
      </c>
      <c r="B13" s="107">
        <f>J13+L13+N13+P13+R13+T13+V13+X13+Z13+AB13+AD13+H13</f>
        <v>0</v>
      </c>
      <c r="C13" s="107">
        <f>SUM(H13)</f>
        <v>0</v>
      </c>
      <c r="D13" s="107">
        <f>E13</f>
        <v>0</v>
      </c>
      <c r="E13" s="107">
        <f>SUM(I13,K13,M13,O13,Q13,S13,U13,W13,Y13,AA13,AC13,AE13)</f>
        <v>0</v>
      </c>
      <c r="F13" s="107">
        <f>IFERROR(E13/B13*100,0)</f>
        <v>0</v>
      </c>
      <c r="G13" s="107">
        <f>IFERROR(E13/C13*100,0)</f>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f t="shared" si="1"/>
        <v>0</v>
      </c>
      <c r="AH13" s="155">
        <f t="shared" ref="AH13:AH82" si="2">C13-E13</f>
        <v>0</v>
      </c>
    </row>
    <row r="14" spans="1:35" x14ac:dyDescent="0.3">
      <c r="A14" s="106" t="s">
        <v>32</v>
      </c>
      <c r="B14" s="107">
        <f>J14+L14+N14+P14+R14+T14+V14+X14+Z14+AB14+AD14+H14</f>
        <v>0</v>
      </c>
      <c r="C14" s="107">
        <f>SUM(H14)</f>
        <v>0</v>
      </c>
      <c r="D14" s="107">
        <f>E14</f>
        <v>0</v>
      </c>
      <c r="E14" s="107">
        <f>SUM(I14,K14,M14,O14,Q14,S14,U14,W14,Y14,AA14,AC14,AE14)</f>
        <v>0</v>
      </c>
      <c r="F14" s="107">
        <f>IFERROR(E14/B14*100,0)</f>
        <v>0</v>
      </c>
      <c r="G14" s="107">
        <f>IFERROR(E14/C14*100,0)</f>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f t="shared" si="1"/>
        <v>0</v>
      </c>
      <c r="AH14" s="155">
        <f t="shared" si="2"/>
        <v>0</v>
      </c>
    </row>
    <row r="15" spans="1:35" x14ac:dyDescent="0.3">
      <c r="A15" s="106" t="s">
        <v>33</v>
      </c>
      <c r="B15" s="107">
        <f>J15+L15+N15+P15+R15+T15+V15+X15+Z15+AB15+AD15+H15</f>
        <v>0</v>
      </c>
      <c r="C15" s="107">
        <f>SUM(H15)</f>
        <v>0</v>
      </c>
      <c r="D15" s="107">
        <f>E15</f>
        <v>0</v>
      </c>
      <c r="E15" s="107">
        <f>SUM(I15,K15,M15,O15,Q15,S15,U15,W15,Y15,AA15,AC15,AE15)</f>
        <v>0</v>
      </c>
      <c r="F15" s="107">
        <f>IFERROR(E15/B15*100,0)</f>
        <v>0</v>
      </c>
      <c r="G15" s="107">
        <f>IFERROR(E15/C15*100,0)</f>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f t="shared" si="1"/>
        <v>0</v>
      </c>
      <c r="AH15" s="155">
        <f t="shared" si="2"/>
        <v>0</v>
      </c>
    </row>
    <row r="16" spans="1:35" x14ac:dyDescent="0.3">
      <c r="A16" s="106" t="s">
        <v>170</v>
      </c>
      <c r="B16" s="107">
        <f>J16+L16+N16+P16+R16+T16+V16+X16+Z16+AB16+AD16+H16</f>
        <v>0</v>
      </c>
      <c r="C16" s="107">
        <f>SUM(H16)</f>
        <v>0</v>
      </c>
      <c r="D16" s="107">
        <f>E16</f>
        <v>0</v>
      </c>
      <c r="E16" s="107">
        <f>SUM(I16,K16,M16,O16,Q16,S16,U16,W16,Y16,AA16,AC16,AE16)</f>
        <v>0</v>
      </c>
      <c r="F16" s="107">
        <f>IFERROR(E16/B16*100,0)</f>
        <v>0</v>
      </c>
      <c r="G16" s="107">
        <f>IFERROR(E16/C16*100,0)</f>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f t="shared" si="1"/>
        <v>0</v>
      </c>
      <c r="AH16" s="155">
        <f t="shared" si="2"/>
        <v>0</v>
      </c>
    </row>
    <row r="17" spans="1:34" ht="56.25" x14ac:dyDescent="0.3">
      <c r="A17" s="103" t="s">
        <v>547</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1"/>
      <c r="AG17" s="102"/>
      <c r="AH17" s="155"/>
    </row>
    <row r="18" spans="1:34" x14ac:dyDescent="0.3">
      <c r="A18" s="103" t="s">
        <v>31</v>
      </c>
      <c r="B18" s="104">
        <f ca="1">B19+B20+B21+B22</f>
        <v>15871.8</v>
      </c>
      <c r="C18" s="104">
        <f ca="1">C19+C20+C21+C22</f>
        <v>0</v>
      </c>
      <c r="D18" s="104">
        <f ca="1">D19+D20+D21+D22</f>
        <v>0</v>
      </c>
      <c r="E18" s="104">
        <f ca="1">E19+E20+E21+E22</f>
        <v>0</v>
      </c>
      <c r="F18" s="105">
        <f ca="1">IFERROR(E18/B18*100,0)</f>
        <v>0</v>
      </c>
      <c r="G18" s="105">
        <f t="shared" ref="G18:T19" ca="1" si="3">IFERROR(E18/C18*100,0)</f>
        <v>0</v>
      </c>
      <c r="H18" s="105">
        <f t="shared" ca="1" si="3"/>
        <v>0</v>
      </c>
      <c r="I18" s="105">
        <f t="shared" ca="1" si="3"/>
        <v>0</v>
      </c>
      <c r="J18" s="105">
        <f t="shared" ca="1" si="3"/>
        <v>0</v>
      </c>
      <c r="K18" s="105">
        <f t="shared" ca="1" si="3"/>
        <v>0</v>
      </c>
      <c r="L18" s="105">
        <f t="shared" ca="1" si="3"/>
        <v>0</v>
      </c>
      <c r="M18" s="105">
        <f t="shared" ca="1" si="3"/>
        <v>0</v>
      </c>
      <c r="N18" s="105">
        <f t="shared" ca="1" si="3"/>
        <v>0</v>
      </c>
      <c r="O18" s="105">
        <f t="shared" ca="1" si="3"/>
        <v>0</v>
      </c>
      <c r="P18" s="105">
        <f t="shared" ca="1" si="3"/>
        <v>0</v>
      </c>
      <c r="Q18" s="105">
        <f t="shared" ca="1" si="3"/>
        <v>0</v>
      </c>
      <c r="R18" s="105">
        <f t="shared" ca="1" si="3"/>
        <v>0</v>
      </c>
      <c r="S18" s="105">
        <f t="shared" ca="1" si="3"/>
        <v>0</v>
      </c>
      <c r="T18" s="105">
        <f t="shared" ca="1" si="3"/>
        <v>0</v>
      </c>
      <c r="U18" s="105">
        <f t="shared" ref="U18:V22" ca="1" si="4">IFERROR(S18/Q18*100,0)</f>
        <v>0</v>
      </c>
      <c r="V18" s="105">
        <f ca="1">SUM(V19:V22)</f>
        <v>10212.799999999999</v>
      </c>
      <c r="W18" s="105">
        <f ca="1">IFERROR(U18/S18*100,0)</f>
        <v>0</v>
      </c>
      <c r="X18" s="105">
        <f ca="1">SUM(X19:X22)</f>
        <v>1859</v>
      </c>
      <c r="Y18" s="105">
        <f t="shared" ref="Y18:AE20" ca="1" si="5">IFERROR(W18/U18*100,0)</f>
        <v>0</v>
      </c>
      <c r="Z18" s="105">
        <f t="shared" ca="1" si="5"/>
        <v>18.20264765784114</v>
      </c>
      <c r="AA18" s="105">
        <f t="shared" ca="1" si="5"/>
        <v>0</v>
      </c>
      <c r="AB18" s="105">
        <f t="shared" ca="1" si="5"/>
        <v>0.97916340278865732</v>
      </c>
      <c r="AC18" s="105">
        <f t="shared" ca="1" si="5"/>
        <v>0</v>
      </c>
      <c r="AD18" s="105">
        <f t="shared" ca="1" si="5"/>
        <v>5.3792361484669176</v>
      </c>
      <c r="AE18" s="105">
        <f t="shared" ca="1" si="5"/>
        <v>0</v>
      </c>
      <c r="AF18" s="101"/>
      <c r="AG18" s="102"/>
      <c r="AH18" s="155"/>
    </row>
    <row r="19" spans="1:34" x14ac:dyDescent="0.3">
      <c r="A19" s="106" t="s">
        <v>169</v>
      </c>
      <c r="B19" s="107">
        <f ca="1">J19+L19+N19+P19+R19+T19+V19+X19+Z19+AB19+AD19+H19</f>
        <v>0</v>
      </c>
      <c r="C19" s="107">
        <f ca="1">SUM(H19)</f>
        <v>0</v>
      </c>
      <c r="D19" s="107">
        <f ca="1">E19</f>
        <v>0</v>
      </c>
      <c r="E19" s="107">
        <f ca="1">SUM(I19,K19,M19,O19,Q19,S19,U19,W19,Y19,AA19,AC19,AE19)</f>
        <v>0</v>
      </c>
      <c r="F19" s="107">
        <f ca="1">IFERROR(E19/B19*100,0)</f>
        <v>0</v>
      </c>
      <c r="G19" s="107">
        <f t="shared" ca="1" si="3"/>
        <v>0</v>
      </c>
      <c r="H19" s="107">
        <f t="shared" ca="1" si="3"/>
        <v>0</v>
      </c>
      <c r="I19" s="107">
        <f t="shared" ca="1" si="3"/>
        <v>0</v>
      </c>
      <c r="J19" s="107">
        <f t="shared" ca="1" si="3"/>
        <v>0</v>
      </c>
      <c r="K19" s="107">
        <f t="shared" ca="1" si="3"/>
        <v>0</v>
      </c>
      <c r="L19" s="107">
        <f t="shared" ca="1" si="3"/>
        <v>0</v>
      </c>
      <c r="M19" s="107">
        <f t="shared" ca="1" si="3"/>
        <v>0</v>
      </c>
      <c r="N19" s="107">
        <f t="shared" ca="1" si="3"/>
        <v>0</v>
      </c>
      <c r="O19" s="107">
        <f t="shared" ca="1" si="3"/>
        <v>0</v>
      </c>
      <c r="P19" s="107">
        <f t="shared" ca="1" si="3"/>
        <v>0</v>
      </c>
      <c r="Q19" s="107">
        <f t="shared" ca="1" si="3"/>
        <v>0</v>
      </c>
      <c r="R19" s="107">
        <f t="shared" ca="1" si="3"/>
        <v>0</v>
      </c>
      <c r="S19" s="107">
        <f t="shared" ca="1" si="3"/>
        <v>0</v>
      </c>
      <c r="T19" s="107">
        <f t="shared" ca="1" si="3"/>
        <v>0</v>
      </c>
      <c r="U19" s="107">
        <f t="shared" ca="1" si="4"/>
        <v>0</v>
      </c>
      <c r="V19" s="107">
        <f t="shared" ca="1" si="4"/>
        <v>0</v>
      </c>
      <c r="W19" s="107">
        <f ca="1">IFERROR(U19/S19*100,0)</f>
        <v>0</v>
      </c>
      <c r="X19" s="107">
        <f ca="1">IFERROR(V19/T19*100,0)</f>
        <v>0</v>
      </c>
      <c r="Y19" s="107">
        <f t="shared" ca="1" si="5"/>
        <v>0</v>
      </c>
      <c r="Z19" s="107">
        <f t="shared" ca="1" si="5"/>
        <v>0</v>
      </c>
      <c r="AA19" s="107">
        <f t="shared" ca="1" si="5"/>
        <v>0</v>
      </c>
      <c r="AB19" s="107">
        <f t="shared" ca="1" si="5"/>
        <v>0</v>
      </c>
      <c r="AC19" s="107">
        <f t="shared" ca="1" si="5"/>
        <v>0</v>
      </c>
      <c r="AD19" s="107">
        <f t="shared" ca="1" si="5"/>
        <v>0</v>
      </c>
      <c r="AE19" s="107">
        <f t="shared" ca="1" si="5"/>
        <v>0</v>
      </c>
      <c r="AF19" s="101"/>
      <c r="AG19" s="102"/>
      <c r="AH19" s="155"/>
    </row>
    <row r="20" spans="1:34" x14ac:dyDescent="0.3">
      <c r="A20" s="106" t="s">
        <v>32</v>
      </c>
      <c r="B20" s="107">
        <f ca="1">J20+L20+N20+P20+R20+T20+V20+X20+Z20+AB20+AD20+H20</f>
        <v>10000</v>
      </c>
      <c r="C20" s="107">
        <f ca="1">SUM(H20)</f>
        <v>0</v>
      </c>
      <c r="D20" s="107">
        <f ca="1">E20</f>
        <v>0</v>
      </c>
      <c r="E20" s="107">
        <f ca="1">SUM(I20,K20,M20,O20,Q20,S20,U20,W20,Y20,AA20,AC20,AE20)</f>
        <v>0</v>
      </c>
      <c r="F20" s="107">
        <f ca="1">IFERROR(E20/B20*100,0)</f>
        <v>0</v>
      </c>
      <c r="G20" s="107">
        <f t="shared" ref="G20:O22" ca="1" si="6">IFERROR(E20/C20*100,0)</f>
        <v>0</v>
      </c>
      <c r="H20" s="107">
        <f t="shared" ca="1" si="6"/>
        <v>0</v>
      </c>
      <c r="I20" s="107">
        <f t="shared" ca="1" si="6"/>
        <v>0</v>
      </c>
      <c r="J20" s="107">
        <f t="shared" ca="1" si="6"/>
        <v>0</v>
      </c>
      <c r="K20" s="107">
        <f t="shared" ca="1" si="6"/>
        <v>0</v>
      </c>
      <c r="L20" s="107">
        <f t="shared" ca="1" si="6"/>
        <v>0</v>
      </c>
      <c r="M20" s="107">
        <f t="shared" ca="1" si="6"/>
        <v>0</v>
      </c>
      <c r="N20" s="107">
        <f t="shared" ca="1" si="6"/>
        <v>0</v>
      </c>
      <c r="O20" s="107">
        <f t="shared" ca="1" si="6"/>
        <v>0</v>
      </c>
      <c r="P20" s="107">
        <v>0</v>
      </c>
      <c r="Q20" s="107">
        <f t="shared" ref="Q20:S22" ca="1" si="7">IFERROR(O20/M20*100,0)</f>
        <v>0</v>
      </c>
      <c r="R20" s="107">
        <f t="shared" ca="1" si="7"/>
        <v>0</v>
      </c>
      <c r="S20" s="107">
        <f t="shared" ca="1" si="7"/>
        <v>0</v>
      </c>
      <c r="T20" s="107">
        <v>0</v>
      </c>
      <c r="U20" s="107">
        <f t="shared" ca="1" si="4"/>
        <v>0</v>
      </c>
      <c r="V20" s="107">
        <v>10000</v>
      </c>
      <c r="W20" s="107">
        <f ca="1">IFERROR(U20/S20*100,0)</f>
        <v>0</v>
      </c>
      <c r="X20" s="107">
        <f>IFERROR(V20/T20*100,0)</f>
        <v>0</v>
      </c>
      <c r="Y20" s="107">
        <f t="shared" ca="1" si="5"/>
        <v>0</v>
      </c>
      <c r="Z20" s="107">
        <f t="shared" si="5"/>
        <v>0</v>
      </c>
      <c r="AA20" s="107">
        <f t="shared" ca="1" si="5"/>
        <v>0</v>
      </c>
      <c r="AB20" s="107">
        <f t="shared" si="5"/>
        <v>0</v>
      </c>
      <c r="AC20" s="107">
        <f t="shared" ca="1" si="5"/>
        <v>0</v>
      </c>
      <c r="AD20" s="107">
        <f t="shared" si="5"/>
        <v>0</v>
      </c>
      <c r="AE20" s="107">
        <f t="shared" ca="1" si="5"/>
        <v>0</v>
      </c>
      <c r="AF20" s="101"/>
      <c r="AG20" s="102"/>
      <c r="AH20" s="155"/>
    </row>
    <row r="21" spans="1:34" x14ac:dyDescent="0.3">
      <c r="A21" s="106" t="s">
        <v>33</v>
      </c>
      <c r="B21" s="107">
        <f ca="1">J21+L21+N21+P21+R21+T21+V21+X21+Z21+AB21+AD21+H21</f>
        <v>5059.3</v>
      </c>
      <c r="C21" s="107">
        <f ca="1">SUM(H21)</f>
        <v>0</v>
      </c>
      <c r="D21" s="107">
        <f ca="1">E21</f>
        <v>0</v>
      </c>
      <c r="E21" s="107">
        <f ca="1">SUM(I21,K21,M21,O21,Q21,S21,U21,W21,Y21,AA21,AC21,AE21)</f>
        <v>0</v>
      </c>
      <c r="F21" s="107">
        <f ca="1">IFERROR(E21/B21*100,0)</f>
        <v>0</v>
      </c>
      <c r="G21" s="107">
        <f t="shared" ca="1" si="6"/>
        <v>0</v>
      </c>
      <c r="H21" s="107">
        <f t="shared" ca="1" si="6"/>
        <v>0</v>
      </c>
      <c r="I21" s="107">
        <f t="shared" ca="1" si="6"/>
        <v>0</v>
      </c>
      <c r="J21" s="107">
        <f t="shared" ca="1" si="6"/>
        <v>0</v>
      </c>
      <c r="K21" s="107">
        <f t="shared" ca="1" si="6"/>
        <v>0</v>
      </c>
      <c r="L21" s="107">
        <f t="shared" ca="1" si="6"/>
        <v>0</v>
      </c>
      <c r="M21" s="107">
        <f t="shared" ca="1" si="6"/>
        <v>0</v>
      </c>
      <c r="N21" s="107">
        <f t="shared" ca="1" si="6"/>
        <v>0</v>
      </c>
      <c r="O21" s="107">
        <f t="shared" ca="1" si="6"/>
        <v>0</v>
      </c>
      <c r="P21" s="107">
        <v>1800</v>
      </c>
      <c r="Q21" s="107">
        <f t="shared" ca="1" si="7"/>
        <v>0</v>
      </c>
      <c r="R21" s="107">
        <f t="shared" ca="1" si="7"/>
        <v>0</v>
      </c>
      <c r="S21" s="107">
        <f t="shared" ca="1" si="7"/>
        <v>0</v>
      </c>
      <c r="T21" s="107">
        <v>2000</v>
      </c>
      <c r="U21" s="107">
        <f t="shared" ca="1" si="4"/>
        <v>0</v>
      </c>
      <c r="V21" s="107">
        <v>212.8</v>
      </c>
      <c r="W21" s="107">
        <f ca="1">IFERROR(U21/S21*100,0)</f>
        <v>0</v>
      </c>
      <c r="X21" s="107">
        <v>1046.5</v>
      </c>
      <c r="Y21" s="107">
        <f ca="1">IFERROR(W21/U21*100,0)</f>
        <v>0</v>
      </c>
      <c r="Z21" s="107">
        <v>0</v>
      </c>
      <c r="AA21" s="107">
        <f t="shared" ref="AA21:AE22" ca="1" si="8">IFERROR(Y21/W21*100,0)</f>
        <v>0</v>
      </c>
      <c r="AB21" s="107">
        <f t="shared" si="8"/>
        <v>0</v>
      </c>
      <c r="AC21" s="107">
        <f t="shared" ca="1" si="8"/>
        <v>0</v>
      </c>
      <c r="AD21" s="107">
        <f t="shared" si="8"/>
        <v>0</v>
      </c>
      <c r="AE21" s="107">
        <f t="shared" ca="1" si="8"/>
        <v>0</v>
      </c>
      <c r="AF21" s="101"/>
      <c r="AG21" s="102"/>
      <c r="AH21" s="155"/>
    </row>
    <row r="22" spans="1:34" x14ac:dyDescent="0.3">
      <c r="A22" s="106" t="s">
        <v>170</v>
      </c>
      <c r="B22" s="107">
        <f ca="1">J22+L22+N22+P22+R22+T22+V22+X22+Z22+AB22+AD22+H22</f>
        <v>812.5</v>
      </c>
      <c r="C22" s="107">
        <f ca="1">SUM(H22)</f>
        <v>0</v>
      </c>
      <c r="D22" s="107">
        <f ca="1">E22</f>
        <v>0</v>
      </c>
      <c r="E22" s="107">
        <f ca="1">SUM(I22,K22,M22,O22,Q22,S22,U22,W22,Y22,AA22,AC22,AE22)</f>
        <v>0</v>
      </c>
      <c r="F22" s="107">
        <f ca="1">IFERROR(E22/B22*100,0)</f>
        <v>0</v>
      </c>
      <c r="G22" s="107">
        <f t="shared" ca="1" si="6"/>
        <v>0</v>
      </c>
      <c r="H22" s="107">
        <f t="shared" ca="1" si="6"/>
        <v>0</v>
      </c>
      <c r="I22" s="107">
        <f t="shared" ca="1" si="6"/>
        <v>0</v>
      </c>
      <c r="J22" s="107">
        <f t="shared" ca="1" si="6"/>
        <v>0</v>
      </c>
      <c r="K22" s="107">
        <f t="shared" ca="1" si="6"/>
        <v>0</v>
      </c>
      <c r="L22" s="107">
        <f t="shared" ca="1" si="6"/>
        <v>0</v>
      </c>
      <c r="M22" s="107">
        <f t="shared" ca="1" si="6"/>
        <v>0</v>
      </c>
      <c r="N22" s="107">
        <f t="shared" ca="1" si="6"/>
        <v>0</v>
      </c>
      <c r="O22" s="107">
        <f t="shared" ca="1" si="6"/>
        <v>0</v>
      </c>
      <c r="P22" s="107">
        <f ca="1">IFERROR(N22/L22*100,0)</f>
        <v>0</v>
      </c>
      <c r="Q22" s="107">
        <f t="shared" ca="1" si="7"/>
        <v>0</v>
      </c>
      <c r="R22" s="107">
        <f t="shared" ca="1" si="7"/>
        <v>0</v>
      </c>
      <c r="S22" s="107">
        <f t="shared" ca="1" si="7"/>
        <v>0</v>
      </c>
      <c r="T22" s="107">
        <f ca="1">IFERROR(R22/P22*100,0)</f>
        <v>0</v>
      </c>
      <c r="U22" s="107">
        <f t="shared" ca="1" si="4"/>
        <v>0</v>
      </c>
      <c r="V22" s="107">
        <f t="shared" ca="1" si="4"/>
        <v>0</v>
      </c>
      <c r="W22" s="107">
        <f ca="1">IFERROR(U22/S22*100,0)</f>
        <v>0</v>
      </c>
      <c r="X22" s="107">
        <v>812.5</v>
      </c>
      <c r="Y22" s="107">
        <f ca="1">IFERROR(W22/U22*100,0)</f>
        <v>0</v>
      </c>
      <c r="Z22" s="107">
        <f ca="1">IFERROR(X22/V22*100,0)</f>
        <v>0</v>
      </c>
      <c r="AA22" s="107">
        <f t="shared" ca="1" si="8"/>
        <v>0</v>
      </c>
      <c r="AB22" s="107">
        <f t="shared" ca="1" si="8"/>
        <v>0</v>
      </c>
      <c r="AC22" s="107">
        <f t="shared" ca="1" si="8"/>
        <v>0</v>
      </c>
      <c r="AD22" s="107">
        <f t="shared" ca="1" si="8"/>
        <v>0</v>
      </c>
      <c r="AE22" s="107">
        <f t="shared" ca="1" si="8"/>
        <v>0</v>
      </c>
      <c r="AF22" s="101"/>
      <c r="AG22" s="102"/>
      <c r="AH22" s="155"/>
    </row>
    <row r="23" spans="1:34" s="97" customFormat="1" x14ac:dyDescent="0.3">
      <c r="A23" s="1058" t="s">
        <v>54</v>
      </c>
      <c r="B23" s="1059"/>
      <c r="C23" s="1059"/>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59"/>
      <c r="Z23" s="1059"/>
      <c r="AA23" s="1059"/>
      <c r="AB23" s="1059"/>
      <c r="AC23" s="1059"/>
      <c r="AD23" s="1059"/>
      <c r="AE23" s="1059"/>
      <c r="AF23" s="1060"/>
      <c r="AG23" s="102">
        <f t="shared" si="1"/>
        <v>0</v>
      </c>
      <c r="AH23" s="155">
        <f t="shared" si="2"/>
        <v>0</v>
      </c>
    </row>
    <row r="24" spans="1:34" ht="75" x14ac:dyDescent="0.3">
      <c r="A24" s="98" t="s">
        <v>252</v>
      </c>
      <c r="B24" s="99"/>
      <c r="C24" s="100"/>
      <c r="D24" s="100"/>
      <c r="E24" s="100"/>
      <c r="F24" s="100"/>
      <c r="G24" s="100"/>
      <c r="H24" s="99"/>
      <c r="I24" s="99"/>
      <c r="J24" s="99"/>
      <c r="K24" s="99"/>
      <c r="L24" s="99"/>
      <c r="M24" s="99"/>
      <c r="N24" s="99"/>
      <c r="O24" s="99"/>
      <c r="P24" s="99"/>
      <c r="Q24" s="99"/>
      <c r="R24" s="99"/>
      <c r="S24" s="99"/>
      <c r="T24" s="99"/>
      <c r="U24" s="99"/>
      <c r="V24" s="99"/>
      <c r="W24" s="99"/>
      <c r="X24" s="99"/>
      <c r="Y24" s="99"/>
      <c r="Z24" s="99"/>
      <c r="AA24" s="99"/>
      <c r="AB24" s="99"/>
      <c r="AC24" s="99"/>
      <c r="AD24" s="99"/>
      <c r="AE24" s="99"/>
      <c r="AF24" s="101"/>
      <c r="AG24" s="102">
        <f t="shared" si="1"/>
        <v>0</v>
      </c>
      <c r="AH24" s="155">
        <f t="shared" si="2"/>
        <v>0</v>
      </c>
    </row>
    <row r="25" spans="1:34" x14ac:dyDescent="0.3">
      <c r="A25" s="103" t="s">
        <v>31</v>
      </c>
      <c r="B25" s="104">
        <f ca="1">B26+B27+B28+B29</f>
        <v>167700.52762000001</v>
      </c>
      <c r="C25" s="104">
        <f ca="1">C26+C27+C28+C29</f>
        <v>53964.225720000002</v>
      </c>
      <c r="D25" s="104">
        <f ca="1">D26+D27+D28+D29</f>
        <v>79535.240000000005</v>
      </c>
      <c r="E25" s="104">
        <f ca="1">E26+E27+E28+E29</f>
        <v>79535.240000000005</v>
      </c>
      <c r="F25" s="105">
        <f ca="1">IFERROR(E25/B25*100,0)</f>
        <v>47.426946789471288</v>
      </c>
      <c r="G25" s="105">
        <f ca="1">IFERROR(E25/C25*100,0)</f>
        <v>147.38512215977738</v>
      </c>
      <c r="H25" s="104">
        <f ca="1">H26+H27+H28+H29</f>
        <v>22611.2346</v>
      </c>
      <c r="I25" s="104">
        <f t="shared" ref="I25:AE25" ca="1" si="9">I26+I27+I28+I29</f>
        <v>38528.04</v>
      </c>
      <c r="J25" s="104">
        <f t="shared" ca="1" si="9"/>
        <v>16302.743499999999</v>
      </c>
      <c r="K25" s="104">
        <f t="shared" ca="1" si="9"/>
        <v>13743.5</v>
      </c>
      <c r="L25" s="104">
        <f t="shared" si="9"/>
        <v>15050.24762</v>
      </c>
      <c r="M25" s="104">
        <f t="shared" si="9"/>
        <v>13514.329999999998</v>
      </c>
      <c r="N25" s="104">
        <f t="shared" si="9"/>
        <v>20456.2791</v>
      </c>
      <c r="O25" s="104">
        <f t="shared" si="9"/>
        <v>11891.699999999999</v>
      </c>
      <c r="P25" s="104">
        <f t="shared" si="9"/>
        <v>15829.979999999998</v>
      </c>
      <c r="Q25" s="104">
        <f t="shared" si="9"/>
        <v>3266.2800000000007</v>
      </c>
      <c r="R25" s="104">
        <f t="shared" si="9"/>
        <v>14647.06</v>
      </c>
      <c r="S25" s="104">
        <f t="shared" si="9"/>
        <v>0</v>
      </c>
      <c r="T25" s="104">
        <f t="shared" si="9"/>
        <v>13826.7618</v>
      </c>
      <c r="U25" s="104">
        <f t="shared" si="9"/>
        <v>0</v>
      </c>
      <c r="V25" s="104">
        <f t="shared" si="9"/>
        <v>11580.4318</v>
      </c>
      <c r="W25" s="104">
        <f t="shared" si="9"/>
        <v>0</v>
      </c>
      <c r="X25" s="104">
        <f t="shared" si="9"/>
        <v>7563.6363999999994</v>
      </c>
      <c r="Y25" s="104">
        <f t="shared" si="9"/>
        <v>0</v>
      </c>
      <c r="Z25" s="104">
        <f t="shared" si="9"/>
        <v>10458.8235</v>
      </c>
      <c r="AA25" s="104">
        <f t="shared" si="9"/>
        <v>0</v>
      </c>
      <c r="AB25" s="104">
        <f t="shared" si="9"/>
        <v>10233.7395</v>
      </c>
      <c r="AC25" s="104">
        <f t="shared" si="9"/>
        <v>0</v>
      </c>
      <c r="AD25" s="104">
        <f t="shared" si="9"/>
        <v>9338.4897999999994</v>
      </c>
      <c r="AE25" s="104">
        <f t="shared" si="9"/>
        <v>0</v>
      </c>
      <c r="AF25" s="101"/>
      <c r="AG25" s="102">
        <f t="shared" ca="1" si="1"/>
        <v>-198.89999999997235</v>
      </c>
      <c r="AH25" s="155">
        <f ca="1">C25-E25</f>
        <v>-25571.014280000003</v>
      </c>
    </row>
    <row r="26" spans="1:34" x14ac:dyDescent="0.3">
      <c r="A26" s="106" t="s">
        <v>169</v>
      </c>
      <c r="B26" s="107">
        <f ca="1">B32+B38+B44+B50+B56</f>
        <v>0</v>
      </c>
      <c r="C26" s="107">
        <f ca="1">C32+C38+C44+C50+C56</f>
        <v>0</v>
      </c>
      <c r="D26" s="107">
        <f>D32+D38+D44+D50+D56</f>
        <v>0</v>
      </c>
      <c r="E26" s="107">
        <f>E32+E38+E44+E50+E56</f>
        <v>0</v>
      </c>
      <c r="F26" s="107">
        <f ca="1">IFERROR(E26/B26*100,0)</f>
        <v>0</v>
      </c>
      <c r="G26" s="107">
        <f ca="1">IFERROR(E26/C26*100,0)</f>
        <v>0</v>
      </c>
      <c r="H26" s="107">
        <f t="shared" ref="H26:AE29" ca="1" si="10">H32+H38+H44+H50+H56</f>
        <v>0</v>
      </c>
      <c r="I26" s="107">
        <f t="shared" si="10"/>
        <v>0</v>
      </c>
      <c r="J26" s="107">
        <f t="shared" si="10"/>
        <v>0</v>
      </c>
      <c r="K26" s="107">
        <f t="shared" si="10"/>
        <v>0</v>
      </c>
      <c r="L26" s="107">
        <f t="shared" si="10"/>
        <v>0</v>
      </c>
      <c r="M26" s="107">
        <f t="shared" si="10"/>
        <v>0</v>
      </c>
      <c r="N26" s="107">
        <f t="shared" si="10"/>
        <v>0</v>
      </c>
      <c r="O26" s="107">
        <f t="shared" si="10"/>
        <v>0</v>
      </c>
      <c r="P26" s="107">
        <f t="shared" si="10"/>
        <v>0</v>
      </c>
      <c r="Q26" s="107">
        <f t="shared" si="10"/>
        <v>0</v>
      </c>
      <c r="R26" s="107">
        <f t="shared" si="10"/>
        <v>0</v>
      </c>
      <c r="S26" s="107">
        <f t="shared" si="10"/>
        <v>0</v>
      </c>
      <c r="T26" s="107">
        <f t="shared" si="10"/>
        <v>0</v>
      </c>
      <c r="U26" s="107">
        <f t="shared" si="10"/>
        <v>0</v>
      </c>
      <c r="V26" s="107">
        <f t="shared" si="10"/>
        <v>0</v>
      </c>
      <c r="W26" s="107">
        <f t="shared" si="10"/>
        <v>0</v>
      </c>
      <c r="X26" s="107">
        <f t="shared" si="10"/>
        <v>0</v>
      </c>
      <c r="Y26" s="107">
        <f t="shared" si="10"/>
        <v>0</v>
      </c>
      <c r="Z26" s="107">
        <f t="shared" si="10"/>
        <v>0</v>
      </c>
      <c r="AA26" s="107">
        <f t="shared" si="10"/>
        <v>0</v>
      </c>
      <c r="AB26" s="107">
        <f t="shared" si="10"/>
        <v>0</v>
      </c>
      <c r="AC26" s="107">
        <f t="shared" si="10"/>
        <v>0</v>
      </c>
      <c r="AD26" s="107">
        <f t="shared" si="10"/>
        <v>0</v>
      </c>
      <c r="AE26" s="107">
        <f t="shared" si="10"/>
        <v>0</v>
      </c>
      <c r="AF26" s="101"/>
      <c r="AG26" s="102">
        <f t="shared" ca="1" si="1"/>
        <v>0</v>
      </c>
      <c r="AH26" s="155">
        <f t="shared" ca="1" si="2"/>
        <v>0</v>
      </c>
    </row>
    <row r="27" spans="1:34" x14ac:dyDescent="0.3">
      <c r="A27" s="106" t="s">
        <v>32</v>
      </c>
      <c r="B27" s="107">
        <f ca="1">B33+B39+B45+B51+B57</f>
        <v>1741.1999999999998</v>
      </c>
      <c r="C27" s="107">
        <f ca="1">H27+J27+L27</f>
        <v>0</v>
      </c>
      <c r="D27" s="107">
        <f t="shared" ref="D27:E29" ca="1" si="11">D33+D39+D45+D51+D57</f>
        <v>0</v>
      </c>
      <c r="E27" s="107">
        <f t="shared" ca="1" si="11"/>
        <v>0</v>
      </c>
      <c r="F27" s="107">
        <f ca="1">IFERROR(E27/B27*100,0)</f>
        <v>0</v>
      </c>
      <c r="G27" s="107">
        <f ca="1">IFERROR(E27/C27*100,0)</f>
        <v>0</v>
      </c>
      <c r="H27" s="107">
        <f t="shared" ca="1" si="10"/>
        <v>0</v>
      </c>
      <c r="I27" s="107">
        <f t="shared" ca="1" si="10"/>
        <v>0</v>
      </c>
      <c r="J27" s="107">
        <f t="shared" ca="1" si="10"/>
        <v>0</v>
      </c>
      <c r="K27" s="107">
        <f t="shared" ca="1" si="10"/>
        <v>0</v>
      </c>
      <c r="L27" s="107">
        <f t="shared" si="10"/>
        <v>0</v>
      </c>
      <c r="M27" s="107">
        <f t="shared" si="10"/>
        <v>0</v>
      </c>
      <c r="N27" s="107">
        <f t="shared" si="10"/>
        <v>0</v>
      </c>
      <c r="O27" s="107">
        <f t="shared" si="10"/>
        <v>0</v>
      </c>
      <c r="P27" s="107">
        <f t="shared" si="10"/>
        <v>0</v>
      </c>
      <c r="Q27" s="107">
        <f t="shared" si="10"/>
        <v>1408.6100000000001</v>
      </c>
      <c r="R27" s="107">
        <f t="shared" si="10"/>
        <v>1090.5999999999999</v>
      </c>
      <c r="S27" s="107">
        <f t="shared" si="10"/>
        <v>0</v>
      </c>
      <c r="T27" s="107">
        <f t="shared" si="10"/>
        <v>650.6</v>
      </c>
      <c r="U27" s="107">
        <f t="shared" si="10"/>
        <v>0</v>
      </c>
      <c r="V27" s="107">
        <f t="shared" si="10"/>
        <v>0</v>
      </c>
      <c r="W27" s="107">
        <f t="shared" si="10"/>
        <v>0</v>
      </c>
      <c r="X27" s="107">
        <f t="shared" si="10"/>
        <v>0</v>
      </c>
      <c r="Y27" s="107">
        <f t="shared" si="10"/>
        <v>0</v>
      </c>
      <c r="Z27" s="107">
        <f t="shared" si="10"/>
        <v>0</v>
      </c>
      <c r="AA27" s="107">
        <f t="shared" si="10"/>
        <v>0</v>
      </c>
      <c r="AB27" s="107">
        <f t="shared" si="10"/>
        <v>0</v>
      </c>
      <c r="AC27" s="107">
        <f t="shared" si="10"/>
        <v>0</v>
      </c>
      <c r="AD27" s="107">
        <f t="shared" si="10"/>
        <v>0</v>
      </c>
      <c r="AE27" s="107">
        <f t="shared" si="10"/>
        <v>0</v>
      </c>
      <c r="AF27" s="101"/>
      <c r="AG27" s="102">
        <f t="shared" ca="1" si="1"/>
        <v>-1.1368683772161603E-13</v>
      </c>
      <c r="AH27" s="155">
        <f t="shared" ca="1" si="2"/>
        <v>0</v>
      </c>
    </row>
    <row r="28" spans="1:34" x14ac:dyDescent="0.3">
      <c r="A28" s="106" t="s">
        <v>33</v>
      </c>
      <c r="B28" s="107">
        <f ca="1">B34+B40+B46+B52+B58</f>
        <v>165959.32762</v>
      </c>
      <c r="C28" s="107">
        <f ca="1">H28+J28+L28</f>
        <v>53964.225720000002</v>
      </c>
      <c r="D28" s="107">
        <f t="shared" ca="1" si="11"/>
        <v>79535.240000000005</v>
      </c>
      <c r="E28" s="107">
        <f t="shared" ca="1" si="11"/>
        <v>79535.240000000005</v>
      </c>
      <c r="F28" s="107">
        <f ca="1">IFERROR(E28/B28*100,0)</f>
        <v>47.92453737949171</v>
      </c>
      <c r="G28" s="107">
        <f ca="1">IFERROR(E28/C28*100,0)</f>
        <v>147.38512215977738</v>
      </c>
      <c r="H28" s="107">
        <f t="shared" ca="1" si="10"/>
        <v>22611.2346</v>
      </c>
      <c r="I28" s="107">
        <f t="shared" ca="1" si="10"/>
        <v>38528.04</v>
      </c>
      <c r="J28" s="107">
        <f t="shared" ca="1" si="10"/>
        <v>16302.743499999999</v>
      </c>
      <c r="K28" s="107">
        <f t="shared" ca="1" si="10"/>
        <v>13743.5</v>
      </c>
      <c r="L28" s="107">
        <f t="shared" si="10"/>
        <v>15050.24762</v>
      </c>
      <c r="M28" s="107">
        <f t="shared" si="10"/>
        <v>13514.329999999998</v>
      </c>
      <c r="N28" s="107">
        <f t="shared" si="10"/>
        <v>20257.379099999998</v>
      </c>
      <c r="O28" s="107">
        <f t="shared" si="10"/>
        <v>11891.699999999999</v>
      </c>
      <c r="P28" s="107">
        <f t="shared" si="10"/>
        <v>15829.979999999998</v>
      </c>
      <c r="Q28" s="107">
        <f t="shared" si="10"/>
        <v>1857.6700000000003</v>
      </c>
      <c r="R28" s="107">
        <f t="shared" si="10"/>
        <v>13556.46</v>
      </c>
      <c r="S28" s="107">
        <f t="shared" si="10"/>
        <v>0</v>
      </c>
      <c r="T28" s="107">
        <f t="shared" si="10"/>
        <v>13176.1618</v>
      </c>
      <c r="U28" s="107">
        <f t="shared" si="10"/>
        <v>0</v>
      </c>
      <c r="V28" s="107">
        <f t="shared" si="10"/>
        <v>11580.4318</v>
      </c>
      <c r="W28" s="107">
        <f t="shared" si="10"/>
        <v>0</v>
      </c>
      <c r="X28" s="107">
        <f t="shared" si="10"/>
        <v>7563.6363999999994</v>
      </c>
      <c r="Y28" s="107">
        <f t="shared" si="10"/>
        <v>0</v>
      </c>
      <c r="Z28" s="107">
        <f t="shared" si="10"/>
        <v>10458.8235</v>
      </c>
      <c r="AA28" s="107">
        <f t="shared" si="10"/>
        <v>0</v>
      </c>
      <c r="AB28" s="107">
        <f t="shared" si="10"/>
        <v>10233.7395</v>
      </c>
      <c r="AC28" s="107">
        <f t="shared" si="10"/>
        <v>0</v>
      </c>
      <c r="AD28" s="107">
        <f t="shared" si="10"/>
        <v>9338.4897999999994</v>
      </c>
      <c r="AE28" s="107">
        <f t="shared" si="10"/>
        <v>0</v>
      </c>
      <c r="AF28" s="101"/>
      <c r="AG28" s="102">
        <f t="shared" ca="1" si="1"/>
        <v>2.1827872842550278E-11</v>
      </c>
      <c r="AH28" s="155">
        <f ca="1">C28-E28</f>
        <v>-25571.014280000003</v>
      </c>
    </row>
    <row r="29" spans="1:34" x14ac:dyDescent="0.3">
      <c r="A29" s="106" t="s">
        <v>170</v>
      </c>
      <c r="B29" s="107">
        <f>B35+B41+B47+B53+B59</f>
        <v>0</v>
      </c>
      <c r="C29" s="107">
        <f ca="1">H29+J29+L29</f>
        <v>0</v>
      </c>
      <c r="D29" s="107">
        <f t="shared" si="11"/>
        <v>0</v>
      </c>
      <c r="E29" s="107">
        <f t="shared" si="11"/>
        <v>0</v>
      </c>
      <c r="F29" s="107">
        <f>IFERROR(E29/B29*100,0)</f>
        <v>0</v>
      </c>
      <c r="G29" s="107">
        <f ca="1">IFERROR(E29/C29*100,0)</f>
        <v>0</v>
      </c>
      <c r="H29" s="107">
        <f t="shared" ca="1" si="10"/>
        <v>0</v>
      </c>
      <c r="I29" s="107">
        <f t="shared" ca="1" si="10"/>
        <v>0</v>
      </c>
      <c r="J29" s="107">
        <f t="shared" ca="1" si="10"/>
        <v>0</v>
      </c>
      <c r="K29" s="107">
        <f t="shared" ca="1" si="10"/>
        <v>0</v>
      </c>
      <c r="L29" s="107">
        <f t="shared" si="10"/>
        <v>0</v>
      </c>
      <c r="M29" s="107">
        <f t="shared" si="10"/>
        <v>0</v>
      </c>
      <c r="N29" s="107">
        <f t="shared" si="10"/>
        <v>198.9</v>
      </c>
      <c r="O29" s="107">
        <f t="shared" si="10"/>
        <v>0</v>
      </c>
      <c r="P29" s="107">
        <f t="shared" si="10"/>
        <v>0</v>
      </c>
      <c r="Q29" s="107">
        <f t="shared" si="10"/>
        <v>0</v>
      </c>
      <c r="R29" s="107">
        <f t="shared" si="10"/>
        <v>0</v>
      </c>
      <c r="S29" s="107">
        <f t="shared" si="10"/>
        <v>0</v>
      </c>
      <c r="T29" s="107">
        <f t="shared" si="10"/>
        <v>0</v>
      </c>
      <c r="U29" s="107">
        <f t="shared" si="10"/>
        <v>0</v>
      </c>
      <c r="V29" s="107">
        <f t="shared" si="10"/>
        <v>0</v>
      </c>
      <c r="W29" s="107">
        <f t="shared" si="10"/>
        <v>0</v>
      </c>
      <c r="X29" s="107">
        <f t="shared" si="10"/>
        <v>0</v>
      </c>
      <c r="Y29" s="107">
        <f t="shared" si="10"/>
        <v>0</v>
      </c>
      <c r="Z29" s="107">
        <f t="shared" si="10"/>
        <v>0</v>
      </c>
      <c r="AA29" s="107">
        <f t="shared" si="10"/>
        <v>0</v>
      </c>
      <c r="AB29" s="107">
        <f t="shared" si="10"/>
        <v>0</v>
      </c>
      <c r="AC29" s="107">
        <f t="shared" si="10"/>
        <v>0</v>
      </c>
      <c r="AD29" s="107">
        <f t="shared" si="10"/>
        <v>0</v>
      </c>
      <c r="AE29" s="107">
        <f t="shared" si="10"/>
        <v>0</v>
      </c>
      <c r="AF29" s="101"/>
      <c r="AG29" s="102">
        <f t="shared" ca="1" si="1"/>
        <v>-198.9</v>
      </c>
      <c r="AH29" s="155">
        <f t="shared" ca="1" si="2"/>
        <v>0</v>
      </c>
    </row>
    <row r="30" spans="1:34" ht="190.5" customHeight="1" x14ac:dyDescent="0.3">
      <c r="A30" s="790" t="s">
        <v>253</v>
      </c>
      <c r="B30" s="109"/>
      <c r="C30" s="110"/>
      <c r="D30" s="110"/>
      <c r="E30" s="110"/>
      <c r="F30" s="110"/>
      <c r="G30" s="11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725" t="s">
        <v>532</v>
      </c>
      <c r="AG30" s="102">
        <f t="shared" si="1"/>
        <v>0</v>
      </c>
      <c r="AH30" s="155">
        <f>C30-E30</f>
        <v>0</v>
      </c>
    </row>
    <row r="31" spans="1:34" x14ac:dyDescent="0.3">
      <c r="A31" s="112" t="s">
        <v>31</v>
      </c>
      <c r="B31" s="642">
        <f ca="1">B33+B34+B32+B35</f>
        <v>2603.5754000000002</v>
      </c>
      <c r="C31" s="642">
        <f ca="1">C33+C34+C32+C35</f>
        <v>1672.579</v>
      </c>
      <c r="D31" s="820">
        <f>D33+D34+D32+D35</f>
        <v>1126.55</v>
      </c>
      <c r="E31" s="121">
        <f>E33+E34+E32+E35</f>
        <v>1126.55</v>
      </c>
      <c r="F31" s="113">
        <f ca="1">IFERROR(E31/B31*100,0)</f>
        <v>43.269344148819343</v>
      </c>
      <c r="G31" s="113">
        <f ca="1">IFERROR(E31/C31*100,0)</f>
        <v>67.354068178543429</v>
      </c>
      <c r="H31" s="113">
        <f t="shared" ref="H31:AE31" ca="1" si="12">H33+H34+H32+H35</f>
        <v>130.49279999999999</v>
      </c>
      <c r="I31" s="113">
        <f t="shared" si="12"/>
        <v>130.49</v>
      </c>
      <c r="J31" s="113">
        <f t="shared" si="12"/>
        <v>1130.4317000000001</v>
      </c>
      <c r="K31" s="113">
        <f t="shared" si="12"/>
        <v>141.19999999999999</v>
      </c>
      <c r="L31" s="113">
        <f t="shared" si="12"/>
        <v>242.60720000000001</v>
      </c>
      <c r="M31" s="113">
        <f t="shared" si="12"/>
        <v>295.3</v>
      </c>
      <c r="N31" s="113">
        <f t="shared" si="12"/>
        <v>169.04730000000001</v>
      </c>
      <c r="O31" s="113">
        <f t="shared" si="12"/>
        <v>333.9</v>
      </c>
      <c r="P31" s="113">
        <f>P33+P34+P32+P35</f>
        <v>181.43</v>
      </c>
      <c r="Q31" s="113">
        <f t="shared" si="12"/>
        <v>225.66</v>
      </c>
      <c r="R31" s="113">
        <f t="shared" si="12"/>
        <v>0</v>
      </c>
      <c r="S31" s="113">
        <f t="shared" si="12"/>
        <v>0</v>
      </c>
      <c r="T31" s="113">
        <f t="shared" si="12"/>
        <v>0</v>
      </c>
      <c r="U31" s="113">
        <f t="shared" si="12"/>
        <v>0</v>
      </c>
      <c r="V31" s="113">
        <f t="shared" si="12"/>
        <v>0</v>
      </c>
      <c r="W31" s="113">
        <f t="shared" si="12"/>
        <v>0</v>
      </c>
      <c r="X31" s="113">
        <f t="shared" si="12"/>
        <v>164.81460000000001</v>
      </c>
      <c r="Y31" s="113">
        <f t="shared" si="12"/>
        <v>0</v>
      </c>
      <c r="Z31" s="113">
        <f t="shared" si="12"/>
        <v>292.48169999999999</v>
      </c>
      <c r="AA31" s="113">
        <f t="shared" si="12"/>
        <v>0</v>
      </c>
      <c r="AB31" s="113">
        <f t="shared" si="12"/>
        <v>275.75209999999998</v>
      </c>
      <c r="AC31" s="113">
        <f t="shared" si="12"/>
        <v>0</v>
      </c>
      <c r="AD31" s="113">
        <f t="shared" si="12"/>
        <v>16.518000000000001</v>
      </c>
      <c r="AE31" s="113">
        <f t="shared" si="12"/>
        <v>0</v>
      </c>
      <c r="AF31" s="29"/>
      <c r="AG31" s="102">
        <f t="shared" ca="1" si="1"/>
        <v>1.4210854715202004E-13</v>
      </c>
      <c r="AH31" s="155">
        <f ca="1">C31-E31</f>
        <v>546.029</v>
      </c>
    </row>
    <row r="32" spans="1:34" x14ac:dyDescent="0.3">
      <c r="A32" s="115" t="s">
        <v>169</v>
      </c>
      <c r="B32" s="116">
        <f ca="1">J32+L32+N32+P32+R32+T32+V32+X32+Z32+AB32+AD32+H32</f>
        <v>0</v>
      </c>
      <c r="C32" s="117">
        <f ca="1">H32+J32+L32</f>
        <v>0</v>
      </c>
      <c r="D32" s="118">
        <f>E32</f>
        <v>0</v>
      </c>
      <c r="E32" s="117">
        <f>SUM(I32,K32,M32,O32,Q32,S32,U32,W32,Y32,AA32,AC32,AE32)</f>
        <v>0</v>
      </c>
      <c r="F32" s="116">
        <f ca="1">IFERROR(E32/B32*100,0)</f>
        <v>0</v>
      </c>
      <c r="G32" s="116">
        <f ca="1">IFERROR(E32/C32*100,0)</f>
        <v>0</v>
      </c>
      <c r="H32" s="116">
        <f ca="1">IFERROR(F32/D32*100,0)</f>
        <v>0</v>
      </c>
      <c r="I32" s="111">
        <v>0</v>
      </c>
      <c r="J32" s="111">
        <v>0</v>
      </c>
      <c r="K32" s="111">
        <v>0</v>
      </c>
      <c r="L32" s="111">
        <v>0</v>
      </c>
      <c r="M32" s="111">
        <v>0</v>
      </c>
      <c r="N32" s="111">
        <v>0</v>
      </c>
      <c r="O32" s="111">
        <v>0</v>
      </c>
      <c r="P32" s="111">
        <v>0</v>
      </c>
      <c r="Q32" s="111">
        <v>0</v>
      </c>
      <c r="R32" s="111">
        <v>0</v>
      </c>
      <c r="S32" s="111">
        <v>0</v>
      </c>
      <c r="T32" s="111">
        <v>0</v>
      </c>
      <c r="U32" s="111">
        <v>0</v>
      </c>
      <c r="V32" s="111">
        <v>0</v>
      </c>
      <c r="W32" s="111">
        <v>0</v>
      </c>
      <c r="X32" s="111">
        <v>0</v>
      </c>
      <c r="Y32" s="111">
        <v>0</v>
      </c>
      <c r="Z32" s="111">
        <v>0</v>
      </c>
      <c r="AA32" s="111">
        <v>0</v>
      </c>
      <c r="AB32" s="111">
        <v>0</v>
      </c>
      <c r="AC32" s="111">
        <v>0</v>
      </c>
      <c r="AD32" s="111">
        <v>0</v>
      </c>
      <c r="AE32" s="111">
        <v>0</v>
      </c>
      <c r="AF32" s="29"/>
      <c r="AG32" s="102">
        <f t="shared" ca="1" si="1"/>
        <v>0</v>
      </c>
      <c r="AH32" s="155">
        <f t="shared" ca="1" si="2"/>
        <v>0</v>
      </c>
    </row>
    <row r="33" spans="1:35" x14ac:dyDescent="0.3">
      <c r="A33" s="115" t="s">
        <v>32</v>
      </c>
      <c r="B33" s="116">
        <f>J33+L33+N33+P33+R33+T33+V33+X33+Z33+AB33+AD33+H33</f>
        <v>0</v>
      </c>
      <c r="C33" s="117">
        <f>H33+J33+L33</f>
        <v>0</v>
      </c>
      <c r="D33" s="118">
        <f>E33</f>
        <v>0</v>
      </c>
      <c r="E33" s="117">
        <f>SUM(I33,K33,M33,O33,Q33,S33,U33,W33,Y33,AA33,AC33,AE33)</f>
        <v>0</v>
      </c>
      <c r="F33" s="116">
        <f>IFERROR(E33/B33*100,0)</f>
        <v>0</v>
      </c>
      <c r="G33" s="116">
        <f>IFERROR(E33/C33*100,0)</f>
        <v>0</v>
      </c>
      <c r="H33" s="111">
        <v>0</v>
      </c>
      <c r="I33" s="111">
        <v>0</v>
      </c>
      <c r="J33" s="111">
        <v>0</v>
      </c>
      <c r="K33" s="111">
        <v>0</v>
      </c>
      <c r="L33" s="111">
        <v>0</v>
      </c>
      <c r="M33" s="111">
        <v>0</v>
      </c>
      <c r="N33" s="111">
        <v>0</v>
      </c>
      <c r="O33" s="111">
        <v>0</v>
      </c>
      <c r="P33" s="111">
        <v>0</v>
      </c>
      <c r="Q33" s="111">
        <v>0</v>
      </c>
      <c r="R33" s="111">
        <v>0</v>
      </c>
      <c r="S33" s="111">
        <v>0</v>
      </c>
      <c r="T33" s="111">
        <v>0</v>
      </c>
      <c r="U33" s="111">
        <v>0</v>
      </c>
      <c r="V33" s="111">
        <v>0</v>
      </c>
      <c r="W33" s="111">
        <v>0</v>
      </c>
      <c r="X33" s="111">
        <v>0</v>
      </c>
      <c r="Y33" s="111">
        <v>0</v>
      </c>
      <c r="Z33" s="111">
        <v>0</v>
      </c>
      <c r="AA33" s="111">
        <v>0</v>
      </c>
      <c r="AB33" s="111">
        <v>0</v>
      </c>
      <c r="AC33" s="111">
        <v>0</v>
      </c>
      <c r="AD33" s="111">
        <v>0</v>
      </c>
      <c r="AE33" s="111">
        <v>0</v>
      </c>
      <c r="AF33" s="29"/>
      <c r="AG33" s="102">
        <f t="shared" si="1"/>
        <v>0</v>
      </c>
      <c r="AH33" s="155">
        <f t="shared" si="2"/>
        <v>0</v>
      </c>
    </row>
    <row r="34" spans="1:35" x14ac:dyDescent="0.3">
      <c r="A34" s="115" t="s">
        <v>33</v>
      </c>
      <c r="B34" s="116">
        <f>J34+L34+N34+P34+R34+T34+V34+X34+Z34+AB34+AD34+H34</f>
        <v>2603.5754000000002</v>
      </c>
      <c r="C34" s="117">
        <f>H34+J34+L34+N34</f>
        <v>1672.579</v>
      </c>
      <c r="D34" s="118">
        <f>E34</f>
        <v>1126.55</v>
      </c>
      <c r="E34" s="707">
        <f>SUM(I34,K34,M34,O34,Q34,S34,U34,W34,Y34,AA34,AC34,AE34)</f>
        <v>1126.55</v>
      </c>
      <c r="F34" s="116">
        <f>IFERROR(E34/B34*100,0)</f>
        <v>43.269344148819343</v>
      </c>
      <c r="G34" s="116">
        <f>IFERROR(E34/C34*100,0)</f>
        <v>67.354068178543429</v>
      </c>
      <c r="H34" s="111">
        <v>130.49279999999999</v>
      </c>
      <c r="I34" s="721">
        <v>130.49</v>
      </c>
      <c r="J34" s="111">
        <v>1130.4317000000001</v>
      </c>
      <c r="K34" s="111">
        <v>141.19999999999999</v>
      </c>
      <c r="L34" s="111">
        <v>242.60720000000001</v>
      </c>
      <c r="M34" s="111">
        <v>295.3</v>
      </c>
      <c r="N34" s="111">
        <v>169.04730000000001</v>
      </c>
      <c r="O34" s="111">
        <v>333.9</v>
      </c>
      <c r="P34" s="111">
        <v>181.43</v>
      </c>
      <c r="Q34" s="111">
        <v>225.66</v>
      </c>
      <c r="R34" s="111">
        <v>0</v>
      </c>
      <c r="S34" s="111">
        <v>0</v>
      </c>
      <c r="T34" s="111">
        <v>0</v>
      </c>
      <c r="U34" s="111">
        <v>0</v>
      </c>
      <c r="V34" s="111">
        <v>0</v>
      </c>
      <c r="W34" s="111">
        <v>0</v>
      </c>
      <c r="X34" s="111">
        <v>164.81460000000001</v>
      </c>
      <c r="Y34" s="111">
        <v>0</v>
      </c>
      <c r="Z34" s="111">
        <v>292.48169999999999</v>
      </c>
      <c r="AA34" s="111">
        <v>0</v>
      </c>
      <c r="AB34" s="111">
        <v>275.75209999999998</v>
      </c>
      <c r="AC34" s="111">
        <v>0</v>
      </c>
      <c r="AD34" s="111">
        <v>16.518000000000001</v>
      </c>
      <c r="AE34" s="111">
        <v>0</v>
      </c>
      <c r="AF34" s="29"/>
      <c r="AG34" s="102">
        <f>B34-H34-J34-L34-N34-P34-R34-T34-V34-X34-Z34-AB34-AD34</f>
        <v>1.4210854715202004E-13</v>
      </c>
      <c r="AH34" s="736">
        <f>C34-E34</f>
        <v>546.029</v>
      </c>
      <c r="AI34" s="729">
        <v>0</v>
      </c>
    </row>
    <row r="35" spans="1:35" x14ac:dyDescent="0.3">
      <c r="A35" s="115" t="s">
        <v>170</v>
      </c>
      <c r="B35" s="116">
        <v>0</v>
      </c>
      <c r="C35" s="116">
        <v>0</v>
      </c>
      <c r="D35" s="116">
        <v>0</v>
      </c>
      <c r="E35" s="116">
        <v>0</v>
      </c>
      <c r="F35" s="116">
        <v>0</v>
      </c>
      <c r="G35" s="116">
        <v>0</v>
      </c>
      <c r="H35" s="116">
        <v>0</v>
      </c>
      <c r="I35" s="116">
        <v>0</v>
      </c>
      <c r="J35" s="116">
        <v>0</v>
      </c>
      <c r="K35" s="116">
        <v>0</v>
      </c>
      <c r="L35" s="116">
        <v>0</v>
      </c>
      <c r="M35" s="116">
        <v>0</v>
      </c>
      <c r="N35" s="116">
        <v>0</v>
      </c>
      <c r="O35" s="116">
        <v>0</v>
      </c>
      <c r="P35" s="116">
        <v>0</v>
      </c>
      <c r="Q35" s="116">
        <v>0</v>
      </c>
      <c r="R35" s="116">
        <v>0</v>
      </c>
      <c r="S35" s="116">
        <v>0</v>
      </c>
      <c r="T35" s="116">
        <v>0</v>
      </c>
      <c r="U35" s="116">
        <v>0</v>
      </c>
      <c r="V35" s="116">
        <v>0</v>
      </c>
      <c r="W35" s="116">
        <v>0</v>
      </c>
      <c r="X35" s="116">
        <v>0</v>
      </c>
      <c r="Y35" s="116">
        <v>0</v>
      </c>
      <c r="Z35" s="116">
        <v>0</v>
      </c>
      <c r="AA35" s="116">
        <v>0</v>
      </c>
      <c r="AB35" s="116">
        <v>0</v>
      </c>
      <c r="AC35" s="116">
        <v>0</v>
      </c>
      <c r="AD35" s="116">
        <v>0</v>
      </c>
      <c r="AE35" s="116">
        <v>0</v>
      </c>
      <c r="AF35" s="29"/>
      <c r="AG35" s="102">
        <f>B35-H35-J35-L35-N35-P35-R35-T35-V35-X35-Z35-AB35-AD35</f>
        <v>0</v>
      </c>
      <c r="AH35" s="155">
        <f t="shared" si="2"/>
        <v>0</v>
      </c>
    </row>
    <row r="36" spans="1:35" ht="294.75" customHeight="1" x14ac:dyDescent="0.3">
      <c r="A36" s="821" t="s">
        <v>254</v>
      </c>
      <c r="B36" s="113"/>
      <c r="C36" s="121"/>
      <c r="D36" s="121"/>
      <c r="E36" s="121"/>
      <c r="F36" s="121"/>
      <c r="G36" s="12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573" t="s">
        <v>533</v>
      </c>
      <c r="AG36" s="102">
        <f t="shared" si="1"/>
        <v>0</v>
      </c>
      <c r="AH36" s="155">
        <f t="shared" si="2"/>
        <v>0</v>
      </c>
    </row>
    <row r="37" spans="1:35" x14ac:dyDescent="0.3">
      <c r="A37" s="112" t="s">
        <v>31</v>
      </c>
      <c r="B37" s="113">
        <f>B39+B40+B38+B41</f>
        <v>162207.25</v>
      </c>
      <c r="C37" s="113">
        <f>C39+C40+C38+C41</f>
        <v>51906.52</v>
      </c>
      <c r="D37" s="113">
        <f>D39+D40+D38+D41</f>
        <v>78053.680000000008</v>
      </c>
      <c r="E37" s="113">
        <f>E39+E40+E38+E41</f>
        <v>78053.680000000008</v>
      </c>
      <c r="F37" s="113">
        <f>IFERROR(E37/B37*100,0)</f>
        <v>48.119723378578954</v>
      </c>
      <c r="G37" s="113">
        <f>IFERROR(E37/C37*100,0)</f>
        <v>150.3735561544099</v>
      </c>
      <c r="H37" s="113">
        <f t="shared" ref="H37:AE37" si="13">H39+H40+H38+H41</f>
        <v>22467.919999999998</v>
      </c>
      <c r="I37" s="113">
        <f t="shared" si="13"/>
        <v>38397.550000000003</v>
      </c>
      <c r="J37" s="113">
        <f t="shared" si="13"/>
        <v>15159.49</v>
      </c>
      <c r="K37" s="113">
        <f t="shared" si="13"/>
        <v>13602.3</v>
      </c>
      <c r="L37" s="113">
        <f t="shared" si="13"/>
        <v>14279.11</v>
      </c>
      <c r="M37" s="113">
        <f t="shared" si="13"/>
        <v>13188.3</v>
      </c>
      <c r="N37" s="113">
        <f t="shared" si="13"/>
        <v>20075.509999999998</v>
      </c>
      <c r="O37" s="113">
        <f t="shared" si="13"/>
        <v>11509.9</v>
      </c>
      <c r="P37" s="113">
        <f t="shared" si="13"/>
        <v>15209.13</v>
      </c>
      <c r="Q37" s="113">
        <f t="shared" si="13"/>
        <v>2764.2400000000002</v>
      </c>
      <c r="R37" s="113">
        <f t="shared" si="13"/>
        <v>13543.64</v>
      </c>
      <c r="S37" s="113">
        <f t="shared" si="13"/>
        <v>0</v>
      </c>
      <c r="T37" s="113">
        <f t="shared" si="13"/>
        <v>13163.34</v>
      </c>
      <c r="U37" s="113">
        <f t="shared" si="13"/>
        <v>0</v>
      </c>
      <c r="V37" s="113">
        <f t="shared" si="13"/>
        <v>11567.61</v>
      </c>
      <c r="W37" s="113">
        <f t="shared" si="13"/>
        <v>0</v>
      </c>
      <c r="X37" s="113">
        <f t="shared" si="13"/>
        <v>7386</v>
      </c>
      <c r="Y37" s="113">
        <f t="shared" si="13"/>
        <v>0</v>
      </c>
      <c r="Z37" s="113">
        <f t="shared" si="13"/>
        <v>10153.52</v>
      </c>
      <c r="AA37" s="113">
        <f t="shared" si="13"/>
        <v>0</v>
      </c>
      <c r="AB37" s="113">
        <f t="shared" si="13"/>
        <v>9892.83</v>
      </c>
      <c r="AC37" s="113">
        <f t="shared" si="13"/>
        <v>0</v>
      </c>
      <c r="AD37" s="113">
        <f t="shared" si="13"/>
        <v>9309.15</v>
      </c>
      <c r="AE37" s="113">
        <f t="shared" si="13"/>
        <v>0</v>
      </c>
      <c r="AF37" s="29"/>
      <c r="AG37" s="102">
        <f t="shared" si="1"/>
        <v>1.4551915228366852E-11</v>
      </c>
      <c r="AH37" s="155">
        <f t="shared" si="2"/>
        <v>-26147.160000000011</v>
      </c>
    </row>
    <row r="38" spans="1:35" x14ac:dyDescent="0.3">
      <c r="A38" s="115" t="s">
        <v>169</v>
      </c>
      <c r="B38" s="116">
        <v>0</v>
      </c>
      <c r="C38" s="117">
        <v>0</v>
      </c>
      <c r="D38" s="118">
        <v>0</v>
      </c>
      <c r="E38" s="117">
        <v>0</v>
      </c>
      <c r="F38" s="116">
        <v>0</v>
      </c>
      <c r="G38" s="116">
        <v>0</v>
      </c>
      <c r="H38" s="111">
        <v>0</v>
      </c>
      <c r="I38" s="111">
        <v>0</v>
      </c>
      <c r="J38" s="111">
        <v>0</v>
      </c>
      <c r="K38" s="111">
        <v>0</v>
      </c>
      <c r="L38" s="111">
        <v>0</v>
      </c>
      <c r="M38" s="111">
        <v>0</v>
      </c>
      <c r="N38" s="111">
        <v>0</v>
      </c>
      <c r="O38" s="111">
        <v>0</v>
      </c>
      <c r="P38" s="111">
        <v>0</v>
      </c>
      <c r="Q38" s="113">
        <v>0</v>
      </c>
      <c r="R38" s="111">
        <v>0</v>
      </c>
      <c r="S38" s="111">
        <v>0</v>
      </c>
      <c r="T38" s="111">
        <v>0</v>
      </c>
      <c r="U38" s="111">
        <v>0</v>
      </c>
      <c r="V38" s="111">
        <v>0</v>
      </c>
      <c r="W38" s="111">
        <v>0</v>
      </c>
      <c r="X38" s="111">
        <v>0</v>
      </c>
      <c r="Y38" s="111">
        <v>0</v>
      </c>
      <c r="Z38" s="111">
        <v>0</v>
      </c>
      <c r="AA38" s="111">
        <v>0</v>
      </c>
      <c r="AB38" s="111">
        <v>0</v>
      </c>
      <c r="AC38" s="111">
        <v>0</v>
      </c>
      <c r="AD38" s="111">
        <v>0</v>
      </c>
      <c r="AE38" s="111">
        <v>0</v>
      </c>
      <c r="AF38" s="29"/>
      <c r="AG38" s="102">
        <f t="shared" si="1"/>
        <v>0</v>
      </c>
      <c r="AH38" s="155">
        <f t="shared" si="2"/>
        <v>0</v>
      </c>
    </row>
    <row r="39" spans="1:35" x14ac:dyDescent="0.3">
      <c r="A39" s="115" t="s">
        <v>32</v>
      </c>
      <c r="B39" s="116">
        <v>0</v>
      </c>
      <c r="C39" s="117">
        <v>0</v>
      </c>
      <c r="D39" s="118">
        <v>0</v>
      </c>
      <c r="E39" s="117">
        <v>0</v>
      </c>
      <c r="F39" s="116">
        <v>0</v>
      </c>
      <c r="G39" s="116">
        <v>0</v>
      </c>
      <c r="H39" s="111">
        <v>0</v>
      </c>
      <c r="I39" s="111">
        <v>0</v>
      </c>
      <c r="J39" s="111">
        <v>0</v>
      </c>
      <c r="K39" s="111">
        <v>0</v>
      </c>
      <c r="L39" s="111">
        <v>0</v>
      </c>
      <c r="M39" s="111">
        <v>0</v>
      </c>
      <c r="N39" s="111">
        <v>0</v>
      </c>
      <c r="O39" s="111">
        <v>0</v>
      </c>
      <c r="P39" s="111">
        <v>0</v>
      </c>
      <c r="Q39" s="113">
        <f>Q41+Q42+Q40+Q43</f>
        <v>1408.6100000000001</v>
      </c>
      <c r="R39" s="111">
        <v>0</v>
      </c>
      <c r="S39" s="111">
        <v>0</v>
      </c>
      <c r="T39" s="111">
        <v>0</v>
      </c>
      <c r="U39" s="111">
        <v>0</v>
      </c>
      <c r="V39" s="111">
        <v>0</v>
      </c>
      <c r="W39" s="111">
        <v>0</v>
      </c>
      <c r="X39" s="111">
        <v>0</v>
      </c>
      <c r="Y39" s="111">
        <v>0</v>
      </c>
      <c r="Z39" s="111">
        <v>0</v>
      </c>
      <c r="AA39" s="111">
        <v>0</v>
      </c>
      <c r="AB39" s="111">
        <v>0</v>
      </c>
      <c r="AC39" s="111">
        <v>0</v>
      </c>
      <c r="AD39" s="111">
        <v>0</v>
      </c>
      <c r="AE39" s="111">
        <v>0</v>
      </c>
      <c r="AF39" s="29"/>
      <c r="AG39" s="102">
        <f t="shared" si="1"/>
        <v>0</v>
      </c>
      <c r="AH39" s="155">
        <f t="shared" si="2"/>
        <v>0</v>
      </c>
    </row>
    <row r="40" spans="1:35" x14ac:dyDescent="0.3">
      <c r="A40" s="115" t="s">
        <v>33</v>
      </c>
      <c r="B40" s="733">
        <f>J40+L40+N40+P40+R40+T40+V40+X40+Z40+AB40+AD40+H40</f>
        <v>162207.25</v>
      </c>
      <c r="C40" s="707">
        <f>H40+J40+L40</f>
        <v>51906.52</v>
      </c>
      <c r="D40" s="118">
        <f>E40</f>
        <v>78053.680000000008</v>
      </c>
      <c r="E40" s="707">
        <f>SUM(I40,K40,M40,O40,Q40,S40,U40,W40,Y40,AA40,AC40,AE40)</f>
        <v>78053.680000000008</v>
      </c>
      <c r="F40" s="116">
        <f>IFERROR(E40/B40*100,0)</f>
        <v>48.119723378578954</v>
      </c>
      <c r="G40" s="116">
        <f>IFERROR(E40/C40*100,0)</f>
        <v>150.3735561544099</v>
      </c>
      <c r="H40" s="721">
        <v>22467.919999999998</v>
      </c>
      <c r="I40" s="721">
        <v>38397.550000000003</v>
      </c>
      <c r="J40" s="111">
        <v>15159.49</v>
      </c>
      <c r="K40" s="111">
        <v>13602.3</v>
      </c>
      <c r="L40" s="111">
        <v>14279.11</v>
      </c>
      <c r="M40" s="111">
        <v>13188.3</v>
      </c>
      <c r="N40" s="111">
        <v>20075.509999999998</v>
      </c>
      <c r="O40" s="111">
        <v>11509.9</v>
      </c>
      <c r="P40" s="111">
        <v>15209.13</v>
      </c>
      <c r="Q40" s="111">
        <v>1355.63</v>
      </c>
      <c r="R40" s="111">
        <v>13543.64</v>
      </c>
      <c r="S40" s="111">
        <v>0</v>
      </c>
      <c r="T40" s="111">
        <v>13163.34</v>
      </c>
      <c r="U40" s="111">
        <v>0</v>
      </c>
      <c r="V40" s="111">
        <v>11567.61</v>
      </c>
      <c r="W40" s="111">
        <v>0</v>
      </c>
      <c r="X40" s="111">
        <v>7386</v>
      </c>
      <c r="Y40" s="111">
        <v>0</v>
      </c>
      <c r="Z40" s="111">
        <v>10153.52</v>
      </c>
      <c r="AA40" s="111">
        <v>0</v>
      </c>
      <c r="AB40" s="111">
        <v>9892.83</v>
      </c>
      <c r="AC40" s="111">
        <v>0</v>
      </c>
      <c r="AD40" s="111">
        <v>9309.15</v>
      </c>
      <c r="AE40" s="111">
        <v>0</v>
      </c>
      <c r="AF40" s="29"/>
      <c r="AG40" s="102">
        <f t="shared" si="1"/>
        <v>1.4551915228366852E-11</v>
      </c>
      <c r="AH40" s="736">
        <f t="shared" si="2"/>
        <v>-26147.160000000011</v>
      </c>
      <c r="AI40" s="729">
        <v>0</v>
      </c>
    </row>
    <row r="41" spans="1:35" x14ac:dyDescent="0.3">
      <c r="A41" s="115" t="s">
        <v>170</v>
      </c>
      <c r="B41" s="116"/>
      <c r="C41" s="117"/>
      <c r="D41" s="118"/>
      <c r="E41" s="117"/>
      <c r="F41" s="116"/>
      <c r="G41" s="116"/>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29"/>
      <c r="AG41" s="102">
        <f t="shared" si="1"/>
        <v>0</v>
      </c>
      <c r="AH41" s="155">
        <f t="shared" si="2"/>
        <v>0</v>
      </c>
    </row>
    <row r="42" spans="1:35" ht="409.5" x14ac:dyDescent="0.3">
      <c r="A42" s="122" t="s">
        <v>255</v>
      </c>
      <c r="B42" s="113"/>
      <c r="C42" s="121"/>
      <c r="D42" s="121"/>
      <c r="E42" s="121"/>
      <c r="F42" s="121"/>
      <c r="G42" s="12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574" t="s">
        <v>534</v>
      </c>
      <c r="AG42" s="102">
        <f t="shared" si="1"/>
        <v>0</v>
      </c>
      <c r="AH42" s="155">
        <f t="shared" si="2"/>
        <v>0</v>
      </c>
    </row>
    <row r="43" spans="1:35" x14ac:dyDescent="0.3">
      <c r="A43" s="112" t="s">
        <v>31</v>
      </c>
      <c r="B43" s="642">
        <f>B45+B46+B44+B47</f>
        <v>386.00221999999997</v>
      </c>
      <c r="C43" s="113">
        <f>C45+C46+C44+C47</f>
        <v>149.37402</v>
      </c>
      <c r="D43" s="113">
        <f>D45+D46+D44+D47</f>
        <v>131.60999999999999</v>
      </c>
      <c r="E43" s="113">
        <f>E45+E46+E44+E47</f>
        <v>131.60999999999999</v>
      </c>
      <c r="F43" s="113">
        <f>IFERROR(E43/B43*100,0)</f>
        <v>34.095658828076168</v>
      </c>
      <c r="G43" s="113">
        <f>IFERROR(E43/C43*100,0)</f>
        <v>88.107691016148578</v>
      </c>
      <c r="H43" s="113">
        <f t="shared" ref="H43:AE43" si="14">H45+H46+H44+H47</f>
        <v>12.8218</v>
      </c>
      <c r="I43" s="113">
        <f t="shared" si="14"/>
        <v>0</v>
      </c>
      <c r="J43" s="113">
        <f t="shared" si="14"/>
        <v>12.8218</v>
      </c>
      <c r="K43" s="113">
        <f t="shared" si="14"/>
        <v>0</v>
      </c>
      <c r="L43" s="113">
        <f t="shared" si="14"/>
        <v>123.73042</v>
      </c>
      <c r="M43" s="113">
        <f t="shared" si="14"/>
        <v>30.73</v>
      </c>
      <c r="N43" s="113">
        <f t="shared" si="14"/>
        <v>12.8218</v>
      </c>
      <c r="O43" s="113">
        <f t="shared" si="14"/>
        <v>47.9</v>
      </c>
      <c r="P43" s="113">
        <f t="shared" si="14"/>
        <v>81.72</v>
      </c>
      <c r="Q43" s="113">
        <f t="shared" si="14"/>
        <v>52.98</v>
      </c>
      <c r="R43" s="113">
        <f t="shared" si="14"/>
        <v>12.82</v>
      </c>
      <c r="S43" s="113">
        <f t="shared" si="14"/>
        <v>0</v>
      </c>
      <c r="T43" s="113">
        <f t="shared" si="14"/>
        <v>12.8218</v>
      </c>
      <c r="U43" s="113">
        <f t="shared" si="14"/>
        <v>0</v>
      </c>
      <c r="V43" s="113">
        <f t="shared" si="14"/>
        <v>12.8218</v>
      </c>
      <c r="W43" s="113">
        <f t="shared" si="14"/>
        <v>0</v>
      </c>
      <c r="X43" s="113">
        <f t="shared" si="14"/>
        <v>12.8218</v>
      </c>
      <c r="Y43" s="113">
        <f t="shared" si="14"/>
        <v>0</v>
      </c>
      <c r="Z43" s="113">
        <f t="shared" si="14"/>
        <v>12.8218</v>
      </c>
      <c r="AA43" s="113">
        <f t="shared" si="14"/>
        <v>0</v>
      </c>
      <c r="AB43" s="113">
        <f t="shared" si="14"/>
        <v>65.157399999999996</v>
      </c>
      <c r="AC43" s="113">
        <f t="shared" si="14"/>
        <v>0</v>
      </c>
      <c r="AD43" s="113">
        <f t="shared" si="14"/>
        <v>12.8218</v>
      </c>
      <c r="AE43" s="113">
        <f t="shared" si="14"/>
        <v>0</v>
      </c>
      <c r="AF43" s="29"/>
      <c r="AG43" s="102">
        <f t="shared" si="1"/>
        <v>2.4868995751603507E-14</v>
      </c>
      <c r="AH43" s="155">
        <f t="shared" si="2"/>
        <v>17.764020000000016</v>
      </c>
    </row>
    <row r="44" spans="1:35" x14ac:dyDescent="0.3">
      <c r="A44" s="115" t="s">
        <v>169</v>
      </c>
      <c r="B44" s="116">
        <v>0</v>
      </c>
      <c r="C44" s="116">
        <v>0</v>
      </c>
      <c r="D44" s="116">
        <v>0</v>
      </c>
      <c r="E44" s="116">
        <v>0</v>
      </c>
      <c r="F44" s="116">
        <v>0</v>
      </c>
      <c r="G44" s="116">
        <v>0</v>
      </c>
      <c r="H44" s="116">
        <v>0</v>
      </c>
      <c r="I44" s="116">
        <v>0</v>
      </c>
      <c r="J44" s="116">
        <v>0</v>
      </c>
      <c r="K44" s="116">
        <v>0</v>
      </c>
      <c r="L44" s="116">
        <v>0</v>
      </c>
      <c r="M44" s="116">
        <v>0</v>
      </c>
      <c r="N44" s="116">
        <v>0</v>
      </c>
      <c r="O44" s="116">
        <v>0</v>
      </c>
      <c r="P44" s="116">
        <v>0</v>
      </c>
      <c r="Q44" s="116">
        <v>0</v>
      </c>
      <c r="R44" s="116">
        <v>0</v>
      </c>
      <c r="S44" s="116">
        <v>0</v>
      </c>
      <c r="T44" s="116">
        <v>0</v>
      </c>
      <c r="U44" s="116">
        <v>0</v>
      </c>
      <c r="V44" s="116">
        <v>0</v>
      </c>
      <c r="W44" s="116">
        <v>0</v>
      </c>
      <c r="X44" s="116">
        <v>0</v>
      </c>
      <c r="Y44" s="116">
        <v>0</v>
      </c>
      <c r="Z44" s="116">
        <v>0</v>
      </c>
      <c r="AA44" s="116">
        <v>0</v>
      </c>
      <c r="AB44" s="116">
        <v>0</v>
      </c>
      <c r="AC44" s="116">
        <v>0</v>
      </c>
      <c r="AD44" s="116">
        <v>0</v>
      </c>
      <c r="AE44" s="116">
        <v>0</v>
      </c>
      <c r="AF44" s="29"/>
      <c r="AG44" s="102">
        <f t="shared" si="1"/>
        <v>0</v>
      </c>
      <c r="AH44" s="155">
        <f t="shared" si="2"/>
        <v>0</v>
      </c>
    </row>
    <row r="45" spans="1:35" x14ac:dyDescent="0.3">
      <c r="A45" s="115" t="s">
        <v>32</v>
      </c>
      <c r="B45" s="116">
        <v>0</v>
      </c>
      <c r="C45" s="116">
        <v>0</v>
      </c>
      <c r="D45" s="116">
        <v>0</v>
      </c>
      <c r="E45" s="116">
        <v>0</v>
      </c>
      <c r="F45" s="116">
        <v>0</v>
      </c>
      <c r="G45" s="116">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0</v>
      </c>
      <c r="AA45" s="116">
        <v>0</v>
      </c>
      <c r="AB45" s="116">
        <v>0</v>
      </c>
      <c r="AC45" s="116">
        <v>0</v>
      </c>
      <c r="AD45" s="116">
        <v>0</v>
      </c>
      <c r="AE45" s="116">
        <v>0</v>
      </c>
      <c r="AF45" s="29"/>
      <c r="AG45" s="102">
        <f t="shared" si="1"/>
        <v>0</v>
      </c>
      <c r="AH45" s="155">
        <f t="shared" si="2"/>
        <v>0</v>
      </c>
    </row>
    <row r="46" spans="1:35" x14ac:dyDescent="0.3">
      <c r="A46" s="115" t="s">
        <v>33</v>
      </c>
      <c r="B46" s="735">
        <f>J46+L46+N46+P46+R46+T46+V46+X46+Z46+AB46+AD46+H46</f>
        <v>386.00221999999997</v>
      </c>
      <c r="C46" s="734">
        <f>H46+J46+L46</f>
        <v>149.37402</v>
      </c>
      <c r="D46" s="118">
        <f>E46</f>
        <v>131.60999999999999</v>
      </c>
      <c r="E46" s="707">
        <f>SUM(I46,K46,M46,O46,Q46,S46,U46,W46,Y46,AA46,AC46,AE46)</f>
        <v>131.60999999999999</v>
      </c>
      <c r="F46" s="116">
        <f>IFERROR(E46/B46*100,0)</f>
        <v>34.095658828076168</v>
      </c>
      <c r="G46" s="116">
        <f>IFERROR(E46/C46*100,0)</f>
        <v>88.107691016148578</v>
      </c>
      <c r="H46" s="111">
        <v>12.8218</v>
      </c>
      <c r="I46" s="696"/>
      <c r="J46" s="111">
        <v>12.8218</v>
      </c>
      <c r="K46" s="111">
        <v>0</v>
      </c>
      <c r="L46" s="111">
        <v>123.73042</v>
      </c>
      <c r="M46" s="111">
        <v>30.73</v>
      </c>
      <c r="N46" s="111">
        <v>12.8218</v>
      </c>
      <c r="O46" s="111">
        <v>47.9</v>
      </c>
      <c r="P46" s="111">
        <v>81.72</v>
      </c>
      <c r="Q46" s="111">
        <v>52.98</v>
      </c>
      <c r="R46" s="111">
        <v>12.82</v>
      </c>
      <c r="S46" s="111">
        <v>0</v>
      </c>
      <c r="T46" s="111">
        <v>12.8218</v>
      </c>
      <c r="U46" s="111"/>
      <c r="V46" s="111">
        <v>12.8218</v>
      </c>
      <c r="W46" s="111">
        <v>0</v>
      </c>
      <c r="X46" s="111">
        <v>12.8218</v>
      </c>
      <c r="Y46" s="111">
        <v>0</v>
      </c>
      <c r="Z46" s="111">
        <v>12.8218</v>
      </c>
      <c r="AA46" s="111">
        <v>0</v>
      </c>
      <c r="AB46" s="111">
        <v>65.157399999999996</v>
      </c>
      <c r="AC46" s="111">
        <v>0</v>
      </c>
      <c r="AD46" s="111">
        <v>12.8218</v>
      </c>
      <c r="AE46" s="111">
        <v>0</v>
      </c>
      <c r="AF46" s="29"/>
      <c r="AG46" s="102">
        <f t="shared" si="1"/>
        <v>2.4868995751603507E-14</v>
      </c>
      <c r="AH46" s="728">
        <f t="shared" si="2"/>
        <v>17.764020000000016</v>
      </c>
      <c r="AI46" s="33">
        <v>0</v>
      </c>
    </row>
    <row r="47" spans="1:35" x14ac:dyDescent="0.3">
      <c r="A47" s="115" t="s">
        <v>170</v>
      </c>
      <c r="B47" s="116"/>
      <c r="C47" s="117"/>
      <c r="D47" s="118"/>
      <c r="E47" s="117"/>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1"/>
        <v>0</v>
      </c>
      <c r="AH47" s="155">
        <f t="shared" si="2"/>
        <v>0</v>
      </c>
    </row>
    <row r="48" spans="1:35" ht="56.25" x14ac:dyDescent="0.3">
      <c r="A48" s="88" t="s">
        <v>256</v>
      </c>
      <c r="B48" s="116"/>
      <c r="C48" s="123"/>
      <c r="D48" s="123"/>
      <c r="E48" s="123"/>
      <c r="F48" s="123"/>
      <c r="G48" s="123"/>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1"/>
        <v>0</v>
      </c>
      <c r="AH48" s="155">
        <f t="shared" si="2"/>
        <v>0</v>
      </c>
    </row>
    <row r="49" spans="1:35" x14ac:dyDescent="0.3">
      <c r="A49" s="11" t="s">
        <v>31</v>
      </c>
      <c r="B49" s="113">
        <f>B51+B52+B50+B53</f>
        <v>8.3000000000000007</v>
      </c>
      <c r="C49" s="113">
        <f>C51+C52+C50+C53</f>
        <v>0</v>
      </c>
      <c r="D49" s="114">
        <f>D51+D52+D50+D53</f>
        <v>0</v>
      </c>
      <c r="E49" s="113">
        <f>E51+E52+E50+E53</f>
        <v>0</v>
      </c>
      <c r="F49" s="113">
        <f>IFERROR(E49/B49*100,0)</f>
        <v>0</v>
      </c>
      <c r="G49" s="113">
        <f>IFERROR(E49/C49*100,0)</f>
        <v>0</v>
      </c>
      <c r="H49" s="113">
        <f t="shared" ref="H49:AE49" si="15">H51+H52+H50+H53</f>
        <v>0</v>
      </c>
      <c r="I49" s="113">
        <f t="shared" si="15"/>
        <v>0</v>
      </c>
      <c r="J49" s="113">
        <f t="shared" si="15"/>
        <v>0</v>
      </c>
      <c r="K49" s="113">
        <f t="shared" si="15"/>
        <v>0</v>
      </c>
      <c r="L49" s="113">
        <f t="shared" si="15"/>
        <v>0</v>
      </c>
      <c r="M49" s="113">
        <f t="shared" si="15"/>
        <v>0</v>
      </c>
      <c r="N49" s="113">
        <f t="shared" si="15"/>
        <v>0</v>
      </c>
      <c r="O49" s="113">
        <f t="shared" si="15"/>
        <v>0</v>
      </c>
      <c r="P49" s="113">
        <f t="shared" si="15"/>
        <v>8.3000000000000007</v>
      </c>
      <c r="Q49" s="113">
        <f t="shared" si="15"/>
        <v>0</v>
      </c>
      <c r="R49" s="113">
        <f t="shared" si="15"/>
        <v>0</v>
      </c>
      <c r="S49" s="113">
        <f t="shared" si="15"/>
        <v>0</v>
      </c>
      <c r="T49" s="113">
        <f t="shared" si="15"/>
        <v>0</v>
      </c>
      <c r="U49" s="113">
        <f t="shared" si="15"/>
        <v>0</v>
      </c>
      <c r="V49" s="113">
        <f t="shared" si="15"/>
        <v>0</v>
      </c>
      <c r="W49" s="113">
        <f t="shared" si="15"/>
        <v>0</v>
      </c>
      <c r="X49" s="113">
        <f t="shared" si="15"/>
        <v>0</v>
      </c>
      <c r="Y49" s="113">
        <f t="shared" si="15"/>
        <v>0</v>
      </c>
      <c r="Z49" s="113">
        <f t="shared" si="15"/>
        <v>0</v>
      </c>
      <c r="AA49" s="113">
        <f t="shared" si="15"/>
        <v>0</v>
      </c>
      <c r="AB49" s="113">
        <f t="shared" si="15"/>
        <v>0</v>
      </c>
      <c r="AC49" s="113">
        <f t="shared" si="15"/>
        <v>0</v>
      </c>
      <c r="AD49" s="113">
        <f t="shared" si="15"/>
        <v>0</v>
      </c>
      <c r="AE49" s="113">
        <f t="shared" si="15"/>
        <v>0</v>
      </c>
      <c r="AF49" s="29"/>
      <c r="AG49" s="102">
        <f t="shared" si="1"/>
        <v>0</v>
      </c>
      <c r="AH49" s="155">
        <f t="shared" si="2"/>
        <v>0</v>
      </c>
    </row>
    <row r="50" spans="1:35" x14ac:dyDescent="0.3">
      <c r="A50" s="7" t="s">
        <v>169</v>
      </c>
      <c r="B50" s="116"/>
      <c r="C50" s="117"/>
      <c r="D50" s="118"/>
      <c r="E50" s="117"/>
      <c r="F50" s="116"/>
      <c r="G50" s="116"/>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29"/>
      <c r="AG50" s="102">
        <f t="shared" si="1"/>
        <v>0</v>
      </c>
      <c r="AH50" s="155">
        <f t="shared" si="2"/>
        <v>0</v>
      </c>
    </row>
    <row r="51" spans="1:35" x14ac:dyDescent="0.3">
      <c r="A51" s="7" t="s">
        <v>32</v>
      </c>
      <c r="B51" s="116">
        <f>J51+L51+N51+P51+R51+T51+V51+X51+Z51+AB51+AD51+H51</f>
        <v>0</v>
      </c>
      <c r="C51" s="117">
        <f>SUM(H51)</f>
        <v>0</v>
      </c>
      <c r="D51" s="118">
        <f>E51</f>
        <v>0</v>
      </c>
      <c r="E51" s="117">
        <f>SUM(I51,K51,M51,O51,Q51,S51,U51,W51,Y51,AA51,AC51,AE51)</f>
        <v>0</v>
      </c>
      <c r="F51" s="116">
        <f>IFERROR(E51/B51*100,0)</f>
        <v>0</v>
      </c>
      <c r="G51" s="116">
        <f>IFERROR(E51/C51*100,0)</f>
        <v>0</v>
      </c>
      <c r="H51" s="111">
        <v>0</v>
      </c>
      <c r="I51" s="111">
        <v>0</v>
      </c>
      <c r="J51" s="111">
        <v>0</v>
      </c>
      <c r="K51" s="111">
        <v>0</v>
      </c>
      <c r="L51" s="111">
        <v>0</v>
      </c>
      <c r="M51" s="111">
        <v>0</v>
      </c>
      <c r="N51" s="111">
        <v>0</v>
      </c>
      <c r="O51" s="111">
        <v>0</v>
      </c>
      <c r="P51" s="111">
        <v>0</v>
      </c>
      <c r="Q51" s="111">
        <v>0</v>
      </c>
      <c r="R51" s="111">
        <v>0</v>
      </c>
      <c r="S51" s="111">
        <v>0</v>
      </c>
      <c r="T51" s="111">
        <v>0</v>
      </c>
      <c r="U51" s="111">
        <v>0</v>
      </c>
      <c r="V51" s="111">
        <v>0</v>
      </c>
      <c r="W51" s="111">
        <v>0</v>
      </c>
      <c r="X51" s="111">
        <v>0</v>
      </c>
      <c r="Y51" s="111">
        <v>0</v>
      </c>
      <c r="Z51" s="111">
        <v>0</v>
      </c>
      <c r="AA51" s="111">
        <v>0</v>
      </c>
      <c r="AB51" s="111">
        <v>0</v>
      </c>
      <c r="AC51" s="111">
        <v>0</v>
      </c>
      <c r="AD51" s="111">
        <v>0</v>
      </c>
      <c r="AE51" s="111">
        <v>0</v>
      </c>
      <c r="AF51" s="29"/>
      <c r="AG51" s="102">
        <f t="shared" si="1"/>
        <v>0</v>
      </c>
      <c r="AH51" s="155">
        <f t="shared" si="2"/>
        <v>0</v>
      </c>
    </row>
    <row r="52" spans="1:35" x14ac:dyDescent="0.3">
      <c r="A52" s="7" t="s">
        <v>33</v>
      </c>
      <c r="B52" s="116">
        <f>J52+L52+N52+P52+R52+T52+V52+X52+Z52+AB52+AD52+H52</f>
        <v>8.3000000000000007</v>
      </c>
      <c r="C52" s="117">
        <f>SUM(H52)</f>
        <v>0</v>
      </c>
      <c r="D52" s="118">
        <f>E52</f>
        <v>0</v>
      </c>
      <c r="E52" s="117">
        <f>SUM(I52,K52,M52,O52,Q52,S52,U52,W52,Y52,AA52,AC52,AE52)</f>
        <v>0</v>
      </c>
      <c r="F52" s="116">
        <f>IFERROR(E52/B52*100,0)</f>
        <v>0</v>
      </c>
      <c r="G52" s="116">
        <f>IFERROR(E52/C52*100,0)</f>
        <v>0</v>
      </c>
      <c r="H52" s="111">
        <v>0</v>
      </c>
      <c r="I52" s="111">
        <v>0</v>
      </c>
      <c r="J52" s="111">
        <v>0</v>
      </c>
      <c r="K52" s="111">
        <v>0</v>
      </c>
      <c r="L52" s="111">
        <v>0</v>
      </c>
      <c r="M52" s="111">
        <v>0</v>
      </c>
      <c r="N52" s="111">
        <v>0</v>
      </c>
      <c r="O52" s="111">
        <v>0</v>
      </c>
      <c r="P52" s="111">
        <v>8.3000000000000007</v>
      </c>
      <c r="Q52" s="111">
        <v>0</v>
      </c>
      <c r="R52" s="111">
        <v>0</v>
      </c>
      <c r="S52" s="111">
        <v>0</v>
      </c>
      <c r="T52" s="111">
        <v>0</v>
      </c>
      <c r="U52" s="111">
        <v>0</v>
      </c>
      <c r="V52" s="111">
        <v>0</v>
      </c>
      <c r="W52" s="111">
        <v>0</v>
      </c>
      <c r="X52" s="111">
        <v>0</v>
      </c>
      <c r="Y52" s="111">
        <v>0</v>
      </c>
      <c r="Z52" s="111">
        <v>0</v>
      </c>
      <c r="AA52" s="111">
        <v>0</v>
      </c>
      <c r="AB52" s="111">
        <v>0</v>
      </c>
      <c r="AC52" s="111">
        <v>0</v>
      </c>
      <c r="AD52" s="111">
        <v>0</v>
      </c>
      <c r="AE52" s="111">
        <v>0</v>
      </c>
      <c r="AF52" s="29"/>
      <c r="AG52" s="102">
        <f t="shared" si="1"/>
        <v>0</v>
      </c>
      <c r="AH52" s="155">
        <f t="shared" si="2"/>
        <v>0</v>
      </c>
    </row>
    <row r="53" spans="1:35" x14ac:dyDescent="0.3">
      <c r="A53" s="7" t="s">
        <v>170</v>
      </c>
      <c r="B53" s="116"/>
      <c r="C53" s="117"/>
      <c r="D53" s="118"/>
      <c r="E53" s="117"/>
      <c r="F53" s="116"/>
      <c r="G53" s="116"/>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29"/>
      <c r="AG53" s="102">
        <f t="shared" si="1"/>
        <v>0</v>
      </c>
      <c r="AH53" s="155">
        <f t="shared" si="2"/>
        <v>0</v>
      </c>
    </row>
    <row r="54" spans="1:35" ht="213.75" x14ac:dyDescent="0.3">
      <c r="A54" s="122" t="s">
        <v>257</v>
      </c>
      <c r="B54" s="113"/>
      <c r="C54" s="121"/>
      <c r="D54" s="121"/>
      <c r="E54" s="121"/>
      <c r="F54" s="121"/>
      <c r="G54" s="12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741" t="s">
        <v>535</v>
      </c>
      <c r="AG54" s="102">
        <f t="shared" si="1"/>
        <v>0</v>
      </c>
      <c r="AH54" s="155">
        <f t="shared" si="2"/>
        <v>0</v>
      </c>
    </row>
    <row r="55" spans="1:35" x14ac:dyDescent="0.3">
      <c r="A55" s="112" t="s">
        <v>31</v>
      </c>
      <c r="B55" s="113">
        <f>SUM(L55+N55+P55+R55+T55)</f>
        <v>2694.2999999999997</v>
      </c>
      <c r="C55" s="113">
        <f ca="1">C58+C57+C56+C59</f>
        <v>404.8</v>
      </c>
      <c r="D55" s="113">
        <f ca="1">D58+D57+D56+D59</f>
        <v>223.4</v>
      </c>
      <c r="E55" s="113">
        <f ca="1">E58+E57+E56+E59</f>
        <v>223.4</v>
      </c>
      <c r="F55" s="113">
        <f ca="1">IFERROR(E55/B55*100,0)</f>
        <v>8.2915785176112546</v>
      </c>
      <c r="G55" s="113">
        <f ca="1">IFERROR(E55/C55*100,0)</f>
        <v>55.187747035573118</v>
      </c>
      <c r="H55" s="113">
        <f t="shared" ref="H55:U55" ca="1" si="16">H58+H57+H56+H59</f>
        <v>0</v>
      </c>
      <c r="I55" s="113">
        <f t="shared" ca="1" si="16"/>
        <v>0</v>
      </c>
      <c r="J55" s="113">
        <f t="shared" ca="1" si="16"/>
        <v>0</v>
      </c>
      <c r="K55" s="113">
        <f t="shared" ca="1" si="16"/>
        <v>0</v>
      </c>
      <c r="L55" s="113">
        <f t="shared" si="16"/>
        <v>404.8</v>
      </c>
      <c r="M55" s="113">
        <f t="shared" si="16"/>
        <v>0</v>
      </c>
      <c r="N55" s="113">
        <f t="shared" si="16"/>
        <v>198.9</v>
      </c>
      <c r="O55" s="113">
        <f t="shared" si="16"/>
        <v>0</v>
      </c>
      <c r="P55" s="113">
        <f t="shared" si="16"/>
        <v>349.4</v>
      </c>
      <c r="Q55" s="113">
        <f t="shared" si="16"/>
        <v>223.4</v>
      </c>
      <c r="R55" s="113">
        <f t="shared" si="16"/>
        <v>1090.5999999999999</v>
      </c>
      <c r="S55" s="113">
        <f t="shared" si="16"/>
        <v>0</v>
      </c>
      <c r="T55" s="113">
        <f t="shared" si="16"/>
        <v>650.6</v>
      </c>
      <c r="U55" s="113">
        <f t="shared" si="16"/>
        <v>0</v>
      </c>
      <c r="V55" s="113">
        <f t="shared" ref="V55:AE55" si="17">V57+V58+V56+V59</f>
        <v>0</v>
      </c>
      <c r="W55" s="113">
        <f t="shared" si="17"/>
        <v>0</v>
      </c>
      <c r="X55" s="113">
        <f t="shared" si="17"/>
        <v>0</v>
      </c>
      <c r="Y55" s="113">
        <f t="shared" si="17"/>
        <v>0</v>
      </c>
      <c r="Z55" s="113">
        <f t="shared" si="17"/>
        <v>0</v>
      </c>
      <c r="AA55" s="113">
        <f t="shared" si="17"/>
        <v>0</v>
      </c>
      <c r="AB55" s="113">
        <f t="shared" si="17"/>
        <v>0</v>
      </c>
      <c r="AC55" s="113">
        <f t="shared" si="17"/>
        <v>0</v>
      </c>
      <c r="AD55" s="113">
        <f t="shared" si="17"/>
        <v>0</v>
      </c>
      <c r="AE55" s="113">
        <f t="shared" si="17"/>
        <v>0</v>
      </c>
      <c r="AF55" s="29"/>
      <c r="AG55" s="102">
        <f t="shared" ca="1" si="1"/>
        <v>-5.6843418860808015E-13</v>
      </c>
      <c r="AH55" s="155">
        <f t="shared" ca="1" si="2"/>
        <v>181.4</v>
      </c>
    </row>
    <row r="56" spans="1:35" x14ac:dyDescent="0.3">
      <c r="A56" s="115" t="s">
        <v>169</v>
      </c>
      <c r="B56" s="116"/>
      <c r="C56" s="117"/>
      <c r="D56" s="118"/>
      <c r="E56" s="117"/>
      <c r="F56" s="116"/>
      <c r="G56" s="116"/>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29"/>
      <c r="AG56" s="102">
        <f t="shared" si="1"/>
        <v>0</v>
      </c>
      <c r="AH56" s="155">
        <f t="shared" si="2"/>
        <v>0</v>
      </c>
    </row>
    <row r="57" spans="1:35" x14ac:dyDescent="0.3">
      <c r="A57" s="676" t="s">
        <v>32</v>
      </c>
      <c r="B57" s="733">
        <f ca="1">J57+L57+N57+P57+R57+T57+V57+X57+Z57+AB57+AD57+H57</f>
        <v>1741.1999999999998</v>
      </c>
      <c r="C57" s="707">
        <f ca="1">H57+J57+L57</f>
        <v>0</v>
      </c>
      <c r="D57" s="118">
        <f ca="1">E57</f>
        <v>0</v>
      </c>
      <c r="E57" s="117">
        <f ca="1">SUM(I57,K57,M57,O57,Q57,S57,U57,W57,Y57,AA57,AC57,AE57)</f>
        <v>0</v>
      </c>
      <c r="F57" s="116">
        <f ca="1">IFERROR(E57/#REF!*100,0)</f>
        <v>0</v>
      </c>
      <c r="G57" s="116">
        <f ca="1">IFERROR(E57/C57*100,0)</f>
        <v>0</v>
      </c>
      <c r="H57" s="116">
        <f ca="1">IFERROR(F57/D57*100,0)</f>
        <v>0</v>
      </c>
      <c r="I57" s="116">
        <f ca="1">IFERROR(G57/E57*100,0)</f>
        <v>0</v>
      </c>
      <c r="J57" s="116">
        <f ca="1">IFERROR(H57/F57*100,0)</f>
        <v>0</v>
      </c>
      <c r="K57" s="116">
        <f ca="1">IFERROR(I57/G57*100,0)</f>
        <v>0</v>
      </c>
      <c r="L57" s="111">
        <v>0</v>
      </c>
      <c r="M57" s="111">
        <v>0</v>
      </c>
      <c r="N57" s="111">
        <v>0</v>
      </c>
      <c r="O57" s="111">
        <v>0</v>
      </c>
      <c r="P57" s="111">
        <v>0</v>
      </c>
      <c r="Q57" s="111">
        <v>0</v>
      </c>
      <c r="R57" s="111">
        <v>1090.5999999999999</v>
      </c>
      <c r="S57" s="111">
        <v>0</v>
      </c>
      <c r="T57" s="111">
        <v>650.6</v>
      </c>
      <c r="U57" s="111">
        <v>0</v>
      </c>
      <c r="V57" s="111">
        <v>0</v>
      </c>
      <c r="W57" s="111">
        <v>0</v>
      </c>
      <c r="X57" s="111">
        <v>0</v>
      </c>
      <c r="Y57" s="111">
        <v>0</v>
      </c>
      <c r="Z57" s="111">
        <v>0</v>
      </c>
      <c r="AA57" s="111">
        <v>0</v>
      </c>
      <c r="AB57" s="111">
        <v>0</v>
      </c>
      <c r="AC57" s="111">
        <v>0</v>
      </c>
      <c r="AD57" s="111">
        <v>0</v>
      </c>
      <c r="AE57" s="111">
        <v>0</v>
      </c>
      <c r="AF57" s="29"/>
      <c r="AG57" s="102">
        <f t="shared" ca="1" si="1"/>
        <v>-1.1368683772161603E-13</v>
      </c>
      <c r="AH57" s="155">
        <f ca="1">C57-E57</f>
        <v>0</v>
      </c>
      <c r="AI57" s="729">
        <v>0</v>
      </c>
    </row>
    <row r="58" spans="1:35" x14ac:dyDescent="0.3">
      <c r="A58" s="732" t="s">
        <v>33</v>
      </c>
      <c r="B58" s="735">
        <f ca="1">J58+L58+N58+P58+R58+T58+V58+X58+Z58+AB58+AD58+H58</f>
        <v>754.2</v>
      </c>
      <c r="C58" s="734">
        <f ca="1">H58+J58+L58</f>
        <v>404.8</v>
      </c>
      <c r="D58" s="118">
        <f ca="1">E58</f>
        <v>223.4</v>
      </c>
      <c r="E58" s="707">
        <f ca="1">SUM(I58,K58,M58,O58,Q58,S58,U58,W58,Y58,AA58,AC58,AE58)</f>
        <v>223.4</v>
      </c>
      <c r="F58" s="116">
        <f t="shared" ref="F58:K59" ca="1" si="18">IFERROR(E58/B57*100,0)</f>
        <v>12.830232023891572</v>
      </c>
      <c r="G58" s="116">
        <f t="shared" ca="1" si="18"/>
        <v>0</v>
      </c>
      <c r="H58" s="116">
        <f t="shared" ca="1" si="18"/>
        <v>0</v>
      </c>
      <c r="I58" s="116">
        <f t="shared" ca="1" si="18"/>
        <v>0</v>
      </c>
      <c r="J58" s="116">
        <f t="shared" ca="1" si="18"/>
        <v>0</v>
      </c>
      <c r="K58" s="116">
        <f t="shared" ca="1" si="18"/>
        <v>0</v>
      </c>
      <c r="L58" s="111">
        <v>404.8</v>
      </c>
      <c r="M58" s="111">
        <v>0</v>
      </c>
      <c r="N58" s="111">
        <v>0</v>
      </c>
      <c r="O58" s="111">
        <v>0</v>
      </c>
      <c r="P58" s="111">
        <v>349.4</v>
      </c>
      <c r="Q58" s="111">
        <v>223.4</v>
      </c>
      <c r="R58" s="111">
        <v>0</v>
      </c>
      <c r="S58" s="111">
        <v>0</v>
      </c>
      <c r="T58" s="111">
        <v>0</v>
      </c>
      <c r="U58" s="111">
        <v>0</v>
      </c>
      <c r="V58" s="111">
        <v>0</v>
      </c>
      <c r="W58" s="111">
        <v>0</v>
      </c>
      <c r="X58" s="111">
        <v>0</v>
      </c>
      <c r="Y58" s="111">
        <v>0</v>
      </c>
      <c r="Z58" s="111">
        <v>0</v>
      </c>
      <c r="AA58" s="111">
        <v>0</v>
      </c>
      <c r="AB58" s="111">
        <v>0</v>
      </c>
      <c r="AC58" s="111">
        <v>0</v>
      </c>
      <c r="AD58" s="111">
        <v>0</v>
      </c>
      <c r="AE58" s="111">
        <v>0</v>
      </c>
      <c r="AF58" s="29"/>
      <c r="AG58" s="102">
        <f t="shared" ca="1" si="1"/>
        <v>5.6843418860808015E-14</v>
      </c>
      <c r="AH58" s="736">
        <f t="shared" ca="1" si="2"/>
        <v>181.4</v>
      </c>
      <c r="AI58" s="729">
        <v>0</v>
      </c>
    </row>
    <row r="59" spans="1:35" x14ac:dyDescent="0.3">
      <c r="A59" s="115" t="s">
        <v>170</v>
      </c>
      <c r="B59" s="116"/>
      <c r="C59" s="117"/>
      <c r="D59" s="118"/>
      <c r="E59" s="117"/>
      <c r="F59" s="116">
        <f t="shared" ca="1" si="18"/>
        <v>0</v>
      </c>
      <c r="G59" s="116">
        <f t="shared" ca="1" si="18"/>
        <v>0</v>
      </c>
      <c r="H59" s="116">
        <f t="shared" ca="1" si="18"/>
        <v>0</v>
      </c>
      <c r="I59" s="116">
        <f t="shared" ca="1" si="18"/>
        <v>0</v>
      </c>
      <c r="J59" s="116">
        <f t="shared" ca="1" si="18"/>
        <v>0</v>
      </c>
      <c r="K59" s="116">
        <f t="shared" ca="1" si="18"/>
        <v>0</v>
      </c>
      <c r="L59" s="111">
        <v>0</v>
      </c>
      <c r="M59" s="111">
        <v>0</v>
      </c>
      <c r="N59" s="111">
        <v>198.9</v>
      </c>
      <c r="O59" s="111">
        <v>0</v>
      </c>
      <c r="P59" s="111">
        <v>0</v>
      </c>
      <c r="Q59" s="111">
        <v>0</v>
      </c>
      <c r="R59" s="111">
        <v>0</v>
      </c>
      <c r="S59" s="111">
        <v>0</v>
      </c>
      <c r="T59" s="111">
        <v>0</v>
      </c>
      <c r="U59" s="111">
        <v>0</v>
      </c>
      <c r="V59" s="111">
        <v>0</v>
      </c>
      <c r="W59" s="111">
        <v>0</v>
      </c>
      <c r="X59" s="111">
        <v>0</v>
      </c>
      <c r="Y59" s="111">
        <v>0</v>
      </c>
      <c r="Z59" s="111">
        <v>0</v>
      </c>
      <c r="AA59" s="111">
        <v>0</v>
      </c>
      <c r="AB59" s="111">
        <v>0</v>
      </c>
      <c r="AC59" s="111">
        <v>0</v>
      </c>
      <c r="AD59" s="111">
        <v>0</v>
      </c>
      <c r="AE59" s="111">
        <v>0</v>
      </c>
      <c r="AF59" s="29"/>
      <c r="AG59" s="102">
        <f t="shared" ca="1" si="1"/>
        <v>-198.9</v>
      </c>
      <c r="AH59" s="155">
        <f t="shared" si="2"/>
        <v>0</v>
      </c>
    </row>
    <row r="60" spans="1:35" ht="75" x14ac:dyDescent="0.3">
      <c r="A60" s="124" t="s">
        <v>258</v>
      </c>
      <c r="B60" s="104"/>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01"/>
      <c r="AG60" s="102">
        <f t="shared" si="1"/>
        <v>0</v>
      </c>
      <c r="AH60" s="155">
        <f t="shared" si="2"/>
        <v>0</v>
      </c>
    </row>
    <row r="61" spans="1:35" x14ac:dyDescent="0.3">
      <c r="A61" s="103" t="s">
        <v>31</v>
      </c>
      <c r="B61" s="104">
        <f>B62+B63+B64</f>
        <v>82831.53</v>
      </c>
      <c r="C61" s="104">
        <f>C62+C63+C64</f>
        <v>35677.11</v>
      </c>
      <c r="D61" s="104">
        <f>D62+D63+D64</f>
        <v>23852.343000000001</v>
      </c>
      <c r="E61" s="104">
        <f>E62+E63+E64</f>
        <v>23852.343000000001</v>
      </c>
      <c r="F61" s="105">
        <f>IFERROR(E61/B61*100,0)</f>
        <v>28.796212022161129</v>
      </c>
      <c r="G61" s="105">
        <f>IFERROR(E61/C61*100,0)</f>
        <v>66.856152306058419</v>
      </c>
      <c r="H61" s="104">
        <f t="shared" ref="H61:AE61" si="19">H62+H63+H64</f>
        <v>15929.62</v>
      </c>
      <c r="I61" s="104">
        <f t="shared" si="19"/>
        <v>1723.4670000000001</v>
      </c>
      <c r="J61" s="104">
        <f t="shared" si="19"/>
        <v>9842.64</v>
      </c>
      <c r="K61" s="104">
        <f t="shared" si="19"/>
        <v>5954.1570000000002</v>
      </c>
      <c r="L61" s="104">
        <f t="shared" si="19"/>
        <v>9904.85</v>
      </c>
      <c r="M61" s="104">
        <f t="shared" si="19"/>
        <v>5166.808</v>
      </c>
      <c r="N61" s="104">
        <f t="shared" si="19"/>
        <v>7300.85</v>
      </c>
      <c r="O61" s="104">
        <f t="shared" si="19"/>
        <v>4644.0309999999999</v>
      </c>
      <c r="P61" s="104">
        <f t="shared" si="19"/>
        <v>6235.86</v>
      </c>
      <c r="Q61" s="104">
        <f t="shared" si="19"/>
        <v>6363.88</v>
      </c>
      <c r="R61" s="104">
        <f t="shared" si="19"/>
        <v>6235.86</v>
      </c>
      <c r="S61" s="104">
        <f t="shared" si="19"/>
        <v>0</v>
      </c>
      <c r="T61" s="104">
        <f t="shared" si="19"/>
        <v>4504.4399999999996</v>
      </c>
      <c r="U61" s="104">
        <f t="shared" si="19"/>
        <v>0</v>
      </c>
      <c r="V61" s="104">
        <f t="shared" si="19"/>
        <v>5177.08</v>
      </c>
      <c r="W61" s="104">
        <f t="shared" si="19"/>
        <v>0</v>
      </c>
      <c r="X61" s="104">
        <f t="shared" si="19"/>
        <v>5177.08</v>
      </c>
      <c r="Y61" s="104">
        <f t="shared" si="19"/>
        <v>0</v>
      </c>
      <c r="Z61" s="104">
        <f t="shared" si="19"/>
        <v>4664.42</v>
      </c>
      <c r="AA61" s="104">
        <f t="shared" si="19"/>
        <v>0</v>
      </c>
      <c r="AB61" s="104">
        <f t="shared" si="19"/>
        <v>4526.08</v>
      </c>
      <c r="AC61" s="104">
        <f t="shared" si="19"/>
        <v>0</v>
      </c>
      <c r="AD61" s="104">
        <f t="shared" si="19"/>
        <v>3332.75</v>
      </c>
      <c r="AE61" s="104">
        <f t="shared" si="19"/>
        <v>0</v>
      </c>
      <c r="AF61" s="101"/>
      <c r="AG61" s="102">
        <f t="shared" si="1"/>
        <v>9.0949470177292824E-12</v>
      </c>
      <c r="AH61" s="155">
        <f t="shared" si="2"/>
        <v>11824.767</v>
      </c>
    </row>
    <row r="62" spans="1:35" x14ac:dyDescent="0.3">
      <c r="A62" s="106" t="s">
        <v>169</v>
      </c>
      <c r="B62" s="107">
        <f>B68</f>
        <v>0</v>
      </c>
      <c r="C62" s="107">
        <f>H62+J62+L62+N62+P62+R62+T62+V62+X62+Z62+AB62+AD62</f>
        <v>0</v>
      </c>
      <c r="D62" s="107">
        <f>D68</f>
        <v>0</v>
      </c>
      <c r="E62" s="107">
        <f>E68</f>
        <v>0</v>
      </c>
      <c r="F62" s="107">
        <f>IFERROR(E62/B62*100,0)</f>
        <v>0</v>
      </c>
      <c r="G62" s="107">
        <f>IFERROR(E62/C62*100,0)</f>
        <v>0</v>
      </c>
      <c r="H62" s="107">
        <f t="shared" ref="H62:AE65" si="20">H68</f>
        <v>0</v>
      </c>
      <c r="I62" s="107">
        <f t="shared" si="20"/>
        <v>0</v>
      </c>
      <c r="J62" s="107">
        <f t="shared" si="20"/>
        <v>0</v>
      </c>
      <c r="K62" s="107">
        <f t="shared" si="20"/>
        <v>0</v>
      </c>
      <c r="L62" s="107">
        <f t="shared" si="20"/>
        <v>0</v>
      </c>
      <c r="M62" s="107">
        <f t="shared" si="20"/>
        <v>0</v>
      </c>
      <c r="N62" s="107">
        <f t="shared" si="20"/>
        <v>0</v>
      </c>
      <c r="O62" s="107">
        <f t="shared" si="20"/>
        <v>0</v>
      </c>
      <c r="P62" s="107">
        <f t="shared" si="20"/>
        <v>0</v>
      </c>
      <c r="Q62" s="107">
        <f t="shared" si="20"/>
        <v>0</v>
      </c>
      <c r="R62" s="107">
        <f t="shared" si="20"/>
        <v>0</v>
      </c>
      <c r="S62" s="107">
        <f t="shared" si="20"/>
        <v>0</v>
      </c>
      <c r="T62" s="107">
        <f t="shared" si="20"/>
        <v>0</v>
      </c>
      <c r="U62" s="107">
        <f t="shared" si="20"/>
        <v>0</v>
      </c>
      <c r="V62" s="107">
        <f t="shared" si="20"/>
        <v>0</v>
      </c>
      <c r="W62" s="107">
        <f t="shared" si="20"/>
        <v>0</v>
      </c>
      <c r="X62" s="107">
        <f t="shared" si="20"/>
        <v>0</v>
      </c>
      <c r="Y62" s="107">
        <f t="shared" si="20"/>
        <v>0</v>
      </c>
      <c r="Z62" s="107">
        <f t="shared" si="20"/>
        <v>0</v>
      </c>
      <c r="AA62" s="107">
        <f t="shared" si="20"/>
        <v>0</v>
      </c>
      <c r="AB62" s="107">
        <f t="shared" si="20"/>
        <v>0</v>
      </c>
      <c r="AC62" s="107">
        <f t="shared" si="20"/>
        <v>0</v>
      </c>
      <c r="AD62" s="107">
        <f t="shared" si="20"/>
        <v>0</v>
      </c>
      <c r="AE62" s="107">
        <f t="shared" si="20"/>
        <v>0</v>
      </c>
      <c r="AF62" s="101"/>
      <c r="AG62" s="102">
        <f t="shared" si="1"/>
        <v>0</v>
      </c>
      <c r="AH62" s="155">
        <f t="shared" si="2"/>
        <v>0</v>
      </c>
    </row>
    <row r="63" spans="1:35" x14ac:dyDescent="0.3">
      <c r="A63" s="106" t="s">
        <v>32</v>
      </c>
      <c r="B63" s="107">
        <f t="shared" ref="B63:E65" si="21">B69</f>
        <v>0</v>
      </c>
      <c r="C63" s="107">
        <f>H63+J63+L63+N63+P63+R63+T63+V63+X63+Z63+AB63+AD63</f>
        <v>0</v>
      </c>
      <c r="D63" s="107">
        <f t="shared" si="21"/>
        <v>0</v>
      </c>
      <c r="E63" s="107">
        <f t="shared" si="21"/>
        <v>0</v>
      </c>
      <c r="F63" s="107">
        <f>IFERROR(E63/B63*100,0)</f>
        <v>0</v>
      </c>
      <c r="G63" s="107">
        <f>IFERROR(E63/C63*100,0)</f>
        <v>0</v>
      </c>
      <c r="H63" s="107">
        <f t="shared" si="20"/>
        <v>0</v>
      </c>
      <c r="I63" s="107">
        <f t="shared" si="20"/>
        <v>0</v>
      </c>
      <c r="J63" s="107">
        <f t="shared" si="20"/>
        <v>0</v>
      </c>
      <c r="K63" s="107">
        <f t="shared" si="20"/>
        <v>0</v>
      </c>
      <c r="L63" s="107">
        <f t="shared" si="20"/>
        <v>0</v>
      </c>
      <c r="M63" s="107">
        <f t="shared" si="20"/>
        <v>0</v>
      </c>
      <c r="N63" s="107">
        <f t="shared" si="20"/>
        <v>0</v>
      </c>
      <c r="O63" s="107">
        <f t="shared" si="20"/>
        <v>0</v>
      </c>
      <c r="P63" s="107">
        <f t="shared" si="20"/>
        <v>0</v>
      </c>
      <c r="Q63" s="107">
        <f t="shared" si="20"/>
        <v>0</v>
      </c>
      <c r="R63" s="107">
        <f t="shared" si="20"/>
        <v>0</v>
      </c>
      <c r="S63" s="107">
        <f t="shared" si="20"/>
        <v>0</v>
      </c>
      <c r="T63" s="107">
        <f t="shared" si="20"/>
        <v>0</v>
      </c>
      <c r="U63" s="107">
        <f t="shared" si="20"/>
        <v>0</v>
      </c>
      <c r="V63" s="107">
        <f t="shared" si="20"/>
        <v>0</v>
      </c>
      <c r="W63" s="107">
        <f t="shared" si="20"/>
        <v>0</v>
      </c>
      <c r="X63" s="107">
        <f t="shared" si="20"/>
        <v>0</v>
      </c>
      <c r="Y63" s="107">
        <f t="shared" si="20"/>
        <v>0</v>
      </c>
      <c r="Z63" s="107">
        <f t="shared" si="20"/>
        <v>0</v>
      </c>
      <c r="AA63" s="107">
        <f t="shared" si="20"/>
        <v>0</v>
      </c>
      <c r="AB63" s="107">
        <f t="shared" si="20"/>
        <v>0</v>
      </c>
      <c r="AC63" s="107">
        <f t="shared" si="20"/>
        <v>0</v>
      </c>
      <c r="AD63" s="107">
        <f t="shared" si="20"/>
        <v>0</v>
      </c>
      <c r="AE63" s="107">
        <f t="shared" si="20"/>
        <v>0</v>
      </c>
      <c r="AF63" s="101"/>
      <c r="AG63" s="102">
        <f t="shared" si="1"/>
        <v>0</v>
      </c>
      <c r="AH63" s="155">
        <f t="shared" si="2"/>
        <v>0</v>
      </c>
    </row>
    <row r="64" spans="1:35" x14ac:dyDescent="0.3">
      <c r="A64" s="106" t="s">
        <v>33</v>
      </c>
      <c r="B64" s="107">
        <f t="shared" si="21"/>
        <v>82831.53</v>
      </c>
      <c r="C64" s="107">
        <f>H64+J64+L64</f>
        <v>35677.11</v>
      </c>
      <c r="D64" s="107">
        <f t="shared" si="21"/>
        <v>23852.343000000001</v>
      </c>
      <c r="E64" s="107">
        <f t="shared" si="21"/>
        <v>23852.343000000001</v>
      </c>
      <c r="F64" s="107">
        <f>IFERROR(E64/B64*100,0)</f>
        <v>28.796212022161129</v>
      </c>
      <c r="G64" s="107">
        <f>IFERROR(E64/C64*100,0)</f>
        <v>66.856152306058419</v>
      </c>
      <c r="H64" s="107">
        <f t="shared" si="20"/>
        <v>15929.62</v>
      </c>
      <c r="I64" s="107">
        <f t="shared" si="20"/>
        <v>1723.4670000000001</v>
      </c>
      <c r="J64" s="107">
        <f t="shared" si="20"/>
        <v>9842.64</v>
      </c>
      <c r="K64" s="107">
        <f t="shared" si="20"/>
        <v>5954.1570000000002</v>
      </c>
      <c r="L64" s="107">
        <f t="shared" si="20"/>
        <v>9904.85</v>
      </c>
      <c r="M64" s="107">
        <f t="shared" si="20"/>
        <v>5166.808</v>
      </c>
      <c r="N64" s="107">
        <f t="shared" si="20"/>
        <v>7300.85</v>
      </c>
      <c r="O64" s="107">
        <f t="shared" si="20"/>
        <v>4644.0309999999999</v>
      </c>
      <c r="P64" s="107">
        <f t="shared" si="20"/>
        <v>6235.86</v>
      </c>
      <c r="Q64" s="107">
        <f t="shared" si="20"/>
        <v>6363.88</v>
      </c>
      <c r="R64" s="107">
        <f t="shared" si="20"/>
        <v>6235.86</v>
      </c>
      <c r="S64" s="107">
        <f t="shared" si="20"/>
        <v>0</v>
      </c>
      <c r="T64" s="107">
        <f t="shared" si="20"/>
        <v>4504.4399999999996</v>
      </c>
      <c r="U64" s="107">
        <f t="shared" si="20"/>
        <v>0</v>
      </c>
      <c r="V64" s="107">
        <f t="shared" si="20"/>
        <v>5177.08</v>
      </c>
      <c r="W64" s="107">
        <f t="shared" si="20"/>
        <v>0</v>
      </c>
      <c r="X64" s="107">
        <f t="shared" si="20"/>
        <v>5177.08</v>
      </c>
      <c r="Y64" s="107">
        <f t="shared" si="20"/>
        <v>0</v>
      </c>
      <c r="Z64" s="107">
        <f t="shared" si="20"/>
        <v>4664.42</v>
      </c>
      <c r="AA64" s="107">
        <f t="shared" si="20"/>
        <v>0</v>
      </c>
      <c r="AB64" s="107">
        <f t="shared" si="20"/>
        <v>4526.08</v>
      </c>
      <c r="AC64" s="107">
        <f t="shared" si="20"/>
        <v>0</v>
      </c>
      <c r="AD64" s="107">
        <f t="shared" si="20"/>
        <v>3332.75</v>
      </c>
      <c r="AE64" s="107">
        <f t="shared" si="20"/>
        <v>0</v>
      </c>
      <c r="AF64" s="101"/>
      <c r="AG64" s="102">
        <f t="shared" si="1"/>
        <v>9.0949470177292824E-12</v>
      </c>
      <c r="AH64" s="155">
        <f t="shared" si="2"/>
        <v>11824.767</v>
      </c>
    </row>
    <row r="65" spans="1:35" x14ac:dyDescent="0.3">
      <c r="A65" s="106" t="s">
        <v>170</v>
      </c>
      <c r="B65" s="107">
        <f t="shared" si="21"/>
        <v>0</v>
      </c>
      <c r="C65" s="107">
        <f>H65+J65+L65+N65+P65+R65+T65+V65+X65+Z65+AB65+AD65</f>
        <v>0</v>
      </c>
      <c r="D65" s="107">
        <f t="shared" si="21"/>
        <v>0</v>
      </c>
      <c r="E65" s="107">
        <f t="shared" si="21"/>
        <v>0</v>
      </c>
      <c r="F65" s="107">
        <f>IFERROR(E65/B65*100,0)</f>
        <v>0</v>
      </c>
      <c r="G65" s="107">
        <f>IFERROR(E65/C65*100,0)</f>
        <v>0</v>
      </c>
      <c r="H65" s="107">
        <f t="shared" si="20"/>
        <v>0</v>
      </c>
      <c r="I65" s="107">
        <f t="shared" si="20"/>
        <v>0</v>
      </c>
      <c r="J65" s="107">
        <f t="shared" si="20"/>
        <v>0</v>
      </c>
      <c r="K65" s="107">
        <f t="shared" si="20"/>
        <v>0</v>
      </c>
      <c r="L65" s="107">
        <f t="shared" si="20"/>
        <v>0</v>
      </c>
      <c r="M65" s="107">
        <f t="shared" si="20"/>
        <v>0</v>
      </c>
      <c r="N65" s="107">
        <f t="shared" si="20"/>
        <v>0</v>
      </c>
      <c r="O65" s="107">
        <f t="shared" si="20"/>
        <v>0</v>
      </c>
      <c r="P65" s="107">
        <f t="shared" si="20"/>
        <v>0</v>
      </c>
      <c r="Q65" s="107">
        <f t="shared" si="20"/>
        <v>0</v>
      </c>
      <c r="R65" s="107">
        <f t="shared" si="20"/>
        <v>0</v>
      </c>
      <c r="S65" s="107">
        <f t="shared" si="20"/>
        <v>0</v>
      </c>
      <c r="T65" s="107">
        <f t="shared" si="20"/>
        <v>0</v>
      </c>
      <c r="U65" s="107">
        <f t="shared" si="20"/>
        <v>0</v>
      </c>
      <c r="V65" s="107">
        <f t="shared" si="20"/>
        <v>0</v>
      </c>
      <c r="W65" s="107">
        <f t="shared" si="20"/>
        <v>0</v>
      </c>
      <c r="X65" s="107">
        <f t="shared" si="20"/>
        <v>0</v>
      </c>
      <c r="Y65" s="107">
        <f t="shared" si="20"/>
        <v>0</v>
      </c>
      <c r="Z65" s="107">
        <f t="shared" si="20"/>
        <v>0</v>
      </c>
      <c r="AA65" s="107">
        <f t="shared" si="20"/>
        <v>0</v>
      </c>
      <c r="AB65" s="107">
        <f t="shared" si="20"/>
        <v>0</v>
      </c>
      <c r="AC65" s="107">
        <f t="shared" si="20"/>
        <v>0</v>
      </c>
      <c r="AD65" s="107">
        <f t="shared" si="20"/>
        <v>0</v>
      </c>
      <c r="AE65" s="107">
        <f t="shared" si="20"/>
        <v>0</v>
      </c>
      <c r="AF65" s="101"/>
      <c r="AG65" s="102">
        <f t="shared" si="1"/>
        <v>0</v>
      </c>
      <c r="AH65" s="155">
        <f t="shared" si="2"/>
        <v>0</v>
      </c>
    </row>
    <row r="66" spans="1:35" ht="101.25" x14ac:dyDescent="0.3">
      <c r="A66" s="108" t="s">
        <v>259</v>
      </c>
      <c r="B66" s="109"/>
      <c r="C66" s="110"/>
      <c r="D66" s="110"/>
      <c r="E66" s="110"/>
      <c r="F66" s="110"/>
      <c r="G66" s="11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684" t="s">
        <v>499</v>
      </c>
      <c r="AG66" s="102">
        <f t="shared" si="1"/>
        <v>0</v>
      </c>
      <c r="AH66" s="155">
        <f t="shared" si="2"/>
        <v>0</v>
      </c>
    </row>
    <row r="67" spans="1:35" x14ac:dyDescent="0.3">
      <c r="A67" s="126" t="s">
        <v>31</v>
      </c>
      <c r="B67" s="113">
        <f>B69+B70+B68+B71</f>
        <v>82831.53</v>
      </c>
      <c r="C67" s="113">
        <f>C69+C70+C68+C71</f>
        <v>35677.11</v>
      </c>
      <c r="D67" s="113">
        <f>D69+D70+D68+D71</f>
        <v>23852.343000000001</v>
      </c>
      <c r="E67" s="113">
        <f>E69+E70+E68+E71</f>
        <v>23852.343000000001</v>
      </c>
      <c r="F67" s="113">
        <f>IFERROR(E67/B67*100,0)</f>
        <v>28.796212022161129</v>
      </c>
      <c r="G67" s="113">
        <f>IFERROR(E67/C67*100,0)</f>
        <v>66.856152306058419</v>
      </c>
      <c r="H67" s="113">
        <f t="shared" ref="H67:AE67" si="22">H69+H70+H68+H71</f>
        <v>15929.62</v>
      </c>
      <c r="I67" s="113">
        <f t="shared" si="22"/>
        <v>1723.4670000000001</v>
      </c>
      <c r="J67" s="113">
        <f t="shared" si="22"/>
        <v>9842.64</v>
      </c>
      <c r="K67" s="113">
        <f t="shared" si="22"/>
        <v>5954.1570000000002</v>
      </c>
      <c r="L67" s="113">
        <f t="shared" si="22"/>
        <v>9904.85</v>
      </c>
      <c r="M67" s="113">
        <f t="shared" si="22"/>
        <v>5166.808</v>
      </c>
      <c r="N67" s="113">
        <f t="shared" si="22"/>
        <v>7300.85</v>
      </c>
      <c r="O67" s="113">
        <f t="shared" si="22"/>
        <v>4644.0309999999999</v>
      </c>
      <c r="P67" s="113">
        <f t="shared" si="22"/>
        <v>6235.86</v>
      </c>
      <c r="Q67" s="113">
        <f t="shared" si="22"/>
        <v>6363.88</v>
      </c>
      <c r="R67" s="113">
        <f t="shared" si="22"/>
        <v>6235.86</v>
      </c>
      <c r="S67" s="113">
        <f t="shared" si="22"/>
        <v>0</v>
      </c>
      <c r="T67" s="113">
        <f t="shared" si="22"/>
        <v>4504.4399999999996</v>
      </c>
      <c r="U67" s="113">
        <f t="shared" si="22"/>
        <v>0</v>
      </c>
      <c r="V67" s="113">
        <f t="shared" si="22"/>
        <v>5177.08</v>
      </c>
      <c r="W67" s="113">
        <f t="shared" si="22"/>
        <v>0</v>
      </c>
      <c r="X67" s="113">
        <f t="shared" si="22"/>
        <v>5177.08</v>
      </c>
      <c r="Y67" s="113">
        <f t="shared" si="22"/>
        <v>0</v>
      </c>
      <c r="Z67" s="113">
        <f t="shared" si="22"/>
        <v>4664.42</v>
      </c>
      <c r="AA67" s="113">
        <f t="shared" si="22"/>
        <v>0</v>
      </c>
      <c r="AB67" s="113">
        <f t="shared" si="22"/>
        <v>4526.08</v>
      </c>
      <c r="AC67" s="113">
        <f t="shared" si="22"/>
        <v>0</v>
      </c>
      <c r="AD67" s="113">
        <f t="shared" si="22"/>
        <v>3332.75</v>
      </c>
      <c r="AE67" s="113">
        <f t="shared" si="22"/>
        <v>0</v>
      </c>
      <c r="AF67" s="29"/>
      <c r="AG67" s="102">
        <f t="shared" si="1"/>
        <v>9.0949470177292824E-12</v>
      </c>
      <c r="AH67" s="155">
        <f t="shared" si="2"/>
        <v>11824.767</v>
      </c>
    </row>
    <row r="68" spans="1:35" x14ac:dyDescent="0.3">
      <c r="A68" s="127" t="s">
        <v>169</v>
      </c>
      <c r="B68" s="116">
        <v>0</v>
      </c>
      <c r="C68" s="117">
        <v>0</v>
      </c>
      <c r="D68" s="118">
        <v>0</v>
      </c>
      <c r="E68" s="117">
        <v>0</v>
      </c>
      <c r="F68" s="117">
        <v>0</v>
      </c>
      <c r="G68" s="117">
        <v>0</v>
      </c>
      <c r="H68" s="117">
        <v>0</v>
      </c>
      <c r="I68" s="117">
        <v>0</v>
      </c>
      <c r="J68" s="117">
        <v>0</v>
      </c>
      <c r="K68" s="117">
        <v>0</v>
      </c>
      <c r="L68" s="117">
        <v>0</v>
      </c>
      <c r="M68" s="117">
        <v>0</v>
      </c>
      <c r="N68" s="117">
        <v>0</v>
      </c>
      <c r="O68" s="117">
        <v>0</v>
      </c>
      <c r="P68" s="117">
        <v>0</v>
      </c>
      <c r="Q68" s="117">
        <v>0</v>
      </c>
      <c r="R68" s="117">
        <v>0</v>
      </c>
      <c r="S68" s="117">
        <v>0</v>
      </c>
      <c r="T68" s="117">
        <v>0</v>
      </c>
      <c r="U68" s="117">
        <v>0</v>
      </c>
      <c r="V68" s="117">
        <v>0</v>
      </c>
      <c r="W68" s="117">
        <v>0</v>
      </c>
      <c r="X68" s="117">
        <v>0</v>
      </c>
      <c r="Y68" s="117">
        <v>0</v>
      </c>
      <c r="Z68" s="117">
        <v>0</v>
      </c>
      <c r="AA68" s="117">
        <v>0</v>
      </c>
      <c r="AB68" s="117">
        <v>0</v>
      </c>
      <c r="AC68" s="117">
        <v>0</v>
      </c>
      <c r="AD68" s="117">
        <v>0</v>
      </c>
      <c r="AE68" s="117">
        <v>0</v>
      </c>
      <c r="AF68" s="29"/>
      <c r="AG68" s="102">
        <f t="shared" si="1"/>
        <v>0</v>
      </c>
      <c r="AH68" s="155">
        <f t="shared" si="2"/>
        <v>0</v>
      </c>
    </row>
    <row r="69" spans="1:35" x14ac:dyDescent="0.3">
      <c r="A69" s="127" t="s">
        <v>32</v>
      </c>
      <c r="B69" s="116">
        <v>0</v>
      </c>
      <c r="C69" s="117">
        <v>0</v>
      </c>
      <c r="D69" s="118">
        <v>0</v>
      </c>
      <c r="E69" s="117">
        <v>0</v>
      </c>
      <c r="F69" s="117">
        <v>0</v>
      </c>
      <c r="G69" s="117">
        <v>0</v>
      </c>
      <c r="H69" s="117">
        <v>0</v>
      </c>
      <c r="I69" s="117">
        <v>0</v>
      </c>
      <c r="J69" s="117">
        <v>0</v>
      </c>
      <c r="K69" s="117">
        <v>0</v>
      </c>
      <c r="L69" s="117">
        <v>0</v>
      </c>
      <c r="M69" s="117">
        <v>0</v>
      </c>
      <c r="N69" s="117">
        <v>0</v>
      </c>
      <c r="O69" s="117">
        <v>0</v>
      </c>
      <c r="P69" s="117">
        <v>0</v>
      </c>
      <c r="Q69" s="117">
        <v>0</v>
      </c>
      <c r="R69" s="117">
        <v>0</v>
      </c>
      <c r="S69" s="117">
        <v>0</v>
      </c>
      <c r="T69" s="117">
        <v>0</v>
      </c>
      <c r="U69" s="117">
        <v>0</v>
      </c>
      <c r="V69" s="117">
        <v>0</v>
      </c>
      <c r="W69" s="117">
        <v>0</v>
      </c>
      <c r="X69" s="117">
        <v>0</v>
      </c>
      <c r="Y69" s="117">
        <v>0</v>
      </c>
      <c r="Z69" s="117">
        <v>0</v>
      </c>
      <c r="AA69" s="117">
        <v>0</v>
      </c>
      <c r="AB69" s="117">
        <v>0</v>
      </c>
      <c r="AC69" s="117">
        <v>0</v>
      </c>
      <c r="AD69" s="117">
        <v>0</v>
      </c>
      <c r="AE69" s="117">
        <v>0</v>
      </c>
      <c r="AF69" s="29"/>
      <c r="AG69" s="102">
        <f t="shared" si="1"/>
        <v>0</v>
      </c>
      <c r="AH69" s="155">
        <f t="shared" si="2"/>
        <v>0</v>
      </c>
    </row>
    <row r="70" spans="1:35" x14ac:dyDescent="0.3">
      <c r="A70" s="115" t="s">
        <v>33</v>
      </c>
      <c r="B70" s="733">
        <f>J70+L70+N70+P70+R70+T70+V70+X70+Z70+AB70+AD70+H70</f>
        <v>82831.53</v>
      </c>
      <c r="C70" s="734">
        <f>H70+J70+L70</f>
        <v>35677.11</v>
      </c>
      <c r="D70" s="118">
        <f>E70</f>
        <v>23852.343000000001</v>
      </c>
      <c r="E70" s="734">
        <f>SUM(I70,K70,M70,O70,Q70,S70,U70,W70,Y70,AA70,AC70,AE70)</f>
        <v>23852.343000000001</v>
      </c>
      <c r="F70" s="116">
        <f>IFERROR(E70/B70*100,0)</f>
        <v>28.796212022161129</v>
      </c>
      <c r="G70" s="116">
        <f>IFERROR(E70/C70*100,0)</f>
        <v>66.856152306058419</v>
      </c>
      <c r="H70" s="111">
        <v>15929.62</v>
      </c>
      <c r="I70" s="111">
        <v>1723.4670000000001</v>
      </c>
      <c r="J70" s="111">
        <v>9842.64</v>
      </c>
      <c r="K70" s="111">
        <v>5954.1570000000002</v>
      </c>
      <c r="L70" s="111">
        <v>9904.85</v>
      </c>
      <c r="M70" s="111">
        <v>5166.808</v>
      </c>
      <c r="N70" s="111">
        <v>7300.85</v>
      </c>
      <c r="O70" s="111">
        <v>4644.0309999999999</v>
      </c>
      <c r="P70" s="111">
        <v>6235.86</v>
      </c>
      <c r="Q70" s="916">
        <v>6363.88</v>
      </c>
      <c r="R70" s="111">
        <v>6235.86</v>
      </c>
      <c r="S70" s="111">
        <v>0</v>
      </c>
      <c r="T70" s="111">
        <v>4504.4399999999996</v>
      </c>
      <c r="U70" s="111">
        <v>0</v>
      </c>
      <c r="V70" s="111">
        <v>5177.08</v>
      </c>
      <c r="W70" s="111">
        <v>0</v>
      </c>
      <c r="X70" s="111">
        <v>5177.08</v>
      </c>
      <c r="Y70" s="111">
        <v>0</v>
      </c>
      <c r="Z70" s="111">
        <v>4664.42</v>
      </c>
      <c r="AA70" s="111">
        <v>0</v>
      </c>
      <c r="AB70" s="111">
        <v>4526.08</v>
      </c>
      <c r="AC70" s="111">
        <v>0</v>
      </c>
      <c r="AD70" s="111">
        <v>3332.75</v>
      </c>
      <c r="AE70" s="111">
        <v>0</v>
      </c>
      <c r="AF70" s="29"/>
      <c r="AG70" s="102">
        <f t="shared" si="1"/>
        <v>9.0949470177292824E-12</v>
      </c>
      <c r="AH70" s="728">
        <f t="shared" si="2"/>
        <v>11824.767</v>
      </c>
    </row>
    <row r="71" spans="1:35" x14ac:dyDescent="0.3">
      <c r="A71" s="115" t="s">
        <v>170</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1"/>
        <v>0</v>
      </c>
      <c r="AH71" s="155">
        <f t="shared" si="2"/>
        <v>0</v>
      </c>
    </row>
    <row r="72" spans="1:35" ht="75" x14ac:dyDescent="0.3">
      <c r="A72" s="124" t="s">
        <v>260</v>
      </c>
      <c r="B72" s="104"/>
      <c r="C72" s="125"/>
      <c r="D72" s="125"/>
      <c r="E72" s="125"/>
      <c r="F72" s="125"/>
      <c r="G72" s="125"/>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1"/>
      <c r="AG72" s="102">
        <f t="shared" si="1"/>
        <v>0</v>
      </c>
      <c r="AH72" s="155">
        <f t="shared" si="2"/>
        <v>0</v>
      </c>
    </row>
    <row r="73" spans="1:35" x14ac:dyDescent="0.3">
      <c r="A73" s="128" t="s">
        <v>31</v>
      </c>
      <c r="B73" s="104">
        <f ca="1">B74+B75+B76+B77</f>
        <v>3491.4</v>
      </c>
      <c r="C73" s="104">
        <f ca="1">C74+C75+C76</f>
        <v>3491.4</v>
      </c>
      <c r="D73" s="104">
        <f ca="1">D74+D75+D76</f>
        <v>3491.4</v>
      </c>
      <c r="E73" s="104">
        <f ca="1">E74+E75+E76</f>
        <v>3491.4</v>
      </c>
      <c r="F73" s="105">
        <f ca="1">IFERROR(E73/B73*100,0)</f>
        <v>100</v>
      </c>
      <c r="G73" s="105">
        <f ca="1">IFERROR(E73/C73*100,0)</f>
        <v>100</v>
      </c>
      <c r="H73" s="104">
        <f ca="1">H74+H75+H76+H77</f>
        <v>1750</v>
      </c>
      <c r="I73" s="104">
        <f t="shared" ref="I73:AE73" ca="1" si="23">I74+I75+I76+I77</f>
        <v>1750</v>
      </c>
      <c r="J73" s="104">
        <f t="shared" ca="1" si="23"/>
        <v>1741.4</v>
      </c>
      <c r="K73" s="104">
        <f>SUM(K76)</f>
        <v>150</v>
      </c>
      <c r="L73" s="104">
        <f>SUM(L76)</f>
        <v>0</v>
      </c>
      <c r="M73" s="104">
        <f>SUM(M76)</f>
        <v>0</v>
      </c>
      <c r="N73" s="104">
        <f t="shared" ca="1" si="23"/>
        <v>0</v>
      </c>
      <c r="O73" s="104">
        <f t="shared" ca="1" si="23"/>
        <v>1591.4</v>
      </c>
      <c r="P73" s="104">
        <f t="shared" ca="1" si="23"/>
        <v>0</v>
      </c>
      <c r="Q73" s="104">
        <f t="shared" ca="1" si="23"/>
        <v>0</v>
      </c>
      <c r="R73" s="104">
        <f t="shared" ca="1" si="23"/>
        <v>0</v>
      </c>
      <c r="S73" s="104">
        <f t="shared" ca="1" si="23"/>
        <v>0</v>
      </c>
      <c r="T73" s="104">
        <f t="shared" ca="1" si="23"/>
        <v>0</v>
      </c>
      <c r="U73" s="104">
        <f t="shared" ca="1" si="23"/>
        <v>0</v>
      </c>
      <c r="V73" s="104">
        <f t="shared" ca="1" si="23"/>
        <v>0</v>
      </c>
      <c r="W73" s="104">
        <f t="shared" ca="1" si="23"/>
        <v>0</v>
      </c>
      <c r="X73" s="104">
        <f t="shared" ca="1" si="23"/>
        <v>0</v>
      </c>
      <c r="Y73" s="104">
        <f t="shared" ca="1" si="23"/>
        <v>0</v>
      </c>
      <c r="Z73" s="104">
        <f t="shared" ca="1" si="23"/>
        <v>0</v>
      </c>
      <c r="AA73" s="104">
        <f t="shared" ca="1" si="23"/>
        <v>0</v>
      </c>
      <c r="AB73" s="104">
        <f t="shared" ca="1" si="23"/>
        <v>0</v>
      </c>
      <c r="AC73" s="104">
        <f t="shared" ca="1" si="23"/>
        <v>0</v>
      </c>
      <c r="AD73" s="104">
        <f t="shared" ca="1" si="23"/>
        <v>0</v>
      </c>
      <c r="AE73" s="104">
        <f t="shared" ca="1" si="23"/>
        <v>0</v>
      </c>
      <c r="AF73" s="101"/>
      <c r="AG73" s="102">
        <f t="shared" ca="1" si="1"/>
        <v>0</v>
      </c>
      <c r="AH73" s="155">
        <f t="shared" ca="1" si="2"/>
        <v>0</v>
      </c>
    </row>
    <row r="74" spans="1:35" x14ac:dyDescent="0.3">
      <c r="A74" s="129" t="s">
        <v>169</v>
      </c>
      <c r="B74" s="107">
        <f ca="1">J74+L74+N74+P74+R74+T74+V74+X74+Z74+AB74+AD74+H74</f>
        <v>0</v>
      </c>
      <c r="C74" s="107">
        <f ca="1">H74+J74+L74+N74+P74+R74+T74+V74+X74+Z74+AB74+AD74</f>
        <v>0</v>
      </c>
      <c r="D74" s="107">
        <f ca="1">E74</f>
        <v>0</v>
      </c>
      <c r="E74" s="107">
        <f ca="1">SUM(I74,K74,M74,O74,Q74,S74,U74,W74,Y74,AA74,AC74,AE74)</f>
        <v>0</v>
      </c>
      <c r="F74" s="107">
        <f ca="1">IFERROR(E74/B74*100,0)</f>
        <v>0</v>
      </c>
      <c r="G74" s="107">
        <f ca="1">IFERROR(E74/C74*100,0)</f>
        <v>0</v>
      </c>
      <c r="H74" s="107">
        <f t="shared" ref="H74:Q75" ca="1" si="24">IFERROR(F74/D74*100,0)</f>
        <v>0</v>
      </c>
      <c r="I74" s="107">
        <f t="shared" ca="1" si="24"/>
        <v>0</v>
      </c>
      <c r="J74" s="107">
        <f t="shared" ca="1" si="24"/>
        <v>0</v>
      </c>
      <c r="K74" s="107">
        <f t="shared" ca="1" si="24"/>
        <v>0</v>
      </c>
      <c r="L74" s="107">
        <f t="shared" ca="1" si="24"/>
        <v>0</v>
      </c>
      <c r="M74" s="107">
        <f t="shared" ca="1" si="24"/>
        <v>0</v>
      </c>
      <c r="N74" s="107">
        <f t="shared" ca="1" si="24"/>
        <v>0</v>
      </c>
      <c r="O74" s="107">
        <f t="shared" ca="1" si="24"/>
        <v>0</v>
      </c>
      <c r="P74" s="107">
        <f t="shared" ca="1" si="24"/>
        <v>0</v>
      </c>
      <c r="Q74" s="107">
        <f t="shared" ca="1" si="24"/>
        <v>0</v>
      </c>
      <c r="R74" s="107">
        <f t="shared" ref="R74:AA75" ca="1" si="25">IFERROR(P74/N74*100,0)</f>
        <v>0</v>
      </c>
      <c r="S74" s="107">
        <f t="shared" ca="1" si="25"/>
        <v>0</v>
      </c>
      <c r="T74" s="107">
        <f t="shared" ca="1" si="25"/>
        <v>0</v>
      </c>
      <c r="U74" s="107">
        <f t="shared" ca="1" si="25"/>
        <v>0</v>
      </c>
      <c r="V74" s="107">
        <f t="shared" ca="1" si="25"/>
        <v>0</v>
      </c>
      <c r="W74" s="107">
        <f t="shared" ca="1" si="25"/>
        <v>0</v>
      </c>
      <c r="X74" s="107">
        <f t="shared" ca="1" si="25"/>
        <v>0</v>
      </c>
      <c r="Y74" s="107">
        <f t="shared" ca="1" si="25"/>
        <v>0</v>
      </c>
      <c r="Z74" s="107">
        <f t="shared" ca="1" si="25"/>
        <v>0</v>
      </c>
      <c r="AA74" s="107">
        <f t="shared" ca="1" si="25"/>
        <v>0</v>
      </c>
      <c r="AB74" s="107">
        <f t="shared" ref="AB74:AE75" ca="1" si="26">IFERROR(Z74/X74*100,0)</f>
        <v>0</v>
      </c>
      <c r="AC74" s="107">
        <f t="shared" ca="1" si="26"/>
        <v>0</v>
      </c>
      <c r="AD74" s="107">
        <f t="shared" ca="1" si="26"/>
        <v>0</v>
      </c>
      <c r="AE74" s="107">
        <f t="shared" ca="1" si="26"/>
        <v>0</v>
      </c>
      <c r="AF74" s="101"/>
      <c r="AG74" s="102">
        <f t="shared" ca="1" si="1"/>
        <v>0</v>
      </c>
      <c r="AH74" s="155">
        <f t="shared" ca="1" si="2"/>
        <v>0</v>
      </c>
    </row>
    <row r="75" spans="1:35" x14ac:dyDescent="0.3">
      <c r="A75" s="129" t="s">
        <v>32</v>
      </c>
      <c r="B75" s="107">
        <f ca="1">J75+L75+N75+P75+R75+T75+V75+X75+Z75+AB75+AD75+H75</f>
        <v>0</v>
      </c>
      <c r="C75" s="107">
        <f ca="1">H75+J75+L75+N75+P75+R75+T75+V75+X75+Z75+AB75+AD75</f>
        <v>0</v>
      </c>
      <c r="D75" s="107">
        <f ca="1">E75</f>
        <v>0</v>
      </c>
      <c r="E75" s="107">
        <f ca="1">SUM(I75,K75,M75,O75,Q75,S75,U75,W75,Y75,AA75,AC75,AE75)</f>
        <v>0</v>
      </c>
      <c r="F75" s="107">
        <f ca="1">IFERROR(E75/B75*100,0)</f>
        <v>0</v>
      </c>
      <c r="G75" s="107">
        <f ca="1">IFERROR(E75/C75*100,0)</f>
        <v>0</v>
      </c>
      <c r="H75" s="107">
        <f t="shared" ca="1" si="24"/>
        <v>0</v>
      </c>
      <c r="I75" s="107">
        <f t="shared" ca="1" si="24"/>
        <v>0</v>
      </c>
      <c r="J75" s="107">
        <f t="shared" ca="1" si="24"/>
        <v>0</v>
      </c>
      <c r="K75" s="107">
        <f t="shared" ca="1" si="24"/>
        <v>0</v>
      </c>
      <c r="L75" s="107">
        <f t="shared" ca="1" si="24"/>
        <v>0</v>
      </c>
      <c r="M75" s="107">
        <f t="shared" ca="1" si="24"/>
        <v>0</v>
      </c>
      <c r="N75" s="107">
        <f t="shared" ca="1" si="24"/>
        <v>0</v>
      </c>
      <c r="O75" s="107">
        <f t="shared" ca="1" si="24"/>
        <v>0</v>
      </c>
      <c r="P75" s="107">
        <f t="shared" ca="1" si="24"/>
        <v>0</v>
      </c>
      <c r="Q75" s="107">
        <f t="shared" ca="1" si="24"/>
        <v>0</v>
      </c>
      <c r="R75" s="107">
        <f t="shared" ca="1" si="25"/>
        <v>0</v>
      </c>
      <c r="S75" s="107">
        <f t="shared" ca="1" si="25"/>
        <v>0</v>
      </c>
      <c r="T75" s="107">
        <f t="shared" ca="1" si="25"/>
        <v>0</v>
      </c>
      <c r="U75" s="107">
        <f t="shared" ca="1" si="25"/>
        <v>0</v>
      </c>
      <c r="V75" s="107">
        <f t="shared" ca="1" si="25"/>
        <v>0</v>
      </c>
      <c r="W75" s="107">
        <f t="shared" ca="1" si="25"/>
        <v>0</v>
      </c>
      <c r="X75" s="107">
        <f t="shared" ca="1" si="25"/>
        <v>0</v>
      </c>
      <c r="Y75" s="107">
        <f t="shared" ca="1" si="25"/>
        <v>0</v>
      </c>
      <c r="Z75" s="107">
        <f t="shared" ca="1" si="25"/>
        <v>0</v>
      </c>
      <c r="AA75" s="107">
        <f t="shared" ca="1" si="25"/>
        <v>0</v>
      </c>
      <c r="AB75" s="107">
        <f t="shared" ca="1" si="26"/>
        <v>0</v>
      </c>
      <c r="AC75" s="107">
        <f t="shared" ca="1" si="26"/>
        <v>0</v>
      </c>
      <c r="AD75" s="107">
        <f t="shared" ca="1" si="26"/>
        <v>0</v>
      </c>
      <c r="AE75" s="107">
        <f t="shared" ca="1" si="26"/>
        <v>0</v>
      </c>
      <c r="AF75" s="101"/>
      <c r="AG75" s="102">
        <f t="shared" ca="1" si="1"/>
        <v>0</v>
      </c>
      <c r="AH75" s="155">
        <f t="shared" ca="1" si="2"/>
        <v>0</v>
      </c>
    </row>
    <row r="76" spans="1:35" ht="81.75" customHeight="1" x14ac:dyDescent="0.3">
      <c r="A76" s="129" t="s">
        <v>33</v>
      </c>
      <c r="B76" s="735">
        <f>J76+L76+N76+P76+R76+T76+V76+X76+Z76+AB76+AD76+H76</f>
        <v>3491.4</v>
      </c>
      <c r="C76" s="735">
        <f>H76+J76+L76</f>
        <v>3491.4</v>
      </c>
      <c r="D76" s="107">
        <f>E76</f>
        <v>3491.4</v>
      </c>
      <c r="E76" s="733">
        <f>SUM(I76,K76,M76,O76,Q76,S76,U76,W76,Y76,AA76,AC76,AE76)</f>
        <v>3491.4</v>
      </c>
      <c r="F76" s="107">
        <f>IFERROR(E76/B76*100,0)</f>
        <v>100</v>
      </c>
      <c r="G76" s="107">
        <f>IFERROR(E76/C76*100,0)</f>
        <v>100</v>
      </c>
      <c r="H76" s="107">
        <v>1750</v>
      </c>
      <c r="I76" s="695">
        <v>1750</v>
      </c>
      <c r="J76" s="107">
        <f>150+1591.4</f>
        <v>1741.4</v>
      </c>
      <c r="K76" s="107">
        <v>150</v>
      </c>
      <c r="L76" s="107">
        <v>0</v>
      </c>
      <c r="M76" s="107">
        <v>0</v>
      </c>
      <c r="N76" s="107">
        <v>0</v>
      </c>
      <c r="O76" s="107">
        <v>1591.4</v>
      </c>
      <c r="P76" s="107">
        <v>0</v>
      </c>
      <c r="Q76" s="107">
        <v>0</v>
      </c>
      <c r="R76" s="107">
        <v>0</v>
      </c>
      <c r="S76" s="107">
        <v>0</v>
      </c>
      <c r="T76" s="107">
        <v>0</v>
      </c>
      <c r="U76" s="107">
        <v>0</v>
      </c>
      <c r="V76" s="107">
        <v>0</v>
      </c>
      <c r="W76" s="107">
        <v>0</v>
      </c>
      <c r="X76" s="107">
        <v>0</v>
      </c>
      <c r="Y76" s="107">
        <v>0</v>
      </c>
      <c r="Z76" s="107">
        <v>0</v>
      </c>
      <c r="AA76" s="107">
        <v>0</v>
      </c>
      <c r="AB76" s="107">
        <v>0</v>
      </c>
      <c r="AC76" s="107">
        <v>0</v>
      </c>
      <c r="AD76" s="107">
        <v>0</v>
      </c>
      <c r="AE76" s="107">
        <v>0</v>
      </c>
      <c r="AF76" s="740" t="s">
        <v>512</v>
      </c>
      <c r="AG76" s="102">
        <f t="shared" si="1"/>
        <v>0</v>
      </c>
      <c r="AH76" s="736">
        <f t="shared" si="2"/>
        <v>0</v>
      </c>
      <c r="AI76" s="738">
        <v>1591</v>
      </c>
    </row>
    <row r="77" spans="1:35" x14ac:dyDescent="0.3">
      <c r="A77" s="129" t="s">
        <v>170</v>
      </c>
      <c r="B77" s="107">
        <f>J77+L77+N77+P77+R77+T77+V77+X77+Z77+AB77+AD77+H77</f>
        <v>0</v>
      </c>
      <c r="C77" s="107">
        <f>H77+J77+L77+N77+P77+R77+T77+V77+X77+Z77+AB77+AD77</f>
        <v>0</v>
      </c>
      <c r="D77" s="107">
        <f>E77</f>
        <v>0</v>
      </c>
      <c r="E77" s="107">
        <f>SUM(I77,K77,M77,O77,Q77,S77,U77,W77,Y77,AA77,AC77,AE77)</f>
        <v>0</v>
      </c>
      <c r="F77" s="107">
        <f>IFERROR(E77/B77*100,0)</f>
        <v>0</v>
      </c>
      <c r="G77" s="107">
        <f>IFERROR(E77/C77*100,0)</f>
        <v>0</v>
      </c>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1"/>
      <c r="AG77" s="102">
        <f t="shared" si="1"/>
        <v>0</v>
      </c>
      <c r="AH77" s="155">
        <f t="shared" si="2"/>
        <v>0</v>
      </c>
    </row>
    <row r="78" spans="1:35" ht="56.25" x14ac:dyDescent="0.3">
      <c r="A78" s="124" t="s">
        <v>261</v>
      </c>
      <c r="B78" s="104"/>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01"/>
      <c r="AG78" s="102">
        <f t="shared" si="1"/>
        <v>0</v>
      </c>
      <c r="AH78" s="155">
        <f t="shared" si="2"/>
        <v>0</v>
      </c>
    </row>
    <row r="79" spans="1:35" x14ac:dyDescent="0.3">
      <c r="A79" s="128" t="s">
        <v>31</v>
      </c>
      <c r="B79" s="104">
        <f>B80+B81+B82+B83</f>
        <v>5574.1052600000003</v>
      </c>
      <c r="C79" s="104">
        <f>C80+C81+C82</f>
        <v>0</v>
      </c>
      <c r="D79" s="104">
        <f>D80+D81+D82</f>
        <v>0</v>
      </c>
      <c r="E79" s="104">
        <f>E80+E81+E82</f>
        <v>0</v>
      </c>
      <c r="F79" s="104">
        <f>IFERROR(E79/B79*100,0)</f>
        <v>0</v>
      </c>
      <c r="G79" s="104">
        <f>IFERROR(E79/C79*100,0)</f>
        <v>0</v>
      </c>
      <c r="H79" s="104">
        <f>H80+H81+H82</f>
        <v>0</v>
      </c>
      <c r="I79" s="104">
        <f t="shared" ref="I79:AE79" si="27">I80+I81+I82</f>
        <v>0</v>
      </c>
      <c r="J79" s="104">
        <f t="shared" si="27"/>
        <v>0</v>
      </c>
      <c r="K79" s="104">
        <f t="shared" si="27"/>
        <v>0</v>
      </c>
      <c r="L79" s="104">
        <f t="shared" si="27"/>
        <v>0</v>
      </c>
      <c r="M79" s="104">
        <f t="shared" si="27"/>
        <v>0</v>
      </c>
      <c r="N79" s="104">
        <f t="shared" si="27"/>
        <v>0</v>
      </c>
      <c r="O79" s="104">
        <f t="shared" si="27"/>
        <v>0</v>
      </c>
      <c r="P79" s="104">
        <f t="shared" si="27"/>
        <v>0</v>
      </c>
      <c r="Q79" s="104">
        <f t="shared" si="27"/>
        <v>0</v>
      </c>
      <c r="R79" s="104">
        <f t="shared" si="27"/>
        <v>0</v>
      </c>
      <c r="S79" s="104">
        <f t="shared" si="27"/>
        <v>0</v>
      </c>
      <c r="T79" s="104">
        <f t="shared" si="27"/>
        <v>0</v>
      </c>
      <c r="U79" s="104">
        <f t="shared" si="27"/>
        <v>0</v>
      </c>
      <c r="V79" s="104">
        <f t="shared" si="27"/>
        <v>0</v>
      </c>
      <c r="W79" s="104">
        <f t="shared" si="27"/>
        <v>0</v>
      </c>
      <c r="X79" s="104">
        <f t="shared" si="27"/>
        <v>0</v>
      </c>
      <c r="Y79" s="104">
        <f t="shared" si="27"/>
        <v>0</v>
      </c>
      <c r="Z79" s="104">
        <f t="shared" si="27"/>
        <v>0</v>
      </c>
      <c r="AA79" s="104">
        <f t="shared" si="27"/>
        <v>0</v>
      </c>
      <c r="AB79" s="104">
        <f t="shared" si="27"/>
        <v>0</v>
      </c>
      <c r="AC79" s="104">
        <f t="shared" si="27"/>
        <v>0</v>
      </c>
      <c r="AD79" s="104">
        <f t="shared" si="27"/>
        <v>5574.1052600000003</v>
      </c>
      <c r="AE79" s="104">
        <f t="shared" si="27"/>
        <v>0</v>
      </c>
      <c r="AF79" s="101"/>
      <c r="AG79" s="102">
        <f t="shared" si="1"/>
        <v>0</v>
      </c>
      <c r="AH79" s="155">
        <f t="shared" si="2"/>
        <v>0</v>
      </c>
    </row>
    <row r="80" spans="1:35" x14ac:dyDescent="0.3">
      <c r="A80" s="129" t="s">
        <v>169</v>
      </c>
      <c r="B80" s="107">
        <f>B86+B92</f>
        <v>0</v>
      </c>
      <c r="C80" s="107">
        <f>C86+C92</f>
        <v>0</v>
      </c>
      <c r="D80" s="107">
        <f>D86+D92</f>
        <v>0</v>
      </c>
      <c r="E80" s="107">
        <f>E86+E92</f>
        <v>0</v>
      </c>
      <c r="F80" s="107">
        <f>IFERROR(E80/B80*100,0)</f>
        <v>0</v>
      </c>
      <c r="G80" s="107">
        <f>IFERROR(E80/C80*100,0)</f>
        <v>0</v>
      </c>
      <c r="H80" s="107">
        <f t="shared" ref="H80:AE83" si="28">H86+H92</f>
        <v>0</v>
      </c>
      <c r="I80" s="107">
        <f t="shared" si="28"/>
        <v>0</v>
      </c>
      <c r="J80" s="107">
        <f t="shared" si="28"/>
        <v>0</v>
      </c>
      <c r="K80" s="107">
        <f t="shared" si="28"/>
        <v>0</v>
      </c>
      <c r="L80" s="107">
        <f t="shared" si="28"/>
        <v>0</v>
      </c>
      <c r="M80" s="107">
        <f t="shared" si="28"/>
        <v>0</v>
      </c>
      <c r="N80" s="107">
        <f t="shared" si="28"/>
        <v>0</v>
      </c>
      <c r="O80" s="107">
        <f t="shared" si="28"/>
        <v>0</v>
      </c>
      <c r="P80" s="107">
        <f t="shared" si="28"/>
        <v>0</v>
      </c>
      <c r="Q80" s="107">
        <f t="shared" si="28"/>
        <v>0</v>
      </c>
      <c r="R80" s="107">
        <f t="shared" si="28"/>
        <v>0</v>
      </c>
      <c r="S80" s="107">
        <f t="shared" si="28"/>
        <v>0</v>
      </c>
      <c r="T80" s="107">
        <f t="shared" si="28"/>
        <v>0</v>
      </c>
      <c r="U80" s="107">
        <f t="shared" si="28"/>
        <v>0</v>
      </c>
      <c r="V80" s="107">
        <f t="shared" si="28"/>
        <v>0</v>
      </c>
      <c r="W80" s="107">
        <f t="shared" si="28"/>
        <v>0</v>
      </c>
      <c r="X80" s="107">
        <f t="shared" si="28"/>
        <v>0</v>
      </c>
      <c r="Y80" s="107">
        <f t="shared" si="28"/>
        <v>0</v>
      </c>
      <c r="Z80" s="107">
        <f t="shared" si="28"/>
        <v>0</v>
      </c>
      <c r="AA80" s="107">
        <f t="shared" si="28"/>
        <v>0</v>
      </c>
      <c r="AB80" s="107">
        <f t="shared" si="28"/>
        <v>0</v>
      </c>
      <c r="AC80" s="107">
        <f t="shared" si="28"/>
        <v>0</v>
      </c>
      <c r="AD80" s="107">
        <f t="shared" si="28"/>
        <v>0</v>
      </c>
      <c r="AE80" s="107">
        <f t="shared" si="28"/>
        <v>0</v>
      </c>
      <c r="AF80" s="101"/>
      <c r="AG80" s="102">
        <f t="shared" si="1"/>
        <v>0</v>
      </c>
      <c r="AH80" s="155">
        <f t="shared" si="2"/>
        <v>0</v>
      </c>
    </row>
    <row r="81" spans="1:34" x14ac:dyDescent="0.3">
      <c r="A81" s="129" t="s">
        <v>32</v>
      </c>
      <c r="B81" s="107">
        <f t="shared" ref="B81:E83" si="29">B87+B93</f>
        <v>0</v>
      </c>
      <c r="C81" s="107">
        <f t="shared" si="29"/>
        <v>0</v>
      </c>
      <c r="D81" s="107">
        <f t="shared" si="29"/>
        <v>0</v>
      </c>
      <c r="E81" s="107">
        <f t="shared" si="29"/>
        <v>0</v>
      </c>
      <c r="F81" s="107">
        <f>IFERROR(E81/B81*100,0)</f>
        <v>0</v>
      </c>
      <c r="G81" s="107">
        <f>IFERROR(E81/C81*100,0)</f>
        <v>0</v>
      </c>
      <c r="H81" s="107">
        <f t="shared" si="28"/>
        <v>0</v>
      </c>
      <c r="I81" s="107">
        <f t="shared" si="28"/>
        <v>0</v>
      </c>
      <c r="J81" s="107">
        <f t="shared" si="28"/>
        <v>0</v>
      </c>
      <c r="K81" s="107">
        <f t="shared" si="28"/>
        <v>0</v>
      </c>
      <c r="L81" s="107">
        <f t="shared" si="28"/>
        <v>0</v>
      </c>
      <c r="M81" s="107">
        <f t="shared" si="28"/>
        <v>0</v>
      </c>
      <c r="N81" s="107">
        <f t="shared" si="28"/>
        <v>0</v>
      </c>
      <c r="O81" s="107">
        <f t="shared" si="28"/>
        <v>0</v>
      </c>
      <c r="P81" s="107">
        <f t="shared" si="28"/>
        <v>0</v>
      </c>
      <c r="Q81" s="107">
        <f t="shared" si="28"/>
        <v>0</v>
      </c>
      <c r="R81" s="107">
        <f t="shared" si="28"/>
        <v>0</v>
      </c>
      <c r="S81" s="107">
        <f t="shared" si="28"/>
        <v>0</v>
      </c>
      <c r="T81" s="107">
        <f t="shared" si="28"/>
        <v>0</v>
      </c>
      <c r="U81" s="107">
        <f t="shared" si="28"/>
        <v>0</v>
      </c>
      <c r="V81" s="107">
        <f t="shared" si="28"/>
        <v>0</v>
      </c>
      <c r="W81" s="107">
        <f t="shared" si="28"/>
        <v>0</v>
      </c>
      <c r="X81" s="107">
        <f t="shared" si="28"/>
        <v>0</v>
      </c>
      <c r="Y81" s="107">
        <f t="shared" si="28"/>
        <v>0</v>
      </c>
      <c r="Z81" s="107">
        <f t="shared" si="28"/>
        <v>0</v>
      </c>
      <c r="AA81" s="107">
        <f t="shared" si="28"/>
        <v>0</v>
      </c>
      <c r="AB81" s="107">
        <f t="shared" si="28"/>
        <v>0</v>
      </c>
      <c r="AC81" s="107">
        <f t="shared" si="28"/>
        <v>0</v>
      </c>
      <c r="AD81" s="107">
        <f t="shared" si="28"/>
        <v>0</v>
      </c>
      <c r="AE81" s="107">
        <f t="shared" si="28"/>
        <v>0</v>
      </c>
      <c r="AF81" s="101"/>
      <c r="AG81" s="102">
        <f t="shared" si="1"/>
        <v>0</v>
      </c>
      <c r="AH81" s="155">
        <f t="shared" si="2"/>
        <v>0</v>
      </c>
    </row>
    <row r="82" spans="1:34" x14ac:dyDescent="0.3">
      <c r="A82" s="129" t="s">
        <v>33</v>
      </c>
      <c r="B82" s="107">
        <f t="shared" si="29"/>
        <v>5574.1052600000003</v>
      </c>
      <c r="C82" s="107">
        <f>H82+J82+L82</f>
        <v>0</v>
      </c>
      <c r="D82" s="107">
        <f t="shared" si="29"/>
        <v>0</v>
      </c>
      <c r="E82" s="107">
        <f t="shared" si="29"/>
        <v>0</v>
      </c>
      <c r="F82" s="107">
        <f>IFERROR(E82/B82*100,0)</f>
        <v>0</v>
      </c>
      <c r="G82" s="107">
        <f>IFERROR(E82/C82*100,0)</f>
        <v>0</v>
      </c>
      <c r="H82" s="107">
        <f t="shared" si="28"/>
        <v>0</v>
      </c>
      <c r="I82" s="107">
        <f t="shared" si="28"/>
        <v>0</v>
      </c>
      <c r="J82" s="107">
        <f t="shared" si="28"/>
        <v>0</v>
      </c>
      <c r="K82" s="107">
        <f t="shared" si="28"/>
        <v>0</v>
      </c>
      <c r="L82" s="107">
        <f t="shared" si="28"/>
        <v>0</v>
      </c>
      <c r="M82" s="107">
        <f t="shared" si="28"/>
        <v>0</v>
      </c>
      <c r="N82" s="107">
        <f t="shared" si="28"/>
        <v>0</v>
      </c>
      <c r="O82" s="107">
        <f t="shared" si="28"/>
        <v>0</v>
      </c>
      <c r="P82" s="107">
        <f t="shared" si="28"/>
        <v>0</v>
      </c>
      <c r="Q82" s="107">
        <f t="shared" si="28"/>
        <v>0</v>
      </c>
      <c r="R82" s="107">
        <f t="shared" si="28"/>
        <v>0</v>
      </c>
      <c r="S82" s="107">
        <f t="shared" si="28"/>
        <v>0</v>
      </c>
      <c r="T82" s="107">
        <f t="shared" si="28"/>
        <v>0</v>
      </c>
      <c r="U82" s="107">
        <f t="shared" si="28"/>
        <v>0</v>
      </c>
      <c r="V82" s="107">
        <f t="shared" si="28"/>
        <v>0</v>
      </c>
      <c r="W82" s="107">
        <f t="shared" si="28"/>
        <v>0</v>
      </c>
      <c r="X82" s="107">
        <f t="shared" si="28"/>
        <v>0</v>
      </c>
      <c r="Y82" s="107">
        <f t="shared" si="28"/>
        <v>0</v>
      </c>
      <c r="Z82" s="107">
        <f t="shared" si="28"/>
        <v>0</v>
      </c>
      <c r="AA82" s="107">
        <f t="shared" si="28"/>
        <v>0</v>
      </c>
      <c r="AB82" s="107">
        <f t="shared" si="28"/>
        <v>0</v>
      </c>
      <c r="AC82" s="107">
        <f t="shared" si="28"/>
        <v>0</v>
      </c>
      <c r="AD82" s="107">
        <f t="shared" si="28"/>
        <v>5574.1052600000003</v>
      </c>
      <c r="AE82" s="107">
        <f t="shared" si="28"/>
        <v>0</v>
      </c>
      <c r="AF82" s="101"/>
      <c r="AG82" s="102">
        <f t="shared" ref="AG82:AG145" si="30">B82-H82-J82-L82-N82-P82-R82-T82-V82-X82-Z82-AB82-AD82</f>
        <v>0</v>
      </c>
      <c r="AH82" s="155">
        <f t="shared" si="2"/>
        <v>0</v>
      </c>
    </row>
    <row r="83" spans="1:34" x14ac:dyDescent="0.3">
      <c r="A83" s="129" t="s">
        <v>170</v>
      </c>
      <c r="B83" s="107">
        <f t="shared" si="29"/>
        <v>0</v>
      </c>
      <c r="C83" s="107">
        <f t="shared" si="29"/>
        <v>0</v>
      </c>
      <c r="D83" s="107">
        <f t="shared" si="29"/>
        <v>0</v>
      </c>
      <c r="E83" s="107">
        <f t="shared" si="29"/>
        <v>0</v>
      </c>
      <c r="F83" s="107">
        <f>IFERROR(E83/B83*100,0)</f>
        <v>0</v>
      </c>
      <c r="G83" s="107">
        <f>IFERROR(E83/C83*100,0)</f>
        <v>0</v>
      </c>
      <c r="H83" s="107">
        <f t="shared" si="28"/>
        <v>0</v>
      </c>
      <c r="I83" s="107">
        <f t="shared" si="28"/>
        <v>0</v>
      </c>
      <c r="J83" s="107">
        <f t="shared" si="28"/>
        <v>0</v>
      </c>
      <c r="K83" s="107">
        <f t="shared" si="28"/>
        <v>0</v>
      </c>
      <c r="L83" s="107">
        <f t="shared" si="28"/>
        <v>0</v>
      </c>
      <c r="M83" s="107">
        <f t="shared" si="28"/>
        <v>0</v>
      </c>
      <c r="N83" s="107">
        <f t="shared" si="28"/>
        <v>0</v>
      </c>
      <c r="O83" s="107">
        <f t="shared" si="28"/>
        <v>0</v>
      </c>
      <c r="P83" s="107">
        <f t="shared" si="28"/>
        <v>0</v>
      </c>
      <c r="Q83" s="107">
        <f t="shared" si="28"/>
        <v>0</v>
      </c>
      <c r="R83" s="107">
        <f t="shared" si="28"/>
        <v>0</v>
      </c>
      <c r="S83" s="107">
        <f t="shared" si="28"/>
        <v>0</v>
      </c>
      <c r="T83" s="107">
        <f t="shared" si="28"/>
        <v>0</v>
      </c>
      <c r="U83" s="107">
        <f t="shared" si="28"/>
        <v>0</v>
      </c>
      <c r="V83" s="107">
        <f t="shared" si="28"/>
        <v>0</v>
      </c>
      <c r="W83" s="107">
        <f t="shared" si="28"/>
        <v>0</v>
      </c>
      <c r="X83" s="107">
        <f t="shared" si="28"/>
        <v>0</v>
      </c>
      <c r="Y83" s="107">
        <f t="shared" si="28"/>
        <v>0</v>
      </c>
      <c r="Z83" s="107">
        <f t="shared" si="28"/>
        <v>0</v>
      </c>
      <c r="AA83" s="107">
        <f t="shared" si="28"/>
        <v>0</v>
      </c>
      <c r="AB83" s="107">
        <f t="shared" si="28"/>
        <v>0</v>
      </c>
      <c r="AC83" s="107">
        <f t="shared" si="28"/>
        <v>0</v>
      </c>
      <c r="AD83" s="107">
        <f t="shared" si="28"/>
        <v>0</v>
      </c>
      <c r="AE83" s="107">
        <f t="shared" si="28"/>
        <v>0</v>
      </c>
      <c r="AF83" s="101"/>
      <c r="AG83" s="102">
        <f t="shared" si="30"/>
        <v>0</v>
      </c>
      <c r="AH83" s="155">
        <f t="shared" ref="AH83:AH146" si="31">C83-E83</f>
        <v>0</v>
      </c>
    </row>
    <row r="84" spans="1:34" ht="292.5" x14ac:dyDescent="0.3">
      <c r="A84" s="108" t="s">
        <v>262</v>
      </c>
      <c r="B84" s="130"/>
      <c r="C84" s="131"/>
      <c r="D84" s="131"/>
      <c r="E84" s="131"/>
      <c r="F84" s="131"/>
      <c r="G84" s="13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682" t="s">
        <v>498</v>
      </c>
      <c r="AG84" s="102">
        <f t="shared" si="30"/>
        <v>0</v>
      </c>
      <c r="AH84" s="155">
        <f t="shared" si="31"/>
        <v>0</v>
      </c>
    </row>
    <row r="85" spans="1:34" x14ac:dyDescent="0.3">
      <c r="A85" s="112" t="s">
        <v>31</v>
      </c>
      <c r="B85" s="113">
        <f>B87+B88+B86+B89</f>
        <v>2849.7052600000002</v>
      </c>
      <c r="C85" s="113">
        <f>C87+C88+C86+C89</f>
        <v>0</v>
      </c>
      <c r="D85" s="113">
        <f>D87+D88+D86+D89</f>
        <v>0</v>
      </c>
      <c r="E85" s="113">
        <f>E87+E88+E86+E89</f>
        <v>0</v>
      </c>
      <c r="F85" s="113">
        <f>IFERROR(E85/B85*100,0)</f>
        <v>0</v>
      </c>
      <c r="G85" s="113">
        <f>IFERROR(E85/C85*100,0)</f>
        <v>0</v>
      </c>
      <c r="H85" s="113">
        <f t="shared" ref="H85:AE85" si="32">H87+H88+H86+H89</f>
        <v>0</v>
      </c>
      <c r="I85" s="113">
        <f t="shared" si="32"/>
        <v>0</v>
      </c>
      <c r="J85" s="113">
        <f t="shared" si="32"/>
        <v>0</v>
      </c>
      <c r="K85" s="113">
        <f t="shared" si="32"/>
        <v>0</v>
      </c>
      <c r="L85" s="113">
        <f t="shared" si="32"/>
        <v>0</v>
      </c>
      <c r="M85" s="113">
        <f t="shared" si="32"/>
        <v>0</v>
      </c>
      <c r="N85" s="113">
        <f t="shared" si="32"/>
        <v>0</v>
      </c>
      <c r="O85" s="113">
        <f t="shared" si="32"/>
        <v>0</v>
      </c>
      <c r="P85" s="113">
        <f t="shared" si="32"/>
        <v>0</v>
      </c>
      <c r="Q85" s="113">
        <f t="shared" si="32"/>
        <v>0</v>
      </c>
      <c r="R85" s="113">
        <f t="shared" si="32"/>
        <v>0</v>
      </c>
      <c r="S85" s="113">
        <f t="shared" si="32"/>
        <v>0</v>
      </c>
      <c r="T85" s="113">
        <f t="shared" si="32"/>
        <v>0</v>
      </c>
      <c r="U85" s="113">
        <f t="shared" si="32"/>
        <v>0</v>
      </c>
      <c r="V85" s="113">
        <f t="shared" si="32"/>
        <v>0</v>
      </c>
      <c r="W85" s="113">
        <f t="shared" si="32"/>
        <v>0</v>
      </c>
      <c r="X85" s="113">
        <f t="shared" si="32"/>
        <v>0</v>
      </c>
      <c r="Y85" s="113">
        <f t="shared" si="32"/>
        <v>0</v>
      </c>
      <c r="Z85" s="113">
        <f t="shared" si="32"/>
        <v>0</v>
      </c>
      <c r="AA85" s="113">
        <f t="shared" si="32"/>
        <v>0</v>
      </c>
      <c r="AB85" s="113">
        <f t="shared" si="32"/>
        <v>0</v>
      </c>
      <c r="AC85" s="113">
        <f t="shared" si="32"/>
        <v>0</v>
      </c>
      <c r="AD85" s="113">
        <f t="shared" si="32"/>
        <v>2849.7052600000002</v>
      </c>
      <c r="AE85" s="113">
        <f t="shared" si="32"/>
        <v>0</v>
      </c>
      <c r="AF85" s="29"/>
      <c r="AG85" s="102">
        <f t="shared" si="30"/>
        <v>0</v>
      </c>
      <c r="AH85" s="155">
        <f t="shared" si="31"/>
        <v>0</v>
      </c>
    </row>
    <row r="86" spans="1:34" x14ac:dyDescent="0.3">
      <c r="A86" s="115" t="s">
        <v>169</v>
      </c>
      <c r="B86" s="116"/>
      <c r="C86" s="117"/>
      <c r="D86" s="118"/>
      <c r="E86" s="117"/>
      <c r="F86" s="116"/>
      <c r="G86" s="116"/>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f t="shared" si="30"/>
        <v>0</v>
      </c>
      <c r="AH86" s="155">
        <f t="shared" si="31"/>
        <v>0</v>
      </c>
    </row>
    <row r="87" spans="1:34" x14ac:dyDescent="0.3">
      <c r="A87" s="115" t="s">
        <v>32</v>
      </c>
      <c r="B87" s="116"/>
      <c r="C87" s="117"/>
      <c r="D87" s="118"/>
      <c r="E87" s="117"/>
      <c r="F87" s="116"/>
      <c r="G87" s="116"/>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29"/>
      <c r="AG87" s="102">
        <f t="shared" si="30"/>
        <v>0</v>
      </c>
      <c r="AH87" s="155">
        <f t="shared" si="31"/>
        <v>0</v>
      </c>
    </row>
    <row r="88" spans="1:34" x14ac:dyDescent="0.3">
      <c r="A88" s="115" t="s">
        <v>33</v>
      </c>
      <c r="B88" s="116">
        <f>J88+L88+N88+P88+R88+T88+V88+X88+Z88+AB88+AD88+H88</f>
        <v>2849.7052600000002</v>
      </c>
      <c r="C88" s="117">
        <f>H88+J88+L88</f>
        <v>0</v>
      </c>
      <c r="D88" s="118">
        <f>E88</f>
        <v>0</v>
      </c>
      <c r="E88" s="117">
        <f>SUM(I88,K88,M88,O88,Q88,S88,U88,W88,Y88,AA88,AC88,AE88)</f>
        <v>0</v>
      </c>
      <c r="F88" s="116">
        <f>IFERROR(E88/B88*100,0)</f>
        <v>0</v>
      </c>
      <c r="G88" s="116">
        <f>IFERROR(E88/C88*100,0)</f>
        <v>0</v>
      </c>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v>2849.7052600000002</v>
      </c>
      <c r="AE88" s="111"/>
      <c r="AF88" s="29"/>
      <c r="AG88" s="102">
        <f t="shared" si="30"/>
        <v>0</v>
      </c>
      <c r="AH88" s="155">
        <f t="shared" si="31"/>
        <v>0</v>
      </c>
    </row>
    <row r="89" spans="1:34" x14ac:dyDescent="0.3">
      <c r="A89" s="122" t="s">
        <v>170</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f t="shared" si="30"/>
        <v>0</v>
      </c>
      <c r="AH89" s="155">
        <f t="shared" si="31"/>
        <v>0</v>
      </c>
    </row>
    <row r="90" spans="1:34" ht="90" x14ac:dyDescent="0.3">
      <c r="A90" s="108" t="s">
        <v>263</v>
      </c>
      <c r="B90" s="130"/>
      <c r="C90" s="131"/>
      <c r="D90" s="131"/>
      <c r="E90" s="131"/>
      <c r="F90" s="131"/>
      <c r="G90" s="13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681" t="s">
        <v>497</v>
      </c>
      <c r="AG90" s="102">
        <f>B90-H90-J90-L90-N90-P90-R90-T90-V90-X90-Z90-AB90-AD90</f>
        <v>0</v>
      </c>
      <c r="AH90" s="155">
        <f t="shared" si="31"/>
        <v>0</v>
      </c>
    </row>
    <row r="91" spans="1:34" x14ac:dyDescent="0.3">
      <c r="A91" s="112" t="s">
        <v>31</v>
      </c>
      <c r="B91" s="113">
        <f>B93+B94+B92+B95</f>
        <v>2724.4</v>
      </c>
      <c r="C91" s="113">
        <f>C93+C94+C92+C95</f>
        <v>0</v>
      </c>
      <c r="D91" s="113">
        <f>D93+D94+D92+D95</f>
        <v>0</v>
      </c>
      <c r="E91" s="113">
        <f>E93+E94+E92+E95</f>
        <v>0</v>
      </c>
      <c r="F91" s="113">
        <f>IFERROR(E91/B91*100,0)</f>
        <v>0</v>
      </c>
      <c r="G91" s="113">
        <f>IFERROR(E91/C91*100,0)</f>
        <v>0</v>
      </c>
      <c r="H91" s="113">
        <f t="shared" ref="H91:AE91" si="33">H93+H94+H92+H95</f>
        <v>0</v>
      </c>
      <c r="I91" s="113">
        <f t="shared" si="33"/>
        <v>0</v>
      </c>
      <c r="J91" s="113">
        <f t="shared" si="33"/>
        <v>0</v>
      </c>
      <c r="K91" s="113">
        <f t="shared" si="33"/>
        <v>0</v>
      </c>
      <c r="L91" s="113">
        <f t="shared" si="33"/>
        <v>0</v>
      </c>
      <c r="M91" s="113">
        <f t="shared" si="33"/>
        <v>0</v>
      </c>
      <c r="N91" s="113">
        <f t="shared" si="33"/>
        <v>0</v>
      </c>
      <c r="O91" s="113">
        <f t="shared" si="33"/>
        <v>0</v>
      </c>
      <c r="P91" s="113">
        <f t="shared" si="33"/>
        <v>0</v>
      </c>
      <c r="Q91" s="113">
        <f t="shared" si="33"/>
        <v>0</v>
      </c>
      <c r="R91" s="113">
        <f t="shared" si="33"/>
        <v>0</v>
      </c>
      <c r="S91" s="113">
        <f t="shared" si="33"/>
        <v>0</v>
      </c>
      <c r="T91" s="113">
        <f t="shared" si="33"/>
        <v>0</v>
      </c>
      <c r="U91" s="113">
        <f t="shared" si="33"/>
        <v>0</v>
      </c>
      <c r="V91" s="113">
        <f t="shared" si="33"/>
        <v>0</v>
      </c>
      <c r="W91" s="113">
        <f t="shared" si="33"/>
        <v>0</v>
      </c>
      <c r="X91" s="113">
        <f t="shared" si="33"/>
        <v>0</v>
      </c>
      <c r="Y91" s="113">
        <f t="shared" si="33"/>
        <v>0</v>
      </c>
      <c r="Z91" s="113">
        <f t="shared" si="33"/>
        <v>0</v>
      </c>
      <c r="AA91" s="113">
        <f t="shared" si="33"/>
        <v>0</v>
      </c>
      <c r="AB91" s="113">
        <f t="shared" si="33"/>
        <v>0</v>
      </c>
      <c r="AC91" s="113">
        <f t="shared" si="33"/>
        <v>0</v>
      </c>
      <c r="AD91" s="113">
        <f t="shared" si="33"/>
        <v>2724.4</v>
      </c>
      <c r="AE91" s="113">
        <f t="shared" si="33"/>
        <v>0</v>
      </c>
      <c r="AF91" s="29"/>
      <c r="AG91" s="102">
        <f t="shared" si="30"/>
        <v>0</v>
      </c>
      <c r="AH91" s="155">
        <f t="shared" si="31"/>
        <v>0</v>
      </c>
    </row>
    <row r="92" spans="1:34" x14ac:dyDescent="0.3">
      <c r="A92" s="115" t="s">
        <v>169</v>
      </c>
      <c r="B92" s="116"/>
      <c r="C92" s="117"/>
      <c r="D92" s="118"/>
      <c r="E92" s="117"/>
      <c r="F92" s="116"/>
      <c r="G92" s="116"/>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29"/>
      <c r="AG92" s="102">
        <f t="shared" si="30"/>
        <v>0</v>
      </c>
      <c r="AH92" s="155">
        <f t="shared" si="31"/>
        <v>0</v>
      </c>
    </row>
    <row r="93" spans="1:34" x14ac:dyDescent="0.3">
      <c r="A93" s="115" t="s">
        <v>32</v>
      </c>
      <c r="B93" s="116"/>
      <c r="C93" s="117"/>
      <c r="D93" s="118"/>
      <c r="E93" s="117"/>
      <c r="F93" s="116"/>
      <c r="G93" s="116"/>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29"/>
      <c r="AG93" s="102">
        <f t="shared" si="30"/>
        <v>0</v>
      </c>
      <c r="AH93" s="155">
        <f t="shared" si="31"/>
        <v>0</v>
      </c>
    </row>
    <row r="94" spans="1:34" x14ac:dyDescent="0.3">
      <c r="A94" s="115" t="s">
        <v>33</v>
      </c>
      <c r="B94" s="116">
        <f>J94+L94+N94+P94+R94+T94+V94+X94+Z94+AB94+AD94+H94</f>
        <v>2724.4</v>
      </c>
      <c r="C94" s="117">
        <f>H94+J94+L94</f>
        <v>0</v>
      </c>
      <c r="D94" s="118">
        <f>E94</f>
        <v>0</v>
      </c>
      <c r="E94" s="117">
        <f>SUM(I94,K94,M94,O94,Q94,S94,U94,W94,Y94,AA94,AC94,AE94)</f>
        <v>0</v>
      </c>
      <c r="F94" s="116">
        <f>IFERROR(E94/B94*100,0)</f>
        <v>0</v>
      </c>
      <c r="G94" s="116">
        <f>IFERROR(E94/C94*100,0)</f>
        <v>0</v>
      </c>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v>2724.4</v>
      </c>
      <c r="AE94" s="111"/>
      <c r="AF94" s="29"/>
      <c r="AG94" s="102">
        <f t="shared" si="30"/>
        <v>0</v>
      </c>
      <c r="AH94" s="155">
        <f t="shared" si="31"/>
        <v>0</v>
      </c>
    </row>
    <row r="95" spans="1:34" x14ac:dyDescent="0.3">
      <c r="A95" s="122" t="s">
        <v>170</v>
      </c>
      <c r="B95" s="116"/>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30"/>
        <v>0</v>
      </c>
      <c r="AH95" s="155">
        <f t="shared" si="31"/>
        <v>0</v>
      </c>
    </row>
    <row r="96" spans="1:34" x14ac:dyDescent="0.3">
      <c r="A96" s="1058" t="s">
        <v>264</v>
      </c>
      <c r="B96" s="1059"/>
      <c r="C96" s="1059"/>
      <c r="D96" s="1059"/>
      <c r="E96" s="1059"/>
      <c r="F96" s="1059"/>
      <c r="G96" s="1059"/>
      <c r="H96" s="1059"/>
      <c r="I96" s="1059"/>
      <c r="J96" s="1059"/>
      <c r="K96" s="1059"/>
      <c r="L96" s="1059"/>
      <c r="M96" s="1059"/>
      <c r="N96" s="1059"/>
      <c r="O96" s="1059"/>
      <c r="P96" s="1059"/>
      <c r="Q96" s="1059"/>
      <c r="R96" s="1059"/>
      <c r="S96" s="1059"/>
      <c r="T96" s="1059"/>
      <c r="U96" s="1059"/>
      <c r="V96" s="1059"/>
      <c r="W96" s="1059"/>
      <c r="X96" s="1059"/>
      <c r="Y96" s="1059"/>
      <c r="Z96" s="1059"/>
      <c r="AA96" s="1059"/>
      <c r="AB96" s="1059"/>
      <c r="AC96" s="1059"/>
      <c r="AD96" s="1059"/>
      <c r="AE96" s="1059"/>
      <c r="AF96" s="1060"/>
      <c r="AG96" s="102">
        <f t="shared" si="30"/>
        <v>0</v>
      </c>
      <c r="AH96" s="155">
        <f t="shared" si="31"/>
        <v>0</v>
      </c>
    </row>
    <row r="97" spans="1:35" x14ac:dyDescent="0.3">
      <c r="A97" s="1058" t="s">
        <v>54</v>
      </c>
      <c r="B97" s="1059"/>
      <c r="C97" s="1059"/>
      <c r="D97" s="1059"/>
      <c r="E97" s="1059"/>
      <c r="F97" s="1059"/>
      <c r="G97" s="1059"/>
      <c r="H97" s="1059"/>
      <c r="I97" s="1059"/>
      <c r="J97" s="1059"/>
      <c r="K97" s="1059"/>
      <c r="L97" s="1059"/>
      <c r="M97" s="1059"/>
      <c r="N97" s="1059"/>
      <c r="O97" s="1059"/>
      <c r="P97" s="1059"/>
      <c r="Q97" s="1059"/>
      <c r="R97" s="1059"/>
      <c r="S97" s="1059"/>
      <c r="T97" s="1059"/>
      <c r="U97" s="1059"/>
      <c r="V97" s="1059"/>
      <c r="W97" s="1059"/>
      <c r="X97" s="1059"/>
      <c r="Y97" s="1059"/>
      <c r="Z97" s="1059"/>
      <c r="AA97" s="1059"/>
      <c r="AB97" s="1059"/>
      <c r="AC97" s="1059"/>
      <c r="AD97" s="1059"/>
      <c r="AE97" s="1059"/>
      <c r="AF97" s="1060"/>
      <c r="AG97" s="102">
        <f t="shared" si="30"/>
        <v>0</v>
      </c>
      <c r="AH97" s="155">
        <f t="shared" si="31"/>
        <v>0</v>
      </c>
    </row>
    <row r="98" spans="1:35" ht="123.75" x14ac:dyDescent="0.3">
      <c r="A98" s="124" t="s">
        <v>265</v>
      </c>
      <c r="B98" s="132"/>
      <c r="C98" s="133"/>
      <c r="D98" s="133"/>
      <c r="E98" s="133"/>
      <c r="F98" s="133"/>
      <c r="G98" s="133"/>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572" t="s">
        <v>508</v>
      </c>
      <c r="AG98" s="102">
        <f t="shared" si="30"/>
        <v>0</v>
      </c>
      <c r="AH98" s="155">
        <f t="shared" si="31"/>
        <v>0</v>
      </c>
    </row>
    <row r="99" spans="1:35" x14ac:dyDescent="0.3">
      <c r="A99" s="103" t="s">
        <v>31</v>
      </c>
      <c r="B99" s="104">
        <f>B100+B101+B102</f>
        <v>6225.0999999999995</v>
      </c>
      <c r="C99" s="104">
        <f>C100+C101+C102</f>
        <v>4902.7</v>
      </c>
      <c r="D99" s="104">
        <f>D100+D101+D102</f>
        <v>2871.2999999999997</v>
      </c>
      <c r="E99" s="104">
        <f>E100+E101+E102</f>
        <v>2871.2999999999997</v>
      </c>
      <c r="F99" s="107">
        <f>IFERROR(E99/B99*100,0)</f>
        <v>46.124560248028146</v>
      </c>
      <c r="G99" s="107">
        <f>IFERROR(E99/C99*100,0)</f>
        <v>58.565688294205231</v>
      </c>
      <c r="H99" s="104">
        <f t="shared" ref="H99:AE99" si="34">H100+H101+H102</f>
        <v>864.9</v>
      </c>
      <c r="I99" s="104">
        <f t="shared" si="34"/>
        <v>691.6</v>
      </c>
      <c r="J99" s="104">
        <f t="shared" si="34"/>
        <v>3672.1</v>
      </c>
      <c r="K99" s="104">
        <f t="shared" si="34"/>
        <v>879.6</v>
      </c>
      <c r="L99" s="104">
        <f t="shared" si="34"/>
        <v>365.7</v>
      </c>
      <c r="M99" s="104">
        <f t="shared" si="34"/>
        <v>506.3</v>
      </c>
      <c r="N99" s="104">
        <f t="shared" si="34"/>
        <v>384.8</v>
      </c>
      <c r="O99" s="104">
        <f t="shared" si="34"/>
        <v>358.1</v>
      </c>
      <c r="P99" s="104">
        <f t="shared" si="34"/>
        <v>179.6</v>
      </c>
      <c r="Q99" s="104">
        <f t="shared" si="34"/>
        <v>435.7</v>
      </c>
      <c r="R99" s="104">
        <f t="shared" si="34"/>
        <v>0</v>
      </c>
      <c r="S99" s="104">
        <f t="shared" si="34"/>
        <v>0</v>
      </c>
      <c r="T99" s="104">
        <f t="shared" si="34"/>
        <v>0</v>
      </c>
      <c r="U99" s="104">
        <f t="shared" si="34"/>
        <v>0</v>
      </c>
      <c r="V99" s="104">
        <f t="shared" si="34"/>
        <v>0</v>
      </c>
      <c r="W99" s="104">
        <f t="shared" si="34"/>
        <v>0</v>
      </c>
      <c r="X99" s="104">
        <f t="shared" si="34"/>
        <v>0</v>
      </c>
      <c r="Y99" s="104">
        <f t="shared" si="34"/>
        <v>0</v>
      </c>
      <c r="Z99" s="104">
        <f t="shared" si="34"/>
        <v>266.39999999999998</v>
      </c>
      <c r="AA99" s="104">
        <f t="shared" si="34"/>
        <v>0</v>
      </c>
      <c r="AB99" s="104">
        <f t="shared" si="34"/>
        <v>245.8</v>
      </c>
      <c r="AC99" s="104">
        <f t="shared" si="34"/>
        <v>0</v>
      </c>
      <c r="AD99" s="104">
        <f t="shared" si="34"/>
        <v>245.8</v>
      </c>
      <c r="AE99" s="104">
        <f t="shared" si="34"/>
        <v>0</v>
      </c>
      <c r="AF99" s="101"/>
      <c r="AG99" s="102">
        <f t="shared" si="30"/>
        <v>0</v>
      </c>
      <c r="AH99" s="155">
        <f t="shared" si="31"/>
        <v>2031.4</v>
      </c>
    </row>
    <row r="100" spans="1:35" x14ac:dyDescent="0.3">
      <c r="A100" s="106" t="s">
        <v>169</v>
      </c>
      <c r="B100" s="107">
        <f>J100+L100+N100+P100+R100+T100+V100+X100+Z100+AB100+AD100+H100</f>
        <v>0</v>
      </c>
      <c r="C100" s="107">
        <f>SUM(H100)</f>
        <v>0</v>
      </c>
      <c r="D100" s="107">
        <f>E100</f>
        <v>0</v>
      </c>
      <c r="E100" s="107">
        <f>SUM(I100,K100,M100,O100,Q100,S100,U100,W100,Y100,AA100,AC100,AE100)</f>
        <v>0</v>
      </c>
      <c r="F100" s="107">
        <f>IFERROR(E100/B100*100,0)</f>
        <v>0</v>
      </c>
      <c r="G100" s="107">
        <f>IFERROR(E100/C100*100,0)</f>
        <v>0</v>
      </c>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1"/>
      <c r="AG100" s="102">
        <f t="shared" si="30"/>
        <v>0</v>
      </c>
      <c r="AH100" s="155">
        <f t="shared" si="31"/>
        <v>0</v>
      </c>
    </row>
    <row r="101" spans="1:35" x14ac:dyDescent="0.3">
      <c r="A101" s="106" t="s">
        <v>32</v>
      </c>
      <c r="B101" s="107">
        <f>J101+L101+N101+P101+R101+T101+V101+X101+Z101+AB101+AD101+H101</f>
        <v>0</v>
      </c>
      <c r="C101" s="107">
        <f>SUM(H101)</f>
        <v>0</v>
      </c>
      <c r="D101" s="107">
        <f>E101</f>
        <v>0</v>
      </c>
      <c r="E101" s="107">
        <f>SUM(I101,K101,M101,O101,Q101,S101,U101,W101,Y101,AA101,AC101,AE101)</f>
        <v>0</v>
      </c>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1"/>
      <c r="AG101" s="102">
        <f t="shared" si="30"/>
        <v>0</v>
      </c>
      <c r="AH101" s="155">
        <f t="shared" si="31"/>
        <v>0</v>
      </c>
    </row>
    <row r="102" spans="1:35" x14ac:dyDescent="0.3">
      <c r="A102" s="106" t="s">
        <v>33</v>
      </c>
      <c r="B102" s="107">
        <f>J102+L102+N102+P102+R102+T102+V102+X102+Z102+AB102+AD102+H102</f>
        <v>6225.0999999999995</v>
      </c>
      <c r="C102" s="107">
        <f>H102+J102+L102</f>
        <v>4902.7</v>
      </c>
      <c r="D102" s="107">
        <f>E102</f>
        <v>2871.2999999999997</v>
      </c>
      <c r="E102" s="107">
        <f>SUM(I102,K102,M102,O102,Q102,S102,U102,W102,Y102,AA102,AC102,AE102)</f>
        <v>2871.2999999999997</v>
      </c>
      <c r="F102" s="107">
        <f>IFERROR(E102/B102*100,0)</f>
        <v>46.124560248028146</v>
      </c>
      <c r="G102" s="107">
        <f>IFERROR(E102/C102*100,0)</f>
        <v>58.565688294205231</v>
      </c>
      <c r="H102" s="107">
        <v>864.9</v>
      </c>
      <c r="I102" s="695">
        <v>691.6</v>
      </c>
      <c r="J102" s="107">
        <v>3672.1</v>
      </c>
      <c r="K102" s="107">
        <v>879.6</v>
      </c>
      <c r="L102" s="107">
        <v>365.7</v>
      </c>
      <c r="M102" s="107">
        <v>506.3</v>
      </c>
      <c r="N102" s="107">
        <v>384.8</v>
      </c>
      <c r="O102" s="107">
        <v>358.1</v>
      </c>
      <c r="P102" s="107">
        <v>179.6</v>
      </c>
      <c r="Q102" s="107">
        <v>435.7</v>
      </c>
      <c r="R102" s="107">
        <v>0</v>
      </c>
      <c r="S102" s="107">
        <v>0</v>
      </c>
      <c r="T102" s="107">
        <v>0</v>
      </c>
      <c r="U102" s="107">
        <v>0</v>
      </c>
      <c r="V102" s="107">
        <v>0</v>
      </c>
      <c r="W102" s="107">
        <v>0</v>
      </c>
      <c r="X102" s="107">
        <v>0</v>
      </c>
      <c r="Y102" s="107">
        <v>0</v>
      </c>
      <c r="Z102" s="107">
        <v>266.39999999999998</v>
      </c>
      <c r="AA102" s="107">
        <v>0</v>
      </c>
      <c r="AB102" s="107">
        <v>245.8</v>
      </c>
      <c r="AC102" s="107">
        <v>0</v>
      </c>
      <c r="AD102" s="107">
        <v>245.8</v>
      </c>
      <c r="AE102" s="107">
        <v>0</v>
      </c>
      <c r="AF102" s="101"/>
      <c r="AG102" s="102">
        <f t="shared" si="30"/>
        <v>0</v>
      </c>
      <c r="AH102" s="728">
        <f t="shared" si="31"/>
        <v>2031.4</v>
      </c>
    </row>
    <row r="103" spans="1:35" x14ac:dyDescent="0.3">
      <c r="A103" s="106" t="s">
        <v>170</v>
      </c>
      <c r="B103" s="107">
        <f>J103+L103+N103+P103+R103+T103+V103+X103+Z103+AB103+AD103+H103</f>
        <v>0</v>
      </c>
      <c r="C103" s="107">
        <f>SUM(H103)</f>
        <v>0</v>
      </c>
      <c r="D103" s="107">
        <f>E103</f>
        <v>0</v>
      </c>
      <c r="E103" s="107">
        <f>SUM(I103,K103,M103,O103,Q103,S103,U103,W103,Y103,AA103,AC103,AE103)</f>
        <v>0</v>
      </c>
      <c r="F103" s="107">
        <f>IFERROR(E103/B103*100,0)</f>
        <v>0</v>
      </c>
      <c r="G103" s="107">
        <f>IFERROR(E103/C103*100,0)</f>
        <v>0</v>
      </c>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1"/>
      <c r="AG103" s="102">
        <f t="shared" si="30"/>
        <v>0</v>
      </c>
      <c r="AH103" s="155">
        <f t="shared" si="31"/>
        <v>0</v>
      </c>
    </row>
    <row r="104" spans="1:35" ht="409.5" x14ac:dyDescent="0.3">
      <c r="A104" s="124" t="s">
        <v>266</v>
      </c>
      <c r="B104" s="107"/>
      <c r="C104" s="136"/>
      <c r="D104" s="136"/>
      <c r="E104" s="136"/>
      <c r="F104" s="136"/>
      <c r="G104" s="136"/>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742" t="s">
        <v>515</v>
      </c>
      <c r="AG104" s="102">
        <f t="shared" si="30"/>
        <v>0</v>
      </c>
      <c r="AH104" s="155">
        <f t="shared" si="31"/>
        <v>0</v>
      </c>
    </row>
    <row r="105" spans="1:35" x14ac:dyDescent="0.3">
      <c r="A105" s="103" t="s">
        <v>31</v>
      </c>
      <c r="B105" s="104">
        <f ca="1">B106+B107+B108+B109</f>
        <v>24540.301299999999</v>
      </c>
      <c r="C105" s="104">
        <f ca="1">C106+C107+C108+C109</f>
        <v>5144.3370000000004</v>
      </c>
      <c r="D105" s="104">
        <f ca="1">D106+D107+D108+D109</f>
        <v>10473.76</v>
      </c>
      <c r="E105" s="104">
        <f ca="1">E106+E107+E108+E109</f>
        <v>10473.76</v>
      </c>
      <c r="F105" s="107">
        <v>0</v>
      </c>
      <c r="G105" s="107">
        <v>0</v>
      </c>
      <c r="H105" s="104">
        <f ca="1">H106+H107+H108+H109</f>
        <v>1840.1669999999999</v>
      </c>
      <c r="I105" s="104">
        <f t="shared" ref="I105:AE105" ca="1" si="35">I106+I107+I108+I109</f>
        <v>1840.17</v>
      </c>
      <c r="J105" s="104">
        <f t="shared" ca="1" si="35"/>
        <v>1214.27</v>
      </c>
      <c r="K105" s="104">
        <f t="shared" ca="1" si="35"/>
        <v>1103.78</v>
      </c>
      <c r="L105" s="104">
        <f t="shared" ca="1" si="35"/>
        <v>2089.9</v>
      </c>
      <c r="M105" s="104">
        <f t="shared" ca="1" si="35"/>
        <v>1900.1100000000001</v>
      </c>
      <c r="N105" s="104">
        <f t="shared" ca="1" si="35"/>
        <v>2923.2709999999997</v>
      </c>
      <c r="O105" s="104">
        <f t="shared" ca="1" si="35"/>
        <v>1545.22</v>
      </c>
      <c r="P105" s="104">
        <f t="shared" ca="1" si="35"/>
        <v>7151.32</v>
      </c>
      <c r="Q105" s="104">
        <f>SUM(Q108+Q107)</f>
        <v>4084.4799999999996</v>
      </c>
      <c r="R105" s="104">
        <f t="shared" ca="1" si="35"/>
        <v>3549.3666599999997</v>
      </c>
      <c r="S105" s="104">
        <f t="shared" ca="1" si="35"/>
        <v>0</v>
      </c>
      <c r="T105" s="104">
        <f t="shared" ca="1" si="35"/>
        <v>774.67</v>
      </c>
      <c r="U105" s="104">
        <f t="shared" ca="1" si="35"/>
        <v>0</v>
      </c>
      <c r="V105" s="104">
        <f t="shared" ca="1" si="35"/>
        <v>938.06999999999994</v>
      </c>
      <c r="W105" s="104">
        <f t="shared" ca="1" si="35"/>
        <v>0</v>
      </c>
      <c r="X105" s="104">
        <f t="shared" ca="1" si="35"/>
        <v>1079.6666600000001</v>
      </c>
      <c r="Y105" s="104">
        <f t="shared" ca="1" si="35"/>
        <v>0</v>
      </c>
      <c r="Z105" s="104">
        <f t="shared" ca="1" si="35"/>
        <v>1973.9166599999999</v>
      </c>
      <c r="AA105" s="104">
        <f t="shared" ca="1" si="35"/>
        <v>0</v>
      </c>
      <c r="AB105" s="104">
        <f t="shared" ca="1" si="35"/>
        <v>991.41665999999998</v>
      </c>
      <c r="AC105" s="104">
        <f t="shared" ca="1" si="35"/>
        <v>0</v>
      </c>
      <c r="AD105" s="104">
        <f t="shared" ca="1" si="35"/>
        <v>14.26666</v>
      </c>
      <c r="AE105" s="104">
        <f t="shared" si="35"/>
        <v>0</v>
      </c>
      <c r="AF105" s="101"/>
      <c r="AG105" s="102">
        <f t="shared" ca="1" si="30"/>
        <v>-3.5225156125306967E-12</v>
      </c>
      <c r="AH105" s="155">
        <f t="shared" ca="1" si="31"/>
        <v>-5329.4229999999998</v>
      </c>
    </row>
    <row r="106" spans="1:35" x14ac:dyDescent="0.3">
      <c r="A106" s="106" t="s">
        <v>169</v>
      </c>
      <c r="B106" s="107">
        <f ca="1">J106+L106+N106+P106+R106+T106+V106+X106+Z106+AB106+AD106+H106</f>
        <v>0</v>
      </c>
      <c r="C106" s="107">
        <f ca="1">H106+J106+L106+N106+P106+R106+T106+V106+X106+Z106+AB106+AD106</f>
        <v>0</v>
      </c>
      <c r="D106" s="107">
        <f ca="1">E106</f>
        <v>0</v>
      </c>
      <c r="E106" s="107">
        <f t="shared" ref="E106:AE106" ca="1" si="36">SUM(I106,K106,M106,O106,Q106,S106,U106,W106,Y106,AA106,AC106,AE106)</f>
        <v>0</v>
      </c>
      <c r="F106" s="107">
        <f t="shared" ca="1" si="36"/>
        <v>0</v>
      </c>
      <c r="G106" s="107">
        <f t="shared" ca="1" si="36"/>
        <v>0</v>
      </c>
      <c r="H106" s="107">
        <f t="shared" ca="1" si="36"/>
        <v>0</v>
      </c>
      <c r="I106" s="107">
        <f t="shared" ca="1" si="36"/>
        <v>0</v>
      </c>
      <c r="J106" s="107">
        <f t="shared" ca="1" si="36"/>
        <v>0</v>
      </c>
      <c r="K106" s="107">
        <f t="shared" ca="1" si="36"/>
        <v>0</v>
      </c>
      <c r="L106" s="107">
        <f t="shared" ca="1" si="36"/>
        <v>0</v>
      </c>
      <c r="M106" s="107">
        <f t="shared" ca="1" si="36"/>
        <v>0</v>
      </c>
      <c r="N106" s="107">
        <f t="shared" ca="1" si="36"/>
        <v>0</v>
      </c>
      <c r="O106" s="107">
        <f t="shared" ca="1" si="36"/>
        <v>0</v>
      </c>
      <c r="P106" s="107">
        <f t="shared" ca="1" si="36"/>
        <v>0</v>
      </c>
      <c r="Q106" s="107">
        <f t="shared" ca="1" si="36"/>
        <v>0</v>
      </c>
      <c r="R106" s="107">
        <f t="shared" ca="1" si="36"/>
        <v>0</v>
      </c>
      <c r="S106" s="107">
        <f t="shared" ca="1" si="36"/>
        <v>0</v>
      </c>
      <c r="T106" s="107">
        <f t="shared" ca="1" si="36"/>
        <v>0</v>
      </c>
      <c r="U106" s="107">
        <f t="shared" ca="1" si="36"/>
        <v>0</v>
      </c>
      <c r="V106" s="107">
        <f t="shared" ca="1" si="36"/>
        <v>0</v>
      </c>
      <c r="W106" s="107">
        <f t="shared" ca="1" si="36"/>
        <v>0</v>
      </c>
      <c r="X106" s="107">
        <f t="shared" ca="1" si="36"/>
        <v>0</v>
      </c>
      <c r="Y106" s="107">
        <f t="shared" ca="1" si="36"/>
        <v>0</v>
      </c>
      <c r="Z106" s="107">
        <f t="shared" ca="1" si="36"/>
        <v>0</v>
      </c>
      <c r="AA106" s="107">
        <f t="shared" ca="1" si="36"/>
        <v>0</v>
      </c>
      <c r="AB106" s="107">
        <f t="shared" ca="1" si="36"/>
        <v>0</v>
      </c>
      <c r="AC106" s="107">
        <f t="shared" ca="1" si="36"/>
        <v>0</v>
      </c>
      <c r="AD106" s="107">
        <f t="shared" ca="1" si="36"/>
        <v>0</v>
      </c>
      <c r="AE106" s="107">
        <f t="shared" si="36"/>
        <v>0</v>
      </c>
      <c r="AF106" s="101"/>
      <c r="AG106" s="102">
        <f t="shared" ca="1" si="30"/>
        <v>0</v>
      </c>
      <c r="AH106" s="155">
        <f t="shared" ca="1" si="31"/>
        <v>0</v>
      </c>
    </row>
    <row r="107" spans="1:35" x14ac:dyDescent="0.3">
      <c r="A107" s="676" t="s">
        <v>32</v>
      </c>
      <c r="B107" s="733">
        <f>J107+L107+N107+P107+R107+T107+V107+X107+Z107+AB107+AD107+H107</f>
        <v>8211.9950000000008</v>
      </c>
      <c r="C107" s="735">
        <f>H107+J107+L107</f>
        <v>372.46</v>
      </c>
      <c r="D107" s="107">
        <f>E107</f>
        <v>4410.82</v>
      </c>
      <c r="E107" s="107">
        <f>SUM(I107,K107,M107,O107,Q107,S107,U107,W107,Y107,AA107,AC107,AE107)</f>
        <v>4410.82</v>
      </c>
      <c r="F107" s="107"/>
      <c r="G107" s="107"/>
      <c r="H107" s="107">
        <v>0</v>
      </c>
      <c r="I107" s="107">
        <v>0</v>
      </c>
      <c r="J107" s="107">
        <v>0</v>
      </c>
      <c r="K107" s="107">
        <v>0</v>
      </c>
      <c r="L107" s="107">
        <v>372.46</v>
      </c>
      <c r="M107" s="107">
        <v>372.46</v>
      </c>
      <c r="N107" s="107">
        <v>1545.22</v>
      </c>
      <c r="O107" s="107">
        <v>1545.22</v>
      </c>
      <c r="P107" s="107">
        <v>3234.65</v>
      </c>
      <c r="Q107" s="107">
        <v>2493.14</v>
      </c>
      <c r="R107" s="107">
        <v>2435.1</v>
      </c>
      <c r="S107" s="107">
        <v>0</v>
      </c>
      <c r="T107" s="107">
        <v>0</v>
      </c>
      <c r="U107" s="107">
        <v>0</v>
      </c>
      <c r="V107" s="107">
        <v>223.95</v>
      </c>
      <c r="W107" s="107">
        <v>0</v>
      </c>
      <c r="X107" s="107">
        <v>0</v>
      </c>
      <c r="Y107" s="107">
        <v>0</v>
      </c>
      <c r="Z107" s="107">
        <v>246.95249999999999</v>
      </c>
      <c r="AA107" s="107">
        <v>0</v>
      </c>
      <c r="AB107" s="107">
        <v>153.66249999999999</v>
      </c>
      <c r="AC107" s="107">
        <v>0</v>
      </c>
      <c r="AD107" s="107">
        <v>0</v>
      </c>
      <c r="AE107" s="107">
        <v>0</v>
      </c>
      <c r="AF107" s="101"/>
      <c r="AG107" s="102">
        <f t="shared" si="30"/>
        <v>5.4001247917767614E-13</v>
      </c>
      <c r="AH107" s="155">
        <f t="shared" si="31"/>
        <v>-4038.3599999999997</v>
      </c>
    </row>
    <row r="108" spans="1:35" x14ac:dyDescent="0.3">
      <c r="A108" s="106" t="s">
        <v>33</v>
      </c>
      <c r="B108" s="733">
        <f>J108+L108+N108+P108+R108+T108+V108+X108+Z108+AB108+AD108+H108</f>
        <v>16328.3063</v>
      </c>
      <c r="C108" s="735">
        <f>H108+J108+L108</f>
        <v>4771.8770000000004</v>
      </c>
      <c r="D108" s="107">
        <f>E108</f>
        <v>6062.9400000000005</v>
      </c>
      <c r="E108" s="733">
        <f>SUM(I108,K108,M108,O108,Q108,S108,U108,W108,Y108,AA108,AC108,AE108)</f>
        <v>6062.9400000000005</v>
      </c>
      <c r="F108" s="107">
        <f>IFERROR(E108/B108*100,0)</f>
        <v>37.131469048936204</v>
      </c>
      <c r="G108" s="107">
        <f>IFERROR(E108/C108*100,0)</f>
        <v>127.05566384045524</v>
      </c>
      <c r="H108" s="107">
        <v>1840.1669999999999</v>
      </c>
      <c r="I108" s="695">
        <v>1840.17</v>
      </c>
      <c r="J108" s="107">
        <v>1214.27</v>
      </c>
      <c r="K108" s="107">
        <v>1103.78</v>
      </c>
      <c r="L108" s="107">
        <v>1717.44</v>
      </c>
      <c r="M108" s="107">
        <v>1527.65</v>
      </c>
      <c r="N108" s="107">
        <v>1378.0509999999999</v>
      </c>
      <c r="O108" s="107">
        <v>0</v>
      </c>
      <c r="P108" s="107">
        <v>3916.67</v>
      </c>
      <c r="Q108" s="107">
        <v>1591.34</v>
      </c>
      <c r="R108" s="107">
        <v>1114.26666</v>
      </c>
      <c r="S108" s="107">
        <v>0</v>
      </c>
      <c r="T108" s="107">
        <v>774.67</v>
      </c>
      <c r="U108" s="107">
        <v>0</v>
      </c>
      <c r="V108" s="107">
        <v>714.12</v>
      </c>
      <c r="W108" s="107">
        <v>0</v>
      </c>
      <c r="X108" s="107">
        <v>1079.6666600000001</v>
      </c>
      <c r="Y108" s="107">
        <v>0</v>
      </c>
      <c r="Z108" s="107">
        <v>1726.96416</v>
      </c>
      <c r="AA108" s="107">
        <v>0</v>
      </c>
      <c r="AB108" s="107">
        <v>837.75415999999996</v>
      </c>
      <c r="AC108" s="107">
        <v>0</v>
      </c>
      <c r="AD108" s="107">
        <v>14.26666</v>
      </c>
      <c r="AE108" s="107">
        <v>0</v>
      </c>
      <c r="AF108" s="812" t="s">
        <v>536</v>
      </c>
      <c r="AG108" s="102">
        <f t="shared" si="30"/>
        <v>2.2915003228263231E-13</v>
      </c>
      <c r="AH108" s="736">
        <f t="shared" si="31"/>
        <v>-1291.0630000000001</v>
      </c>
      <c r="AI108" s="729">
        <v>0</v>
      </c>
    </row>
    <row r="109" spans="1:35" x14ac:dyDescent="0.3">
      <c r="A109" s="106" t="s">
        <v>170</v>
      </c>
      <c r="B109" s="107">
        <f>J109+L109+N109+P109+R109+T109+V109+X109+Z109+AB109+AD109+H109</f>
        <v>0</v>
      </c>
      <c r="C109" s="107">
        <f>H109+J109+L109+N109+P109+R109+T109+V109+X109+Z109+AB109+AD109</f>
        <v>0</v>
      </c>
      <c r="D109" s="107">
        <f>E109</f>
        <v>0</v>
      </c>
      <c r="E109" s="107">
        <f>SUM(I109,K109,M109,O109,Q109,S109,U109,W109,Y109,AA109,AC109,AE109)</f>
        <v>0</v>
      </c>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1"/>
      <c r="AG109" s="102">
        <f t="shared" si="30"/>
        <v>0</v>
      </c>
      <c r="AH109" s="155">
        <f t="shared" si="31"/>
        <v>0</v>
      </c>
    </row>
    <row r="110" spans="1:35" x14ac:dyDescent="0.3">
      <c r="A110" s="1058" t="s">
        <v>267</v>
      </c>
      <c r="B110" s="1059"/>
      <c r="C110" s="1059"/>
      <c r="D110" s="1059"/>
      <c r="E110" s="1059"/>
      <c r="F110" s="1059"/>
      <c r="G110" s="1059"/>
      <c r="H110" s="1059"/>
      <c r="I110" s="1059"/>
      <c r="J110" s="1059"/>
      <c r="K110" s="1059"/>
      <c r="L110" s="1059"/>
      <c r="M110" s="1059"/>
      <c r="N110" s="1059"/>
      <c r="O110" s="1059"/>
      <c r="P110" s="1059"/>
      <c r="Q110" s="1059"/>
      <c r="R110" s="1059"/>
      <c r="S110" s="1059"/>
      <c r="T110" s="1059"/>
      <c r="U110" s="1059"/>
      <c r="V110" s="1059"/>
      <c r="W110" s="1059"/>
      <c r="X110" s="1059"/>
      <c r="Y110" s="1059"/>
      <c r="Z110" s="1059"/>
      <c r="AA110" s="1059"/>
      <c r="AB110" s="1059"/>
      <c r="AC110" s="1059"/>
      <c r="AD110" s="1059"/>
      <c r="AE110" s="1059"/>
      <c r="AF110" s="1060"/>
      <c r="AG110" s="102">
        <f t="shared" si="30"/>
        <v>0</v>
      </c>
      <c r="AH110" s="155">
        <f t="shared" si="31"/>
        <v>0</v>
      </c>
    </row>
    <row r="111" spans="1:35" x14ac:dyDescent="0.3">
      <c r="A111" s="1058" t="s">
        <v>54</v>
      </c>
      <c r="B111" s="1059"/>
      <c r="C111" s="1059"/>
      <c r="D111" s="1059"/>
      <c r="E111" s="1059"/>
      <c r="F111" s="1059"/>
      <c r="G111" s="1059"/>
      <c r="H111" s="1059"/>
      <c r="I111" s="1059"/>
      <c r="J111" s="1059"/>
      <c r="K111" s="1059"/>
      <c r="L111" s="1059"/>
      <c r="M111" s="1059"/>
      <c r="N111" s="1059"/>
      <c r="O111" s="1059"/>
      <c r="P111" s="1059"/>
      <c r="Q111" s="1059"/>
      <c r="R111" s="1059"/>
      <c r="S111" s="1059"/>
      <c r="T111" s="1059"/>
      <c r="U111" s="1059"/>
      <c r="V111" s="1059"/>
      <c r="W111" s="1059"/>
      <c r="X111" s="1059"/>
      <c r="Y111" s="1059"/>
      <c r="Z111" s="1059"/>
      <c r="AA111" s="1059"/>
      <c r="AB111" s="1059"/>
      <c r="AC111" s="1059"/>
      <c r="AD111" s="1059"/>
      <c r="AE111" s="1059"/>
      <c r="AF111" s="1060"/>
      <c r="AG111" s="102">
        <f t="shared" si="30"/>
        <v>0</v>
      </c>
      <c r="AH111" s="155">
        <f t="shared" si="31"/>
        <v>0</v>
      </c>
    </row>
    <row r="112" spans="1:35" ht="75" x14ac:dyDescent="0.3">
      <c r="A112" s="138" t="s">
        <v>268</v>
      </c>
      <c r="B112" s="139"/>
      <c r="C112" s="140"/>
      <c r="D112" s="140"/>
      <c r="E112" s="140"/>
      <c r="F112" s="140"/>
      <c r="G112" s="140"/>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01"/>
      <c r="AG112" s="102">
        <f t="shared" si="30"/>
        <v>0</v>
      </c>
      <c r="AH112" s="155">
        <f t="shared" si="31"/>
        <v>0</v>
      </c>
    </row>
    <row r="113" spans="1:35" x14ac:dyDescent="0.3">
      <c r="A113" s="103" t="s">
        <v>31</v>
      </c>
      <c r="B113" s="104">
        <f>B114+B115+B116+B117</f>
        <v>7595.7899999999991</v>
      </c>
      <c r="C113" s="104">
        <f>C114+C115+C116+C117</f>
        <v>2262.1779999999999</v>
      </c>
      <c r="D113" s="104">
        <f>D114+D115+D116+D117</f>
        <v>3104.9170000000004</v>
      </c>
      <c r="E113" s="104">
        <f>E114+E115+E116+E117</f>
        <v>3104.9170000000004</v>
      </c>
      <c r="F113" s="107">
        <f>IFERROR(E113/B113*100,0)</f>
        <v>40.87681465654002</v>
      </c>
      <c r="G113" s="107">
        <f>IFERROR(E113/C113*100,0)</f>
        <v>137.25343452195187</v>
      </c>
      <c r="H113" s="104">
        <f>H114+H115+H116+H117</f>
        <v>1041.415</v>
      </c>
      <c r="I113" s="104">
        <f t="shared" ref="I113:AE113" si="37">I114+I115+I116+I117</f>
        <v>647.00599999999997</v>
      </c>
      <c r="J113" s="104">
        <f t="shared" si="37"/>
        <v>637.91399999999999</v>
      </c>
      <c r="K113" s="104">
        <f>K114+K115+K116+K117</f>
        <v>662.84900000000005</v>
      </c>
      <c r="L113" s="104">
        <f t="shared" si="37"/>
        <v>506.85899999999998</v>
      </c>
      <c r="M113" s="104">
        <f t="shared" si="37"/>
        <v>510.65899999999999</v>
      </c>
      <c r="N113" s="104">
        <f t="shared" si="37"/>
        <v>746.16800000000001</v>
      </c>
      <c r="O113" s="104">
        <f t="shared" si="37"/>
        <v>509.983</v>
      </c>
      <c r="P113" s="104">
        <f t="shared" si="37"/>
        <v>655.12099999999998</v>
      </c>
      <c r="Q113" s="104">
        <f t="shared" si="37"/>
        <v>774.42</v>
      </c>
      <c r="R113" s="104">
        <f t="shared" si="37"/>
        <v>506.85899999999998</v>
      </c>
      <c r="S113" s="104">
        <f t="shared" si="37"/>
        <v>0</v>
      </c>
      <c r="T113" s="104">
        <f t="shared" si="37"/>
        <v>746.16800000000001</v>
      </c>
      <c r="U113" s="104">
        <f t="shared" si="37"/>
        <v>0</v>
      </c>
      <c r="V113" s="104">
        <f t="shared" si="37"/>
        <v>579.13099999999997</v>
      </c>
      <c r="W113" s="104">
        <f t="shared" si="37"/>
        <v>0</v>
      </c>
      <c r="X113" s="104">
        <f t="shared" si="37"/>
        <v>506.85899999999998</v>
      </c>
      <c r="Y113" s="104">
        <f t="shared" si="37"/>
        <v>0</v>
      </c>
      <c r="Z113" s="104">
        <f t="shared" si="37"/>
        <v>746.16800000000001</v>
      </c>
      <c r="AA113" s="104">
        <f t="shared" si="37"/>
        <v>0</v>
      </c>
      <c r="AB113" s="104">
        <f t="shared" si="37"/>
        <v>563.83399999999995</v>
      </c>
      <c r="AC113" s="104">
        <f t="shared" si="37"/>
        <v>0</v>
      </c>
      <c r="AD113" s="104">
        <f t="shared" si="37"/>
        <v>359.29399999999998</v>
      </c>
      <c r="AE113" s="104">
        <f t="shared" si="37"/>
        <v>0</v>
      </c>
      <c r="AF113" s="101"/>
      <c r="AG113" s="102">
        <f t="shared" si="30"/>
        <v>-5.6843418860808015E-13</v>
      </c>
      <c r="AH113" s="155">
        <f t="shared" si="31"/>
        <v>-842.73900000000049</v>
      </c>
    </row>
    <row r="114" spans="1:35" x14ac:dyDescent="0.3">
      <c r="A114" s="106" t="s">
        <v>169</v>
      </c>
      <c r="B114" s="107">
        <f>J114+L114+N114+P114+R114+T114+V114+X114+Z114+AB114+AD114+H114</f>
        <v>0</v>
      </c>
      <c r="C114" s="107">
        <f>H114+J114+L114+N114+P114+R114+T114+V114+X114+Z114+AB114+AD114</f>
        <v>0</v>
      </c>
      <c r="D114" s="107">
        <f>E114</f>
        <v>0</v>
      </c>
      <c r="E114" s="107">
        <f>SUM(I114,K114,M114,O114,Q114,S114,U114,W114,Y114,AA114,AC114,AE114)</f>
        <v>0</v>
      </c>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1"/>
      <c r="AG114" s="102">
        <f t="shared" si="30"/>
        <v>0</v>
      </c>
      <c r="AH114" s="155">
        <f t="shared" si="31"/>
        <v>0</v>
      </c>
    </row>
    <row r="115" spans="1:35" x14ac:dyDescent="0.3">
      <c r="A115" s="106" t="s">
        <v>32</v>
      </c>
      <c r="B115" s="107">
        <f>J115+L115+N115+P115+R115+T115+V115+X115+Z115+AB115+AD115+H115</f>
        <v>75.989999999999995</v>
      </c>
      <c r="C115" s="107">
        <f>H115+J115+L115+N115+P115+R115+T115+V115+X115+Z115+AB115+AD115</f>
        <v>75.989999999999995</v>
      </c>
      <c r="D115" s="107">
        <f>E115</f>
        <v>0</v>
      </c>
      <c r="E115" s="107">
        <f>SUM(I115,K115,M115,O115,Q115,S115,U115,W115,Y115,AA115,AC115,AE115)</f>
        <v>0</v>
      </c>
      <c r="F115" s="107">
        <v>0</v>
      </c>
      <c r="G115" s="107">
        <v>0</v>
      </c>
      <c r="H115" s="107">
        <v>0</v>
      </c>
      <c r="I115" s="107">
        <v>0</v>
      </c>
      <c r="J115" s="107">
        <v>0</v>
      </c>
      <c r="K115" s="107">
        <v>0</v>
      </c>
      <c r="L115" s="107">
        <v>0</v>
      </c>
      <c r="M115" s="856">
        <v>0</v>
      </c>
      <c r="N115" s="107">
        <v>0</v>
      </c>
      <c r="O115" s="107">
        <v>0</v>
      </c>
      <c r="P115" s="107">
        <v>75.989999999999995</v>
      </c>
      <c r="Q115" s="107">
        <v>0</v>
      </c>
      <c r="R115" s="107">
        <v>0</v>
      </c>
      <c r="S115" s="107">
        <v>0</v>
      </c>
      <c r="T115" s="107">
        <v>0</v>
      </c>
      <c r="U115" s="107">
        <v>0</v>
      </c>
      <c r="V115" s="107">
        <v>0</v>
      </c>
      <c r="W115" s="107">
        <v>0</v>
      </c>
      <c r="X115" s="107">
        <v>0</v>
      </c>
      <c r="Y115" s="107">
        <v>0</v>
      </c>
      <c r="Z115" s="107">
        <v>0</v>
      </c>
      <c r="AA115" s="107">
        <v>0</v>
      </c>
      <c r="AB115" s="107">
        <v>0</v>
      </c>
      <c r="AC115" s="107">
        <v>0</v>
      </c>
      <c r="AD115" s="107">
        <v>0</v>
      </c>
      <c r="AE115" s="107">
        <v>0</v>
      </c>
      <c r="AF115" s="101"/>
      <c r="AG115" s="102">
        <f t="shared" si="30"/>
        <v>0</v>
      </c>
      <c r="AH115" s="155">
        <f t="shared" si="31"/>
        <v>75.989999999999995</v>
      </c>
    </row>
    <row r="116" spans="1:35" x14ac:dyDescent="0.3">
      <c r="A116" s="106" t="s">
        <v>33</v>
      </c>
      <c r="B116" s="735">
        <f>J116+L116+N116+P116+R116+T116+V116+X116+Z116+AB116+AD116+H116</f>
        <v>7519.7999999999993</v>
      </c>
      <c r="C116" s="735">
        <f>H116+J116+L116</f>
        <v>2186.1880000000001</v>
      </c>
      <c r="D116" s="735">
        <f>E116</f>
        <v>3104.9170000000004</v>
      </c>
      <c r="E116" s="107">
        <f>SUM(I116,K116,M116,O116,Q116,S116,U116,W116,Y116,AA116,AC116,AE116)</f>
        <v>3104.9170000000004</v>
      </c>
      <c r="F116" s="107">
        <f>IFERROR(E116/B116*100,0)</f>
        <v>41.28988802893695</v>
      </c>
      <c r="G116" s="107">
        <f>IFERROR(E116/C116*100,0)</f>
        <v>142.02424494142315</v>
      </c>
      <c r="H116" s="107">
        <v>1041.415</v>
      </c>
      <c r="I116" s="107">
        <v>647.00599999999997</v>
      </c>
      <c r="J116" s="107">
        <v>637.91399999999999</v>
      </c>
      <c r="K116" s="107">
        <v>662.84900000000005</v>
      </c>
      <c r="L116" s="107">
        <v>506.85899999999998</v>
      </c>
      <c r="M116" s="858">
        <v>510.65899999999999</v>
      </c>
      <c r="N116" s="107">
        <v>746.16800000000001</v>
      </c>
      <c r="O116" s="107">
        <v>509.983</v>
      </c>
      <c r="P116" s="107">
        <v>579.13099999999997</v>
      </c>
      <c r="Q116" s="107">
        <v>774.42</v>
      </c>
      <c r="R116" s="107">
        <v>506.85899999999998</v>
      </c>
      <c r="S116" s="107"/>
      <c r="T116" s="107">
        <v>746.16800000000001</v>
      </c>
      <c r="U116" s="107"/>
      <c r="V116" s="107">
        <v>579.13099999999997</v>
      </c>
      <c r="W116" s="107"/>
      <c r="X116" s="107">
        <v>506.85899999999998</v>
      </c>
      <c r="Y116" s="107"/>
      <c r="Z116" s="107">
        <v>746.16800000000001</v>
      </c>
      <c r="AA116" s="107"/>
      <c r="AB116" s="107">
        <v>563.83399999999995</v>
      </c>
      <c r="AC116" s="107"/>
      <c r="AD116" s="107">
        <v>359.29399999999998</v>
      </c>
      <c r="AE116" s="107"/>
      <c r="AF116" s="739" t="s">
        <v>511</v>
      </c>
      <c r="AG116" s="102">
        <f t="shared" si="30"/>
        <v>0</v>
      </c>
      <c r="AH116" s="728">
        <f t="shared" si="31"/>
        <v>-918.72900000000027</v>
      </c>
    </row>
    <row r="117" spans="1:35" x14ac:dyDescent="0.3">
      <c r="A117" s="106" t="s">
        <v>170</v>
      </c>
      <c r="B117" s="107">
        <f>J117+L117+N117+P117+R117+T117+V117+X117+Z117+AB117+AD117+H117</f>
        <v>0</v>
      </c>
      <c r="C117" s="107">
        <f>H117+J117+L117+N117+P117+R117+T117+V117+X117+Z117+AB117+AD117</f>
        <v>0</v>
      </c>
      <c r="D117" s="107">
        <f>E117</f>
        <v>0</v>
      </c>
      <c r="E117" s="107">
        <f>SUM(I117,K117,M117,O117,Q117,S117,U117,W117,Y117,AA117,AC117,AE117)</f>
        <v>0</v>
      </c>
      <c r="F117" s="107"/>
      <c r="G117" s="107"/>
      <c r="H117" s="107"/>
      <c r="I117" s="107"/>
      <c r="J117" s="107"/>
      <c r="K117" s="107"/>
      <c r="L117" s="107"/>
      <c r="M117" s="857"/>
      <c r="N117" s="107"/>
      <c r="O117" s="107"/>
      <c r="P117" s="107"/>
      <c r="Q117" s="107"/>
      <c r="R117" s="107"/>
      <c r="S117" s="107"/>
      <c r="T117" s="107"/>
      <c r="U117" s="107"/>
      <c r="V117" s="107"/>
      <c r="W117" s="107"/>
      <c r="X117" s="107"/>
      <c r="Y117" s="107"/>
      <c r="Z117" s="107"/>
      <c r="AA117" s="107"/>
      <c r="AB117" s="107"/>
      <c r="AC117" s="107"/>
      <c r="AD117" s="107"/>
      <c r="AE117" s="107"/>
      <c r="AF117" s="101"/>
      <c r="AG117" s="102">
        <f t="shared" si="30"/>
        <v>0</v>
      </c>
      <c r="AH117" s="155">
        <f t="shared" si="31"/>
        <v>0</v>
      </c>
    </row>
    <row r="118" spans="1:35" x14ac:dyDescent="0.3">
      <c r="A118" s="1058" t="s">
        <v>269</v>
      </c>
      <c r="B118" s="1059"/>
      <c r="C118" s="1059"/>
      <c r="D118" s="1059"/>
      <c r="E118" s="1059"/>
      <c r="F118" s="1059"/>
      <c r="G118" s="1059"/>
      <c r="H118" s="1059"/>
      <c r="I118" s="1059"/>
      <c r="J118" s="1059"/>
      <c r="K118" s="1059"/>
      <c r="L118" s="1059"/>
      <c r="M118" s="1059"/>
      <c r="N118" s="1059"/>
      <c r="O118" s="1059"/>
      <c r="P118" s="1059"/>
      <c r="Q118" s="1059"/>
      <c r="R118" s="1059"/>
      <c r="S118" s="1059"/>
      <c r="T118" s="1059"/>
      <c r="U118" s="1059"/>
      <c r="V118" s="1059"/>
      <c r="W118" s="1059"/>
      <c r="X118" s="1059"/>
      <c r="Y118" s="1059"/>
      <c r="Z118" s="1059"/>
      <c r="AA118" s="1059"/>
      <c r="AB118" s="1059"/>
      <c r="AC118" s="1059"/>
      <c r="AD118" s="1059"/>
      <c r="AE118" s="1059"/>
      <c r="AF118" s="1060"/>
      <c r="AG118" s="102">
        <f t="shared" si="30"/>
        <v>0</v>
      </c>
      <c r="AH118" s="155">
        <f t="shared" si="31"/>
        <v>0</v>
      </c>
    </row>
    <row r="119" spans="1:35" x14ac:dyDescent="0.3">
      <c r="A119" s="1058" t="s">
        <v>54</v>
      </c>
      <c r="B119" s="1059"/>
      <c r="C119" s="1059"/>
      <c r="D119" s="1059"/>
      <c r="E119" s="1059"/>
      <c r="F119" s="1059"/>
      <c r="G119" s="1059"/>
      <c r="H119" s="1059"/>
      <c r="I119" s="1059"/>
      <c r="J119" s="1059"/>
      <c r="K119" s="1059"/>
      <c r="L119" s="1059"/>
      <c r="M119" s="1059"/>
      <c r="N119" s="1059"/>
      <c r="O119" s="1059"/>
      <c r="P119" s="1059"/>
      <c r="Q119" s="1059"/>
      <c r="R119" s="1059"/>
      <c r="S119" s="1059"/>
      <c r="T119" s="1059"/>
      <c r="U119" s="1059"/>
      <c r="V119" s="1059"/>
      <c r="W119" s="1059"/>
      <c r="X119" s="1059"/>
      <c r="Y119" s="1059"/>
      <c r="Z119" s="1059"/>
      <c r="AA119" s="1059"/>
      <c r="AB119" s="1059"/>
      <c r="AC119" s="1059"/>
      <c r="AD119" s="1059"/>
      <c r="AE119" s="1059"/>
      <c r="AF119" s="1060"/>
      <c r="AG119" s="102">
        <f t="shared" si="30"/>
        <v>0</v>
      </c>
      <c r="AH119" s="155">
        <f t="shared" si="31"/>
        <v>0</v>
      </c>
    </row>
    <row r="120" spans="1:35" ht="300" x14ac:dyDescent="0.3">
      <c r="A120" s="98" t="s">
        <v>270</v>
      </c>
      <c r="B120" s="143"/>
      <c r="C120" s="144"/>
      <c r="D120" s="144"/>
      <c r="E120" s="144"/>
      <c r="F120" s="144"/>
      <c r="G120" s="144"/>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726" t="s">
        <v>509</v>
      </c>
      <c r="AG120" s="102">
        <f t="shared" si="30"/>
        <v>0</v>
      </c>
      <c r="AH120" s="155">
        <f t="shared" si="31"/>
        <v>0</v>
      </c>
    </row>
    <row r="121" spans="1:35" x14ac:dyDescent="0.3">
      <c r="A121" s="145" t="s">
        <v>31</v>
      </c>
      <c r="B121" s="104">
        <f>B122+B123+B124+B125</f>
        <v>249</v>
      </c>
      <c r="C121" s="104">
        <f>C122+C123+C124+C125</f>
        <v>210.70859999999999</v>
      </c>
      <c r="D121" s="104">
        <f>D122+D123+D124+D125</f>
        <v>43.6</v>
      </c>
      <c r="E121" s="104">
        <f>E122+E123+E124+E125</f>
        <v>43.6</v>
      </c>
      <c r="F121" s="107">
        <f>IFERROR(E121/B121*100,0)</f>
        <v>17.510040160642571</v>
      </c>
      <c r="G121" s="107">
        <f>IFERROR(E121/C121*100,0)</f>
        <v>20.692083759277033</v>
      </c>
      <c r="H121" s="104">
        <f t="shared" ref="H121:AE121" si="38">H122+H123+H124+H125</f>
        <v>0</v>
      </c>
      <c r="I121" s="104">
        <f t="shared" si="38"/>
        <v>0</v>
      </c>
      <c r="J121" s="104">
        <f t="shared" si="38"/>
        <v>210.70859999999999</v>
      </c>
      <c r="K121" s="104">
        <f t="shared" si="38"/>
        <v>17.600000000000001</v>
      </c>
      <c r="L121" s="104">
        <f t="shared" si="38"/>
        <v>0</v>
      </c>
      <c r="M121" s="104">
        <f t="shared" si="38"/>
        <v>26</v>
      </c>
      <c r="N121" s="104">
        <f t="shared" si="38"/>
        <v>0</v>
      </c>
      <c r="O121" s="104">
        <f t="shared" si="38"/>
        <v>0</v>
      </c>
      <c r="P121" s="104">
        <f t="shared" si="38"/>
        <v>0</v>
      </c>
      <c r="Q121" s="104">
        <f t="shared" si="38"/>
        <v>0</v>
      </c>
      <c r="R121" s="104">
        <f t="shared" si="38"/>
        <v>0</v>
      </c>
      <c r="S121" s="104">
        <f t="shared" si="38"/>
        <v>0</v>
      </c>
      <c r="T121" s="104">
        <f t="shared" si="38"/>
        <v>0</v>
      </c>
      <c r="U121" s="104">
        <f t="shared" si="38"/>
        <v>0</v>
      </c>
      <c r="V121" s="104">
        <f t="shared" si="38"/>
        <v>0</v>
      </c>
      <c r="W121" s="104">
        <f t="shared" si="38"/>
        <v>0</v>
      </c>
      <c r="X121" s="104">
        <f t="shared" si="38"/>
        <v>38.291400000000003</v>
      </c>
      <c r="Y121" s="104">
        <f t="shared" si="38"/>
        <v>0</v>
      </c>
      <c r="Z121" s="104">
        <f t="shared" si="38"/>
        <v>0</v>
      </c>
      <c r="AA121" s="104">
        <f t="shared" si="38"/>
        <v>0</v>
      </c>
      <c r="AB121" s="104">
        <f t="shared" si="38"/>
        <v>0</v>
      </c>
      <c r="AC121" s="104">
        <f t="shared" si="38"/>
        <v>0</v>
      </c>
      <c r="AD121" s="104">
        <f t="shared" si="38"/>
        <v>0</v>
      </c>
      <c r="AE121" s="104">
        <f t="shared" si="38"/>
        <v>0</v>
      </c>
      <c r="AF121" s="101"/>
      <c r="AG121" s="102">
        <f t="shared" si="30"/>
        <v>7.1054273576010019E-15</v>
      </c>
      <c r="AH121" s="155">
        <f t="shared" si="31"/>
        <v>167.1086</v>
      </c>
    </row>
    <row r="122" spans="1:35" x14ac:dyDescent="0.3">
      <c r="A122" s="146" t="s">
        <v>169</v>
      </c>
      <c r="B122" s="107">
        <f>J122+L122+N122+P122+R122+T122+V122+X122+Z122+AB122+AD122+H122</f>
        <v>0</v>
      </c>
      <c r="C122" s="107">
        <f>H122+J122+L122+N122+P122+R122+T122+V122+X122+Z122+AB122+AD122</f>
        <v>0</v>
      </c>
      <c r="D122" s="107">
        <f>E122</f>
        <v>0</v>
      </c>
      <c r="E122" s="107">
        <f>SUM(I122,K122,M122,O122,Q122,S122,U122,W122,Y122,AA122,AC122,AE122)</f>
        <v>0</v>
      </c>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1"/>
      <c r="AG122" s="102">
        <f t="shared" si="30"/>
        <v>0</v>
      </c>
      <c r="AH122" s="155">
        <f t="shared" si="31"/>
        <v>0</v>
      </c>
    </row>
    <row r="123" spans="1:35" x14ac:dyDescent="0.3">
      <c r="A123" s="146" t="s">
        <v>32</v>
      </c>
      <c r="B123" s="107">
        <f>J123+L123+N123+P123+R123+T123+V123+X123+Z123+AB123+AD123+H123</f>
        <v>0</v>
      </c>
      <c r="C123" s="107">
        <f>H123+J123+L123+N123+P123+R123+T123+V123+X123+Z123+AB123+AD123</f>
        <v>0</v>
      </c>
      <c r="D123" s="107">
        <f>E123</f>
        <v>0</v>
      </c>
      <c r="E123" s="107">
        <f>SUM(I123,K123,M123,O123,Q123,S123,U123,W123,Y123,AA123,AC123,AE123)</f>
        <v>0</v>
      </c>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1"/>
      <c r="AG123" s="102">
        <f t="shared" si="30"/>
        <v>0</v>
      </c>
      <c r="AH123" s="155">
        <f t="shared" si="31"/>
        <v>0</v>
      </c>
    </row>
    <row r="124" spans="1:35" x14ac:dyDescent="0.3">
      <c r="A124" s="146" t="s">
        <v>33</v>
      </c>
      <c r="B124" s="735">
        <f>J124+L124+N124+P124+R124+T124+V124+X124+Z124+AB124+AD124+H124</f>
        <v>249</v>
      </c>
      <c r="C124" s="735">
        <f>H124+J124+L124</f>
        <v>210.70859999999999</v>
      </c>
      <c r="D124" s="107">
        <f>E124</f>
        <v>43.6</v>
      </c>
      <c r="E124" s="733">
        <f>SUM(I124,K124,M124,O124,Q124,S124,U124,W124,Y124,AA124,AC124,AE124)</f>
        <v>43.6</v>
      </c>
      <c r="F124" s="107">
        <f>IFERROR(E124/B124*100,0)</f>
        <v>17.510040160642571</v>
      </c>
      <c r="G124" s="107">
        <f>IFERROR(E124/C124*100,0)</f>
        <v>20.692083759277033</v>
      </c>
      <c r="H124" s="107"/>
      <c r="I124" s="107"/>
      <c r="J124" s="107">
        <v>210.70859999999999</v>
      </c>
      <c r="K124" s="107">
        <v>17.600000000000001</v>
      </c>
      <c r="L124" s="107">
        <v>0</v>
      </c>
      <c r="M124" s="107">
        <v>26</v>
      </c>
      <c r="N124" s="107"/>
      <c r="O124" s="107"/>
      <c r="P124" s="107"/>
      <c r="Q124" s="107"/>
      <c r="R124" s="107"/>
      <c r="S124" s="107"/>
      <c r="T124" s="107"/>
      <c r="U124" s="107"/>
      <c r="V124" s="107"/>
      <c r="W124" s="107"/>
      <c r="X124" s="107">
        <v>38.291400000000003</v>
      </c>
      <c r="Y124" s="107"/>
      <c r="Z124" s="107"/>
      <c r="AA124" s="107"/>
      <c r="AB124" s="107"/>
      <c r="AC124" s="107"/>
      <c r="AD124" s="107"/>
      <c r="AE124" s="107"/>
      <c r="AF124" s="101"/>
      <c r="AG124" s="102">
        <f t="shared" si="30"/>
        <v>7.1054273576010019E-15</v>
      </c>
      <c r="AH124" s="736">
        <f t="shared" si="31"/>
        <v>167.1086</v>
      </c>
      <c r="AI124" s="729">
        <v>0</v>
      </c>
    </row>
    <row r="125" spans="1:35" x14ac:dyDescent="0.3">
      <c r="A125" s="146" t="s">
        <v>170</v>
      </c>
      <c r="B125" s="107">
        <f>J125+L125+N125+P125+R125+T125+V125+X125+Z125+AB125+AD125+H125</f>
        <v>0</v>
      </c>
      <c r="C125" s="107">
        <f>H125+J125+L125+N125+P125+R125+T125+V125+X125+Z125+AB125+AD125</f>
        <v>0</v>
      </c>
      <c r="D125" s="107">
        <f>E125</f>
        <v>0</v>
      </c>
      <c r="E125" s="107">
        <f>SUM(I125,K125,M125,O125,Q125,S125,U125,W125,Y125,AA125,AC125,AE125)</f>
        <v>0</v>
      </c>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f t="shared" si="30"/>
        <v>0</v>
      </c>
      <c r="AH125" s="155">
        <f t="shared" si="31"/>
        <v>0</v>
      </c>
    </row>
    <row r="126" spans="1:35" ht="83.25" customHeight="1" x14ac:dyDescent="0.3">
      <c r="A126" s="98" t="s">
        <v>271</v>
      </c>
      <c r="B126" s="143"/>
      <c r="C126" s="144"/>
      <c r="D126" s="144"/>
      <c r="E126" s="144"/>
      <c r="F126" s="144"/>
      <c r="G126" s="144"/>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01"/>
      <c r="AG126" s="102">
        <f t="shared" si="30"/>
        <v>0</v>
      </c>
      <c r="AH126" s="155">
        <f t="shared" si="31"/>
        <v>0</v>
      </c>
    </row>
    <row r="127" spans="1:35" x14ac:dyDescent="0.3">
      <c r="A127" s="145" t="s">
        <v>31</v>
      </c>
      <c r="B127" s="104">
        <f>B128+B129+B130+B131</f>
        <v>0</v>
      </c>
      <c r="C127" s="104">
        <f>C128+C129+C130+C131</f>
        <v>0</v>
      </c>
      <c r="D127" s="104">
        <f>D128+D129+D130+D131</f>
        <v>0</v>
      </c>
      <c r="E127" s="104">
        <f>E128+E129+E130+E131</f>
        <v>0</v>
      </c>
      <c r="F127" s="107">
        <f>IFERROR(E127/B127*100,0)</f>
        <v>0</v>
      </c>
      <c r="G127" s="107">
        <f>IFERROR(E127/C127*100,0)</f>
        <v>0</v>
      </c>
      <c r="H127" s="104">
        <f t="shared" ref="H127:AE127" si="39">H128+H129+H130+H131</f>
        <v>0</v>
      </c>
      <c r="I127" s="104">
        <f t="shared" si="39"/>
        <v>0</v>
      </c>
      <c r="J127" s="104">
        <f t="shared" si="39"/>
        <v>0</v>
      </c>
      <c r="K127" s="104">
        <f t="shared" si="39"/>
        <v>0</v>
      </c>
      <c r="L127" s="104">
        <f t="shared" si="39"/>
        <v>0</v>
      </c>
      <c r="M127" s="104">
        <f t="shared" si="39"/>
        <v>0</v>
      </c>
      <c r="N127" s="104">
        <f t="shared" si="39"/>
        <v>0</v>
      </c>
      <c r="O127" s="104">
        <f t="shared" si="39"/>
        <v>0</v>
      </c>
      <c r="P127" s="104">
        <f t="shared" si="39"/>
        <v>0</v>
      </c>
      <c r="Q127" s="104">
        <f t="shared" si="39"/>
        <v>0</v>
      </c>
      <c r="R127" s="104">
        <f t="shared" si="39"/>
        <v>0</v>
      </c>
      <c r="S127" s="104">
        <f t="shared" si="39"/>
        <v>0</v>
      </c>
      <c r="T127" s="104">
        <f t="shared" si="39"/>
        <v>0</v>
      </c>
      <c r="U127" s="104">
        <f t="shared" si="39"/>
        <v>0</v>
      </c>
      <c r="V127" s="104">
        <f t="shared" si="39"/>
        <v>0</v>
      </c>
      <c r="W127" s="104">
        <f t="shared" si="39"/>
        <v>0</v>
      </c>
      <c r="X127" s="104">
        <f t="shared" si="39"/>
        <v>0</v>
      </c>
      <c r="Y127" s="104">
        <f t="shared" si="39"/>
        <v>0</v>
      </c>
      <c r="Z127" s="104">
        <f t="shared" si="39"/>
        <v>0</v>
      </c>
      <c r="AA127" s="104">
        <f t="shared" si="39"/>
        <v>0</v>
      </c>
      <c r="AB127" s="104">
        <f t="shared" si="39"/>
        <v>0</v>
      </c>
      <c r="AC127" s="104">
        <f t="shared" si="39"/>
        <v>0</v>
      </c>
      <c r="AD127" s="104">
        <f t="shared" si="39"/>
        <v>0</v>
      </c>
      <c r="AE127" s="104">
        <f t="shared" si="39"/>
        <v>0</v>
      </c>
      <c r="AF127" s="101"/>
      <c r="AG127" s="102">
        <f t="shared" si="30"/>
        <v>0</v>
      </c>
      <c r="AH127" s="155">
        <f t="shared" si="31"/>
        <v>0</v>
      </c>
    </row>
    <row r="128" spans="1:35" x14ac:dyDescent="0.3">
      <c r="A128" s="146" t="s">
        <v>169</v>
      </c>
      <c r="B128" s="107">
        <f>J128+L128+N128+P128+R128+T128+V128+X128+Z128+AB128+AD128+H128</f>
        <v>0</v>
      </c>
      <c r="C128" s="107">
        <f>SUM(H128)</f>
        <v>0</v>
      </c>
      <c r="D128" s="107">
        <f>E128</f>
        <v>0</v>
      </c>
      <c r="E128" s="107">
        <f>SUM(I128,K128,M128,O128,Q128,S128,U128,W128,Y128,AA128,AC128,AE128)</f>
        <v>0</v>
      </c>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1"/>
      <c r="AG128" s="102">
        <f t="shared" si="30"/>
        <v>0</v>
      </c>
      <c r="AH128" s="155">
        <f t="shared" si="31"/>
        <v>0</v>
      </c>
    </row>
    <row r="129" spans="1:34" x14ac:dyDescent="0.3">
      <c r="A129" s="146" t="s">
        <v>32</v>
      </c>
      <c r="B129" s="107">
        <f>J129+L129+N129+P129+R129+T129+V129+X129+Z129+AB129+AD129+H129</f>
        <v>0</v>
      </c>
      <c r="C129" s="107">
        <f>SUM(H129)</f>
        <v>0</v>
      </c>
      <c r="D129" s="107">
        <f>E129</f>
        <v>0</v>
      </c>
      <c r="E129" s="107">
        <f>SUM(I129,K129,M129,O129,Q129,S129,U129,W129,Y129,AA129,AC129,AE129)</f>
        <v>0</v>
      </c>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1"/>
      <c r="AG129" s="102">
        <f t="shared" si="30"/>
        <v>0</v>
      </c>
      <c r="AH129" s="155">
        <f t="shared" si="31"/>
        <v>0</v>
      </c>
    </row>
    <row r="130" spans="1:34" x14ac:dyDescent="0.3">
      <c r="A130" s="146" t="s">
        <v>33</v>
      </c>
      <c r="B130" s="107">
        <f>J130+L130+N130+P130+R130+T130+V130+X130+Z130+AB130+AD130+H130</f>
        <v>0</v>
      </c>
      <c r="C130" s="107">
        <f>SUM(H130)</f>
        <v>0</v>
      </c>
      <c r="D130" s="107">
        <f>E130</f>
        <v>0</v>
      </c>
      <c r="E130" s="107">
        <f>SUM(I130,K130,M130,O130,Q130,S130,U130,W130,Y130,AA130,AC130,AE130)</f>
        <v>0</v>
      </c>
      <c r="F130" s="107">
        <f>IFERROR(E130/B130*100,0)</f>
        <v>0</v>
      </c>
      <c r="G130" s="107">
        <f>IFERROR(E130/C130*100,0)</f>
        <v>0</v>
      </c>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1"/>
      <c r="AG130" s="102">
        <f t="shared" si="30"/>
        <v>0</v>
      </c>
      <c r="AH130" s="155">
        <f t="shared" si="31"/>
        <v>0</v>
      </c>
    </row>
    <row r="131" spans="1:34" x14ac:dyDescent="0.3">
      <c r="A131" s="146" t="s">
        <v>170</v>
      </c>
      <c r="B131" s="107">
        <f>J131+L131+N131+P131+R131+T131+V131+X131+Z131+AB131+AD131+H131</f>
        <v>0</v>
      </c>
      <c r="C131" s="107">
        <f>SUM(H131)</f>
        <v>0</v>
      </c>
      <c r="D131" s="107">
        <f>E131</f>
        <v>0</v>
      </c>
      <c r="E131" s="107">
        <f>SUM(I131,K131,M131,O131,Q131,S131,U131,W131,Y131,AA131,AC131,AE131)</f>
        <v>0</v>
      </c>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1"/>
      <c r="AG131" s="102">
        <f t="shared" si="30"/>
        <v>0</v>
      </c>
      <c r="AH131" s="155">
        <f t="shared" si="31"/>
        <v>0</v>
      </c>
    </row>
    <row r="132" spans="1:34" ht="68.25" customHeight="1" x14ac:dyDescent="0.3">
      <c r="A132" s="98" t="s">
        <v>272</v>
      </c>
      <c r="B132" s="143"/>
      <c r="C132" s="144"/>
      <c r="D132" s="144"/>
      <c r="E132" s="144"/>
      <c r="F132" s="144"/>
      <c r="G132" s="144"/>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01"/>
      <c r="AG132" s="102">
        <f t="shared" si="30"/>
        <v>0</v>
      </c>
      <c r="AH132" s="155">
        <f t="shared" si="31"/>
        <v>0</v>
      </c>
    </row>
    <row r="133" spans="1:34" x14ac:dyDescent="0.3">
      <c r="A133" s="145" t="s">
        <v>31</v>
      </c>
      <c r="B133" s="104">
        <f>B134+B135+B136+B137</f>
        <v>0</v>
      </c>
      <c r="C133" s="104">
        <f>C134+C135+C136+C137</f>
        <v>0</v>
      </c>
      <c r="D133" s="104">
        <f>D134+D135+D136+D137</f>
        <v>0</v>
      </c>
      <c r="E133" s="104">
        <f>E134+E135+E136+E137</f>
        <v>0</v>
      </c>
      <c r="F133" s="107">
        <f>IFERROR(E133/B133*100,0)</f>
        <v>0</v>
      </c>
      <c r="G133" s="107">
        <f>IFERROR(E133/C133*100,0)</f>
        <v>0</v>
      </c>
      <c r="H133" s="104">
        <f t="shared" ref="H133:AE133" si="40">H134+H135+H136+H137</f>
        <v>0</v>
      </c>
      <c r="I133" s="104">
        <f t="shared" si="40"/>
        <v>0</v>
      </c>
      <c r="J133" s="104">
        <f t="shared" si="40"/>
        <v>0</v>
      </c>
      <c r="K133" s="104">
        <f t="shared" si="40"/>
        <v>0</v>
      </c>
      <c r="L133" s="104">
        <f t="shared" si="40"/>
        <v>0</v>
      </c>
      <c r="M133" s="104">
        <f t="shared" si="40"/>
        <v>0</v>
      </c>
      <c r="N133" s="104">
        <f t="shared" si="40"/>
        <v>0</v>
      </c>
      <c r="O133" s="104">
        <f t="shared" si="40"/>
        <v>0</v>
      </c>
      <c r="P133" s="104">
        <f t="shared" si="40"/>
        <v>0</v>
      </c>
      <c r="Q133" s="104">
        <f t="shared" si="40"/>
        <v>0</v>
      </c>
      <c r="R133" s="104">
        <f t="shared" si="40"/>
        <v>0</v>
      </c>
      <c r="S133" s="104">
        <f t="shared" si="40"/>
        <v>0</v>
      </c>
      <c r="T133" s="104">
        <f t="shared" si="40"/>
        <v>0</v>
      </c>
      <c r="U133" s="104">
        <f t="shared" si="40"/>
        <v>0</v>
      </c>
      <c r="V133" s="104">
        <f t="shared" si="40"/>
        <v>0</v>
      </c>
      <c r="W133" s="104">
        <f t="shared" si="40"/>
        <v>0</v>
      </c>
      <c r="X133" s="104">
        <f t="shared" si="40"/>
        <v>0</v>
      </c>
      <c r="Y133" s="104">
        <f t="shared" si="40"/>
        <v>0</v>
      </c>
      <c r="Z133" s="104">
        <f t="shared" si="40"/>
        <v>0</v>
      </c>
      <c r="AA133" s="104">
        <f t="shared" si="40"/>
        <v>0</v>
      </c>
      <c r="AB133" s="104">
        <f t="shared" si="40"/>
        <v>0</v>
      </c>
      <c r="AC133" s="104">
        <f t="shared" si="40"/>
        <v>0</v>
      </c>
      <c r="AD133" s="104">
        <f t="shared" si="40"/>
        <v>0</v>
      </c>
      <c r="AE133" s="104">
        <f t="shared" si="40"/>
        <v>0</v>
      </c>
      <c r="AF133" s="101"/>
      <c r="AG133" s="102">
        <f t="shared" si="30"/>
        <v>0</v>
      </c>
      <c r="AH133" s="155">
        <f t="shared" si="31"/>
        <v>0</v>
      </c>
    </row>
    <row r="134" spans="1:34" x14ac:dyDescent="0.3">
      <c r="A134" s="146" t="s">
        <v>169</v>
      </c>
      <c r="B134" s="107">
        <f>J134+L134+N134+P134+R134+T134+V134+X134+Z134+AB134+AD134+H134</f>
        <v>0</v>
      </c>
      <c r="C134" s="107">
        <f>SUM(H134)</f>
        <v>0</v>
      </c>
      <c r="D134" s="107">
        <f>E134</f>
        <v>0</v>
      </c>
      <c r="E134" s="107">
        <f>SUM(I134,K134,M134,O134,Q134,S134,U134,W134,Y134,AA134,AC134,AE134)</f>
        <v>0</v>
      </c>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1"/>
      <c r="AG134" s="102">
        <f t="shared" si="30"/>
        <v>0</v>
      </c>
      <c r="AH134" s="155">
        <f t="shared" si="31"/>
        <v>0</v>
      </c>
    </row>
    <row r="135" spans="1:34" x14ac:dyDescent="0.3">
      <c r="A135" s="146" t="s">
        <v>32</v>
      </c>
      <c r="B135" s="107">
        <f>J135+L135+N135+P135+R135+T135+V135+X135+Z135+AB135+AD135+H135</f>
        <v>0</v>
      </c>
      <c r="C135" s="107">
        <f>SUM(H135)</f>
        <v>0</v>
      </c>
      <c r="D135" s="107">
        <f>E135</f>
        <v>0</v>
      </c>
      <c r="E135" s="107">
        <f>SUM(I135,K135,M135,O135,Q135,S135,U135,W135,Y135,AA135,AC135,AE135)</f>
        <v>0</v>
      </c>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1"/>
      <c r="AG135" s="102">
        <f t="shared" si="30"/>
        <v>0</v>
      </c>
      <c r="AH135" s="155">
        <f t="shared" si="31"/>
        <v>0</v>
      </c>
    </row>
    <row r="136" spans="1:34" x14ac:dyDescent="0.3">
      <c r="A136" s="146" t="s">
        <v>33</v>
      </c>
      <c r="B136" s="107">
        <f>J136+L136+N136+P136+R136+T136+V136+X136+Z136+AB136+AD136+H136</f>
        <v>0</v>
      </c>
      <c r="C136" s="107">
        <f>SUM(H136)</f>
        <v>0</v>
      </c>
      <c r="D136" s="107">
        <f>E136</f>
        <v>0</v>
      </c>
      <c r="E136" s="107">
        <f>SUM(I136,K136,M136,O136,Q136,S136,U136,W136,Y136,AA136,AC136,AE136)</f>
        <v>0</v>
      </c>
      <c r="F136" s="107">
        <f>IFERROR(E136/B136*100,0)</f>
        <v>0</v>
      </c>
      <c r="G136" s="107">
        <f>IFERROR(E136/C136*100,0)</f>
        <v>0</v>
      </c>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1"/>
      <c r="AG136" s="102">
        <f t="shared" si="30"/>
        <v>0</v>
      </c>
      <c r="AH136" s="155">
        <f t="shared" si="31"/>
        <v>0</v>
      </c>
    </row>
    <row r="137" spans="1:34" x14ac:dyDescent="0.3">
      <c r="A137" s="146" t="s">
        <v>170</v>
      </c>
      <c r="B137" s="107">
        <f>J137+L137+N137+P137+R137+T137+V137+X137+Z137+AB137+AD137+H137</f>
        <v>0</v>
      </c>
      <c r="C137" s="107">
        <f>SUM(H137)</f>
        <v>0</v>
      </c>
      <c r="D137" s="107">
        <f>E137</f>
        <v>0</v>
      </c>
      <c r="E137" s="107">
        <f>SUM(I137,K137,M137,O137,Q137,S137,U137,W137,Y137,AA137,AC137,AE137)</f>
        <v>0</v>
      </c>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1"/>
      <c r="AG137" s="102">
        <f t="shared" si="30"/>
        <v>0</v>
      </c>
      <c r="AH137" s="155">
        <f t="shared" si="31"/>
        <v>0</v>
      </c>
    </row>
    <row r="138" spans="1:34" x14ac:dyDescent="0.3">
      <c r="A138" s="148" t="s">
        <v>217</v>
      </c>
      <c r="B138" s="787">
        <f ca="1">B139+B140+B141+B142</f>
        <v>298207.75417999999</v>
      </c>
      <c r="C138" s="787">
        <f ca="1">C139+C140+C141</f>
        <v>105652.65931999998</v>
      </c>
      <c r="D138" s="149">
        <f ca="1">D139+D140+D141</f>
        <v>123372.56000000003</v>
      </c>
      <c r="E138" s="787">
        <f ca="1">E139+E140+E141</f>
        <v>123372.56000000003</v>
      </c>
      <c r="F138" s="149">
        <f t="shared" ref="F138:F152" ca="1" si="41">IFERROR(E138/B138*100,0)</f>
        <v>41.371345402887009</v>
      </c>
      <c r="G138" s="149">
        <f t="shared" ref="G138:G152" ca="1" si="42">IFERROR(E138/C138*100,0)</f>
        <v>116.7718453979754</v>
      </c>
      <c r="H138" s="149">
        <f t="shared" ref="H138:AE138" ca="1" si="43">H139+H140+H141+H142</f>
        <v>44037.336600000002</v>
      </c>
      <c r="I138" s="149">
        <f t="shared" ca="1" si="43"/>
        <v>45180.282999999996</v>
      </c>
      <c r="J138" s="149">
        <f t="shared" ca="1" si="43"/>
        <v>33621.776099999988</v>
      </c>
      <c r="K138" s="149">
        <f t="shared" ca="1" si="43"/>
        <v>22511.485999999994</v>
      </c>
      <c r="L138" s="149">
        <f t="shared" ca="1" si="43"/>
        <v>27917.556619999999</v>
      </c>
      <c r="M138" s="149">
        <f t="shared" ca="1" si="43"/>
        <v>21624.206999999999</v>
      </c>
      <c r="N138" s="149">
        <f t="shared" ca="1" si="43"/>
        <v>31811.3681</v>
      </c>
      <c r="O138" s="149">
        <f t="shared" ca="1" si="43"/>
        <v>20540.434000000001</v>
      </c>
      <c r="P138" s="149">
        <f t="shared" ca="1" si="43"/>
        <v>30051.880999999994</v>
      </c>
      <c r="Q138" s="149">
        <f t="shared" ca="1" si="43"/>
        <v>14924.760000000002</v>
      </c>
      <c r="R138" s="149">
        <f t="shared" ca="1" si="43"/>
        <v>24939.145660000002</v>
      </c>
      <c r="S138" s="149">
        <f t="shared" ca="1" si="43"/>
        <v>0</v>
      </c>
      <c r="T138" s="149">
        <f t="shared" ca="1" si="43"/>
        <v>19852.039799999999</v>
      </c>
      <c r="U138" s="149">
        <f t="shared" ca="1" si="43"/>
        <v>0</v>
      </c>
      <c r="V138" s="149">
        <f t="shared" ca="1" si="43"/>
        <v>18274.712800000001</v>
      </c>
      <c r="W138" s="149">
        <f t="shared" ca="1" si="43"/>
        <v>0</v>
      </c>
      <c r="X138" s="149">
        <f t="shared" ca="1" si="43"/>
        <v>14365.533460000001</v>
      </c>
      <c r="Y138" s="149">
        <f t="shared" ca="1" si="43"/>
        <v>0</v>
      </c>
      <c r="Z138" s="149">
        <f t="shared" ca="1" si="43"/>
        <v>18109.728160000002</v>
      </c>
      <c r="AA138" s="149">
        <f t="shared" ca="1" si="43"/>
        <v>0</v>
      </c>
      <c r="AB138" s="149">
        <f t="shared" ca="1" si="43"/>
        <v>16560.870159999999</v>
      </c>
      <c r="AC138" s="149">
        <f t="shared" ca="1" si="43"/>
        <v>0</v>
      </c>
      <c r="AD138" s="149">
        <f t="shared" ca="1" si="43"/>
        <v>18864.705719999998</v>
      </c>
      <c r="AE138" s="149">
        <f t="shared" ca="1" si="43"/>
        <v>0</v>
      </c>
      <c r="AF138" s="149"/>
      <c r="AG138" s="102">
        <f t="shared" ca="1" si="30"/>
        <v>-198.90000000000146</v>
      </c>
      <c r="AH138" s="155">
        <f t="shared" ca="1" si="31"/>
        <v>-17719.90068000005</v>
      </c>
    </row>
    <row r="139" spans="1:34" x14ac:dyDescent="0.3">
      <c r="A139" s="150" t="s">
        <v>169</v>
      </c>
      <c r="B139" s="151">
        <f t="shared" ref="B139:E141" ca="1" si="44">B26+B62+B74+B100+B106+B114+B122+B80+B13+B128+B134</f>
        <v>0</v>
      </c>
      <c r="C139" s="151">
        <f t="shared" ca="1" si="44"/>
        <v>0</v>
      </c>
      <c r="D139" s="151">
        <f t="shared" ca="1" si="44"/>
        <v>0</v>
      </c>
      <c r="E139" s="151">
        <f t="shared" ca="1" si="44"/>
        <v>0</v>
      </c>
      <c r="F139" s="151">
        <f t="shared" ca="1" si="41"/>
        <v>0</v>
      </c>
      <c r="G139" s="151">
        <f t="shared" ca="1" si="42"/>
        <v>0</v>
      </c>
      <c r="H139" s="151">
        <f t="shared" ref="H139:AE139" ca="1" si="45">H26+H62+H74+H100+H106+H114+H122+H80+H13+H128+H134</f>
        <v>0</v>
      </c>
      <c r="I139" s="151">
        <f t="shared" ca="1" si="45"/>
        <v>0</v>
      </c>
      <c r="J139" s="151">
        <f t="shared" ca="1" si="45"/>
        <v>0</v>
      </c>
      <c r="K139" s="151">
        <f t="shared" ca="1" si="45"/>
        <v>0</v>
      </c>
      <c r="L139" s="151">
        <f t="shared" ca="1" si="45"/>
        <v>0</v>
      </c>
      <c r="M139" s="151">
        <f t="shared" ca="1" si="45"/>
        <v>0</v>
      </c>
      <c r="N139" s="151">
        <f t="shared" ca="1" si="45"/>
        <v>0</v>
      </c>
      <c r="O139" s="151">
        <f t="shared" ca="1" si="45"/>
        <v>0</v>
      </c>
      <c r="P139" s="151">
        <f t="shared" ca="1" si="45"/>
        <v>0</v>
      </c>
      <c r="Q139" s="151">
        <f t="shared" ca="1" si="45"/>
        <v>0</v>
      </c>
      <c r="R139" s="151">
        <f t="shared" ca="1" si="45"/>
        <v>0</v>
      </c>
      <c r="S139" s="151">
        <f t="shared" ca="1" si="45"/>
        <v>0</v>
      </c>
      <c r="T139" s="151">
        <f t="shared" ca="1" si="45"/>
        <v>0</v>
      </c>
      <c r="U139" s="151">
        <f t="shared" ca="1" si="45"/>
        <v>0</v>
      </c>
      <c r="V139" s="151">
        <f t="shared" ca="1" si="45"/>
        <v>0</v>
      </c>
      <c r="W139" s="151">
        <f t="shared" ca="1" si="45"/>
        <v>0</v>
      </c>
      <c r="X139" s="151">
        <f t="shared" ca="1" si="45"/>
        <v>0</v>
      </c>
      <c r="Y139" s="151">
        <f t="shared" ca="1" si="45"/>
        <v>0</v>
      </c>
      <c r="Z139" s="151">
        <f t="shared" ca="1" si="45"/>
        <v>0</v>
      </c>
      <c r="AA139" s="151">
        <f t="shared" ca="1" si="45"/>
        <v>0</v>
      </c>
      <c r="AB139" s="151">
        <f t="shared" ca="1" si="45"/>
        <v>0</v>
      </c>
      <c r="AC139" s="151">
        <f t="shared" ca="1" si="45"/>
        <v>0</v>
      </c>
      <c r="AD139" s="151">
        <f t="shared" ca="1" si="45"/>
        <v>0</v>
      </c>
      <c r="AE139" s="151">
        <f t="shared" ca="1" si="45"/>
        <v>0</v>
      </c>
      <c r="AF139" s="151"/>
      <c r="AG139" s="102">
        <f t="shared" ca="1" si="30"/>
        <v>0</v>
      </c>
      <c r="AH139" s="155">
        <f t="shared" ca="1" si="31"/>
        <v>0</v>
      </c>
    </row>
    <row r="140" spans="1:34" x14ac:dyDescent="0.3">
      <c r="A140" s="150" t="s">
        <v>32</v>
      </c>
      <c r="B140" s="788">
        <f t="shared" ca="1" si="44"/>
        <v>10029.184999999999</v>
      </c>
      <c r="C140" s="151">
        <f t="shared" ca="1" si="44"/>
        <v>448.45</v>
      </c>
      <c r="D140" s="151">
        <f t="shared" ca="1" si="44"/>
        <v>4410.82</v>
      </c>
      <c r="E140" s="151">
        <f t="shared" ca="1" si="44"/>
        <v>4410.82</v>
      </c>
      <c r="F140" s="151">
        <f t="shared" ca="1" si="41"/>
        <v>43.979844822884409</v>
      </c>
      <c r="G140" s="151">
        <f t="shared" ca="1" si="42"/>
        <v>983.57007470175051</v>
      </c>
      <c r="H140" s="151">
        <f t="shared" ref="H140:AE140" ca="1" si="46">H27+H63+H75+H101+H107+H115+H123+H81+H14+H129+H135</f>
        <v>0</v>
      </c>
      <c r="I140" s="151">
        <f t="shared" ca="1" si="46"/>
        <v>0</v>
      </c>
      <c r="J140" s="151">
        <f t="shared" ca="1" si="46"/>
        <v>0</v>
      </c>
      <c r="K140" s="151">
        <f t="shared" ca="1" si="46"/>
        <v>0</v>
      </c>
      <c r="L140" s="151">
        <f t="shared" ca="1" si="46"/>
        <v>372.46</v>
      </c>
      <c r="M140" s="151">
        <f t="shared" ca="1" si="46"/>
        <v>372.46</v>
      </c>
      <c r="N140" s="151">
        <f t="shared" ca="1" si="46"/>
        <v>1545.22</v>
      </c>
      <c r="O140" s="151">
        <f t="shared" ca="1" si="46"/>
        <v>1545.22</v>
      </c>
      <c r="P140" s="151">
        <f t="shared" ca="1" si="46"/>
        <v>3310.64</v>
      </c>
      <c r="Q140" s="151">
        <f t="shared" ca="1" si="46"/>
        <v>3901.75</v>
      </c>
      <c r="R140" s="151">
        <f t="shared" ca="1" si="46"/>
        <v>3525.7</v>
      </c>
      <c r="S140" s="151">
        <f t="shared" ca="1" si="46"/>
        <v>0</v>
      </c>
      <c r="T140" s="151">
        <f t="shared" ca="1" si="46"/>
        <v>650.6</v>
      </c>
      <c r="U140" s="151">
        <f t="shared" ca="1" si="46"/>
        <v>0</v>
      </c>
      <c r="V140" s="151">
        <f t="shared" ca="1" si="46"/>
        <v>223.95</v>
      </c>
      <c r="W140" s="151">
        <f t="shared" ca="1" si="46"/>
        <v>0</v>
      </c>
      <c r="X140" s="151">
        <f t="shared" ca="1" si="46"/>
        <v>0</v>
      </c>
      <c r="Y140" s="151">
        <f t="shared" ca="1" si="46"/>
        <v>0</v>
      </c>
      <c r="Z140" s="151">
        <f t="shared" ca="1" si="46"/>
        <v>246.95249999999999</v>
      </c>
      <c r="AA140" s="151">
        <f t="shared" ca="1" si="46"/>
        <v>0</v>
      </c>
      <c r="AB140" s="151">
        <f t="shared" ca="1" si="46"/>
        <v>153.66249999999999</v>
      </c>
      <c r="AC140" s="151">
        <f t="shared" ca="1" si="46"/>
        <v>0</v>
      </c>
      <c r="AD140" s="151">
        <f t="shared" ca="1" si="46"/>
        <v>0</v>
      </c>
      <c r="AE140" s="151">
        <f t="shared" ca="1" si="46"/>
        <v>0</v>
      </c>
      <c r="AF140" s="151"/>
      <c r="AG140" s="102">
        <f t="shared" ca="1" si="30"/>
        <v>-2.8421709430404007E-14</v>
      </c>
      <c r="AH140" s="155">
        <f t="shared" ca="1" si="31"/>
        <v>-3962.37</v>
      </c>
    </row>
    <row r="141" spans="1:34" x14ac:dyDescent="0.3">
      <c r="A141" s="150" t="s">
        <v>33</v>
      </c>
      <c r="B141" s="788">
        <f t="shared" ca="1" si="44"/>
        <v>288178.56917999999</v>
      </c>
      <c r="C141" s="151">
        <f t="shared" ca="1" si="44"/>
        <v>105204.20931999998</v>
      </c>
      <c r="D141" s="151">
        <f t="shared" ca="1" si="44"/>
        <v>118961.74000000002</v>
      </c>
      <c r="E141" s="151">
        <f t="shared" ca="1" si="44"/>
        <v>118961.74000000002</v>
      </c>
      <c r="F141" s="151">
        <f t="shared" ca="1" si="41"/>
        <v>41.28056445644124</v>
      </c>
      <c r="G141" s="151">
        <f t="shared" ca="1" si="42"/>
        <v>113.07697740320799</v>
      </c>
      <c r="H141" s="151">
        <f t="shared" ref="H141:AE141" ca="1" si="47">H28+H64+H76+H102+H108+H116+H124+H82+H15+H130+H136</f>
        <v>44037.336600000002</v>
      </c>
      <c r="I141" s="151">
        <f t="shared" ca="1" si="47"/>
        <v>45180.282999999996</v>
      </c>
      <c r="J141" s="151">
        <f t="shared" ca="1" si="47"/>
        <v>33621.776099999988</v>
      </c>
      <c r="K141" s="151">
        <f t="shared" ca="1" si="47"/>
        <v>22511.485999999994</v>
      </c>
      <c r="L141" s="151">
        <f t="shared" si="47"/>
        <v>27545.09662</v>
      </c>
      <c r="M141" s="151">
        <f t="shared" si="47"/>
        <v>21251.746999999999</v>
      </c>
      <c r="N141" s="151">
        <f t="shared" si="47"/>
        <v>30067.248099999997</v>
      </c>
      <c r="O141" s="151">
        <f t="shared" si="47"/>
        <v>18995.214</v>
      </c>
      <c r="P141" s="151">
        <f t="shared" si="47"/>
        <v>26741.240999999995</v>
      </c>
      <c r="Q141" s="151">
        <f t="shared" si="47"/>
        <v>11023.010000000002</v>
      </c>
      <c r="R141" s="151">
        <f t="shared" si="47"/>
        <v>21413.445660000001</v>
      </c>
      <c r="S141" s="151">
        <f t="shared" si="47"/>
        <v>0</v>
      </c>
      <c r="T141" s="151">
        <f t="shared" si="47"/>
        <v>19201.4398</v>
      </c>
      <c r="U141" s="151">
        <f t="shared" si="47"/>
        <v>0</v>
      </c>
      <c r="V141" s="151">
        <f t="shared" si="47"/>
        <v>18050.7628</v>
      </c>
      <c r="W141" s="151">
        <f t="shared" si="47"/>
        <v>0</v>
      </c>
      <c r="X141" s="151">
        <f t="shared" si="47"/>
        <v>14365.533460000001</v>
      </c>
      <c r="Y141" s="151">
        <f t="shared" si="47"/>
        <v>0</v>
      </c>
      <c r="Z141" s="151">
        <f t="shared" si="47"/>
        <v>17862.775660000003</v>
      </c>
      <c r="AA141" s="151">
        <f t="shared" si="47"/>
        <v>0</v>
      </c>
      <c r="AB141" s="151">
        <f t="shared" si="47"/>
        <v>16407.20766</v>
      </c>
      <c r="AC141" s="151">
        <f t="shared" si="47"/>
        <v>0</v>
      </c>
      <c r="AD141" s="151">
        <f t="shared" si="47"/>
        <v>18864.705719999998</v>
      </c>
      <c r="AE141" s="151">
        <f t="shared" si="47"/>
        <v>0</v>
      </c>
      <c r="AF141" s="151"/>
      <c r="AG141" s="102">
        <f t="shared" ca="1" si="30"/>
        <v>0</v>
      </c>
      <c r="AH141" s="155">
        <f t="shared" ca="1" si="31"/>
        <v>-13757.53068000004</v>
      </c>
    </row>
    <row r="142" spans="1:34" x14ac:dyDescent="0.3">
      <c r="A142" s="152" t="s">
        <v>170</v>
      </c>
      <c r="B142" s="151">
        <f>B29+B65+B77+B103+B109+B117+B125+B83+B16+B131+B137</f>
        <v>0</v>
      </c>
      <c r="C142" s="151">
        <f ca="1">C29+C65+C77+C103+C109+C117+C125+C83+C16+C131+C137</f>
        <v>0</v>
      </c>
      <c r="D142" s="151">
        <f>D29+D65+D77+D103+D109+D117+D125+D83+D16+D131+D137</f>
        <v>0</v>
      </c>
      <c r="E142" s="151">
        <f>E29+E65+E77+E103+E109+E117+E125+E83+E16+E131+E137</f>
        <v>0</v>
      </c>
      <c r="F142" s="151">
        <f t="shared" si="41"/>
        <v>0</v>
      </c>
      <c r="G142" s="151">
        <f t="shared" ca="1" si="42"/>
        <v>0</v>
      </c>
      <c r="H142" s="151">
        <f t="shared" ref="H142:AE142" ca="1" si="48">H29+H65+H77+H103+H109+H117+H125+H83+H16+H131+H137</f>
        <v>0</v>
      </c>
      <c r="I142" s="151">
        <f t="shared" ca="1" si="48"/>
        <v>0</v>
      </c>
      <c r="J142" s="151">
        <f t="shared" ca="1" si="48"/>
        <v>0</v>
      </c>
      <c r="K142" s="151">
        <f t="shared" ca="1" si="48"/>
        <v>0</v>
      </c>
      <c r="L142" s="151">
        <f t="shared" si="48"/>
        <v>0</v>
      </c>
      <c r="M142" s="151">
        <f t="shared" si="48"/>
        <v>0</v>
      </c>
      <c r="N142" s="151">
        <f t="shared" si="48"/>
        <v>198.9</v>
      </c>
      <c r="O142" s="151">
        <f t="shared" si="48"/>
        <v>0</v>
      </c>
      <c r="P142" s="151">
        <f t="shared" si="48"/>
        <v>0</v>
      </c>
      <c r="Q142" s="151">
        <f t="shared" si="48"/>
        <v>0</v>
      </c>
      <c r="R142" s="151">
        <f t="shared" si="48"/>
        <v>0</v>
      </c>
      <c r="S142" s="151">
        <f t="shared" si="48"/>
        <v>0</v>
      </c>
      <c r="T142" s="151">
        <f t="shared" si="48"/>
        <v>0</v>
      </c>
      <c r="U142" s="151">
        <f t="shared" si="48"/>
        <v>0</v>
      </c>
      <c r="V142" s="151">
        <f t="shared" si="48"/>
        <v>0</v>
      </c>
      <c r="W142" s="151">
        <f t="shared" si="48"/>
        <v>0</v>
      </c>
      <c r="X142" s="151">
        <f t="shared" si="48"/>
        <v>0</v>
      </c>
      <c r="Y142" s="151">
        <f t="shared" si="48"/>
        <v>0</v>
      </c>
      <c r="Z142" s="151">
        <f t="shared" si="48"/>
        <v>0</v>
      </c>
      <c r="AA142" s="151">
        <f t="shared" si="48"/>
        <v>0</v>
      </c>
      <c r="AB142" s="151">
        <f t="shared" si="48"/>
        <v>0</v>
      </c>
      <c r="AC142" s="151">
        <f t="shared" si="48"/>
        <v>0</v>
      </c>
      <c r="AD142" s="151">
        <f t="shared" si="48"/>
        <v>0</v>
      </c>
      <c r="AE142" s="151">
        <f t="shared" si="48"/>
        <v>0</v>
      </c>
      <c r="AF142" s="151"/>
      <c r="AG142" s="102">
        <f t="shared" ca="1" si="30"/>
        <v>-198.9</v>
      </c>
      <c r="AH142" s="155">
        <f t="shared" ca="1" si="31"/>
        <v>0</v>
      </c>
    </row>
    <row r="143" spans="1:34" ht="37.5" x14ac:dyDescent="0.3">
      <c r="A143" s="148" t="s">
        <v>218</v>
      </c>
      <c r="B143" s="104">
        <f ca="1">B144+B145+B146+B147</f>
        <v>15871.8</v>
      </c>
      <c r="C143" s="104">
        <f ca="1">C144+C145+C146+C147</f>
        <v>0</v>
      </c>
      <c r="D143" s="104">
        <f ca="1">D144+D145+D146+D147</f>
        <v>0</v>
      </c>
      <c r="E143" s="104">
        <f ca="1">E144+E145+E146+E147</f>
        <v>0</v>
      </c>
      <c r="F143" s="105">
        <f t="shared" ca="1" si="41"/>
        <v>0</v>
      </c>
      <c r="G143" s="105">
        <f t="shared" ca="1" si="42"/>
        <v>0</v>
      </c>
      <c r="H143" s="105">
        <f t="shared" ref="H143:U144" ca="1" si="49">IFERROR(F143/D143*100,0)</f>
        <v>0</v>
      </c>
      <c r="I143" s="105">
        <f t="shared" ca="1" si="49"/>
        <v>0</v>
      </c>
      <c r="J143" s="105">
        <f t="shared" ca="1" si="49"/>
        <v>0</v>
      </c>
      <c r="K143" s="105">
        <f t="shared" ca="1" si="49"/>
        <v>0</v>
      </c>
      <c r="L143" s="105">
        <f t="shared" ca="1" si="49"/>
        <v>0</v>
      </c>
      <c r="M143" s="105">
        <f t="shared" ca="1" si="49"/>
        <v>0</v>
      </c>
      <c r="N143" s="105">
        <f t="shared" ca="1" si="49"/>
        <v>0</v>
      </c>
      <c r="O143" s="105">
        <f t="shared" ca="1" si="49"/>
        <v>0</v>
      </c>
      <c r="P143" s="105">
        <f t="shared" ca="1" si="49"/>
        <v>0</v>
      </c>
      <c r="Q143" s="105">
        <f t="shared" ca="1" si="49"/>
        <v>0</v>
      </c>
      <c r="R143" s="105">
        <f t="shared" ca="1" si="49"/>
        <v>0</v>
      </c>
      <c r="S143" s="105">
        <f t="shared" ca="1" si="49"/>
        <v>0</v>
      </c>
      <c r="T143" s="105">
        <f t="shared" ca="1" si="49"/>
        <v>0</v>
      </c>
      <c r="U143" s="105">
        <f t="shared" ca="1" si="49"/>
        <v>0</v>
      </c>
      <c r="V143" s="105">
        <f ca="1">SUM(V144:V147)</f>
        <v>10212.799999999999</v>
      </c>
      <c r="W143" s="105">
        <f ca="1">IFERROR(U143/S143*100,0)</f>
        <v>0</v>
      </c>
      <c r="X143" s="105">
        <f ca="1">SUM(X144:X147)</f>
        <v>1859</v>
      </c>
      <c r="Y143" s="105">
        <f t="shared" ref="Y143:AE145" ca="1" si="50">IFERROR(W143/U143*100,0)</f>
        <v>0</v>
      </c>
      <c r="Z143" s="105">
        <f t="shared" ca="1" si="50"/>
        <v>18.20264765784114</v>
      </c>
      <c r="AA143" s="105">
        <f t="shared" ca="1" si="50"/>
        <v>0</v>
      </c>
      <c r="AB143" s="105">
        <f t="shared" ca="1" si="50"/>
        <v>0.97916340278865732</v>
      </c>
      <c r="AC143" s="105">
        <f t="shared" ca="1" si="50"/>
        <v>0</v>
      </c>
      <c r="AD143" s="105">
        <f t="shared" ca="1" si="50"/>
        <v>5.3792361484669176</v>
      </c>
      <c r="AE143" s="105">
        <f t="shared" ca="1" si="50"/>
        <v>0</v>
      </c>
      <c r="AF143" s="101"/>
      <c r="AG143" s="102">
        <f t="shared" ca="1" si="30"/>
        <v>3775.4389527909029</v>
      </c>
      <c r="AH143" s="155">
        <f t="shared" ca="1" si="31"/>
        <v>0</v>
      </c>
    </row>
    <row r="144" spans="1:34" x14ac:dyDescent="0.3">
      <c r="A144" s="150" t="s">
        <v>169</v>
      </c>
      <c r="B144" s="107">
        <f ca="1">J144+L144+N144+P144+R144+T144+V144+X144+Z144+AB144+AD144+H144</f>
        <v>0</v>
      </c>
      <c r="C144" s="107">
        <f ca="1">SUM(H144)</f>
        <v>0</v>
      </c>
      <c r="D144" s="107">
        <f ca="1">E144</f>
        <v>0</v>
      </c>
      <c r="E144" s="107">
        <f ca="1">SUM(I144,K144,M144,O144,Q144,S144,U144,W144,Y144,AA144,AC144,AE144)</f>
        <v>0</v>
      </c>
      <c r="F144" s="107">
        <f t="shared" ca="1" si="41"/>
        <v>0</v>
      </c>
      <c r="G144" s="107">
        <f t="shared" ca="1" si="42"/>
        <v>0</v>
      </c>
      <c r="H144" s="107">
        <f t="shared" ca="1" si="49"/>
        <v>0</v>
      </c>
      <c r="I144" s="107">
        <f t="shared" ca="1" si="49"/>
        <v>0</v>
      </c>
      <c r="J144" s="107">
        <f t="shared" ca="1" si="49"/>
        <v>0</v>
      </c>
      <c r="K144" s="107">
        <f t="shared" ca="1" si="49"/>
        <v>0</v>
      </c>
      <c r="L144" s="107">
        <f t="shared" ca="1" si="49"/>
        <v>0</v>
      </c>
      <c r="M144" s="107">
        <f t="shared" ca="1" si="49"/>
        <v>0</v>
      </c>
      <c r="N144" s="107">
        <f t="shared" ca="1" si="49"/>
        <v>0</v>
      </c>
      <c r="O144" s="107">
        <f t="shared" ca="1" si="49"/>
        <v>0</v>
      </c>
      <c r="P144" s="107">
        <f t="shared" ca="1" si="49"/>
        <v>0</v>
      </c>
      <c r="Q144" s="107">
        <f t="shared" ca="1" si="49"/>
        <v>0</v>
      </c>
      <c r="R144" s="107">
        <f t="shared" ca="1" si="49"/>
        <v>0</v>
      </c>
      <c r="S144" s="107">
        <f t="shared" ca="1" si="49"/>
        <v>0</v>
      </c>
      <c r="T144" s="107">
        <f t="shared" ca="1" si="49"/>
        <v>0</v>
      </c>
      <c r="U144" s="107">
        <f t="shared" ca="1" si="49"/>
        <v>0</v>
      </c>
      <c r="V144" s="107">
        <f ca="1">IFERROR(T144/R144*100,0)</f>
        <v>0</v>
      </c>
      <c r="W144" s="107">
        <f ca="1">IFERROR(U144/S144*100,0)</f>
        <v>0</v>
      </c>
      <c r="X144" s="107">
        <f ca="1">IFERROR(V144/T144*100,0)</f>
        <v>0</v>
      </c>
      <c r="Y144" s="107">
        <f t="shared" ca="1" si="50"/>
        <v>0</v>
      </c>
      <c r="Z144" s="107">
        <f t="shared" ca="1" si="50"/>
        <v>0</v>
      </c>
      <c r="AA144" s="107">
        <f t="shared" ca="1" si="50"/>
        <v>0</v>
      </c>
      <c r="AB144" s="107">
        <f t="shared" ca="1" si="50"/>
        <v>0</v>
      </c>
      <c r="AC144" s="107">
        <f t="shared" ca="1" si="50"/>
        <v>0</v>
      </c>
      <c r="AD144" s="107">
        <f t="shared" ca="1" si="50"/>
        <v>0</v>
      </c>
      <c r="AE144" s="107">
        <f t="shared" ca="1" si="50"/>
        <v>0</v>
      </c>
      <c r="AF144" s="101"/>
      <c r="AG144" s="102">
        <f t="shared" ca="1" si="30"/>
        <v>0</v>
      </c>
      <c r="AH144" s="155">
        <f t="shared" ca="1" si="31"/>
        <v>0</v>
      </c>
    </row>
    <row r="145" spans="1:34" x14ac:dyDescent="0.3">
      <c r="A145" s="150" t="s">
        <v>32</v>
      </c>
      <c r="B145" s="107">
        <f ca="1">J145+L145+N145+P145+R145+T145+V145+X145+Z145+AB145+AD145+H145</f>
        <v>10000</v>
      </c>
      <c r="C145" s="107">
        <f ca="1">SUM(H145)</f>
        <v>0</v>
      </c>
      <c r="D145" s="107">
        <f ca="1">E145</f>
        <v>0</v>
      </c>
      <c r="E145" s="107">
        <f ca="1">SUM(I145,K145,M145,O145,Q145,S145,U145,W145,Y145,AA145,AC145,AE145)</f>
        <v>0</v>
      </c>
      <c r="F145" s="107">
        <f t="shared" ca="1" si="41"/>
        <v>0</v>
      </c>
      <c r="G145" s="107">
        <f t="shared" ca="1" si="42"/>
        <v>0</v>
      </c>
      <c r="H145" s="107">
        <f t="shared" ref="H145:O147" ca="1" si="51">IFERROR(F145/D145*100,0)</f>
        <v>0</v>
      </c>
      <c r="I145" s="107">
        <f t="shared" ca="1" si="51"/>
        <v>0</v>
      </c>
      <c r="J145" s="107">
        <f t="shared" ca="1" si="51"/>
        <v>0</v>
      </c>
      <c r="K145" s="107">
        <f t="shared" ca="1" si="51"/>
        <v>0</v>
      </c>
      <c r="L145" s="107">
        <f t="shared" ca="1" si="51"/>
        <v>0</v>
      </c>
      <c r="M145" s="107">
        <f t="shared" ca="1" si="51"/>
        <v>0</v>
      </c>
      <c r="N145" s="107">
        <f t="shared" ca="1" si="51"/>
        <v>0</v>
      </c>
      <c r="O145" s="107">
        <f t="shared" ca="1" si="51"/>
        <v>0</v>
      </c>
      <c r="P145" s="107">
        <v>0</v>
      </c>
      <c r="Q145" s="107">
        <f t="shared" ref="Q145:S147" ca="1" si="52">IFERROR(O145/M145*100,0)</f>
        <v>0</v>
      </c>
      <c r="R145" s="107">
        <f t="shared" ca="1" si="52"/>
        <v>0</v>
      </c>
      <c r="S145" s="107">
        <f t="shared" ca="1" si="52"/>
        <v>0</v>
      </c>
      <c r="T145" s="107">
        <v>0</v>
      </c>
      <c r="U145" s="107">
        <f ca="1">IFERROR(S145/Q145*100,0)</f>
        <v>0</v>
      </c>
      <c r="V145" s="107">
        <v>10000</v>
      </c>
      <c r="W145" s="107">
        <f ca="1">IFERROR(U145/S145*100,0)</f>
        <v>0</v>
      </c>
      <c r="X145" s="107">
        <f>IFERROR(V145/T145*100,0)</f>
        <v>0</v>
      </c>
      <c r="Y145" s="107">
        <f t="shared" ca="1" si="50"/>
        <v>0</v>
      </c>
      <c r="Z145" s="107">
        <f t="shared" si="50"/>
        <v>0</v>
      </c>
      <c r="AA145" s="107">
        <f t="shared" ca="1" si="50"/>
        <v>0</v>
      </c>
      <c r="AB145" s="107">
        <f t="shared" si="50"/>
        <v>0</v>
      </c>
      <c r="AC145" s="107">
        <f t="shared" ca="1" si="50"/>
        <v>0</v>
      </c>
      <c r="AD145" s="107">
        <f t="shared" si="50"/>
        <v>0</v>
      </c>
      <c r="AE145" s="107">
        <f t="shared" ca="1" si="50"/>
        <v>0</v>
      </c>
      <c r="AF145" s="101"/>
      <c r="AG145" s="102">
        <f t="shared" ca="1" si="30"/>
        <v>0</v>
      </c>
      <c r="AH145" s="155">
        <f t="shared" ca="1" si="31"/>
        <v>0</v>
      </c>
    </row>
    <row r="146" spans="1:34" x14ac:dyDescent="0.3">
      <c r="A146" s="150" t="s">
        <v>33</v>
      </c>
      <c r="B146" s="107">
        <f ca="1">J146+L146+N146+P146+R146+T146+V146+X146+Z146+AB146+AD146+H146</f>
        <v>5059.3</v>
      </c>
      <c r="C146" s="107">
        <f ca="1">SUM(H146)</f>
        <v>0</v>
      </c>
      <c r="D146" s="107">
        <f ca="1">E146</f>
        <v>0</v>
      </c>
      <c r="E146" s="107">
        <f ca="1">SUM(I146,K146,M146,O146,Q146,S146,U146,W146,Y146,AA146,AC146,AE146)</f>
        <v>0</v>
      </c>
      <c r="F146" s="107">
        <f t="shared" ca="1" si="41"/>
        <v>0</v>
      </c>
      <c r="G146" s="107">
        <f t="shared" ca="1" si="42"/>
        <v>0</v>
      </c>
      <c r="H146" s="107">
        <f t="shared" ca="1" si="51"/>
        <v>0</v>
      </c>
      <c r="I146" s="107">
        <f t="shared" ca="1" si="51"/>
        <v>0</v>
      </c>
      <c r="J146" s="107">
        <f t="shared" ca="1" si="51"/>
        <v>0</v>
      </c>
      <c r="K146" s="107">
        <f t="shared" ca="1" si="51"/>
        <v>0</v>
      </c>
      <c r="L146" s="107">
        <f t="shared" ca="1" si="51"/>
        <v>0</v>
      </c>
      <c r="M146" s="107">
        <f t="shared" ca="1" si="51"/>
        <v>0</v>
      </c>
      <c r="N146" s="107">
        <f t="shared" ca="1" si="51"/>
        <v>0</v>
      </c>
      <c r="O146" s="107">
        <f t="shared" ca="1" si="51"/>
        <v>0</v>
      </c>
      <c r="P146" s="107">
        <v>1800</v>
      </c>
      <c r="Q146" s="107">
        <f t="shared" ca="1" si="52"/>
        <v>0</v>
      </c>
      <c r="R146" s="107">
        <f t="shared" ca="1" si="52"/>
        <v>0</v>
      </c>
      <c r="S146" s="107">
        <f t="shared" ca="1" si="52"/>
        <v>0</v>
      </c>
      <c r="T146" s="107">
        <v>2000</v>
      </c>
      <c r="U146" s="107">
        <f ca="1">IFERROR(S146/Q146*100,0)</f>
        <v>0</v>
      </c>
      <c r="V146" s="107">
        <v>212.8</v>
      </c>
      <c r="W146" s="107">
        <f ca="1">IFERROR(U146/S146*100,0)</f>
        <v>0</v>
      </c>
      <c r="X146" s="107">
        <v>1046.5</v>
      </c>
      <c r="Y146" s="107">
        <f ca="1">IFERROR(W146/U146*100,0)</f>
        <v>0</v>
      </c>
      <c r="Z146" s="107">
        <v>0</v>
      </c>
      <c r="AA146" s="107">
        <f t="shared" ref="AA146:AE147" ca="1" si="53">IFERROR(Y146/W146*100,0)</f>
        <v>0</v>
      </c>
      <c r="AB146" s="107">
        <f t="shared" si="53"/>
        <v>0</v>
      </c>
      <c r="AC146" s="107">
        <f t="shared" ca="1" si="53"/>
        <v>0</v>
      </c>
      <c r="AD146" s="107">
        <f t="shared" si="53"/>
        <v>0</v>
      </c>
      <c r="AE146" s="107">
        <f t="shared" ca="1" si="53"/>
        <v>0</v>
      </c>
      <c r="AF146" s="101"/>
      <c r="AG146" s="102">
        <f t="shared" ref="AG146:AG157" ca="1" si="54">B146-H146-J146-L146-N146-P146-R146-T146-V146-X146-Z146-AB146-AD146</f>
        <v>2.2737367544323206E-13</v>
      </c>
      <c r="AH146" s="155">
        <f t="shared" ca="1" si="31"/>
        <v>0</v>
      </c>
    </row>
    <row r="147" spans="1:34" x14ac:dyDescent="0.3">
      <c r="A147" s="152" t="s">
        <v>170</v>
      </c>
      <c r="B147" s="107">
        <f ca="1">J147+L147+N147+P147+R147+T147+V147+X147+Z147+AB147+AD147+H147</f>
        <v>812.5</v>
      </c>
      <c r="C147" s="107">
        <f ca="1">SUM(H147)</f>
        <v>0</v>
      </c>
      <c r="D147" s="107">
        <f ca="1">E147</f>
        <v>0</v>
      </c>
      <c r="E147" s="107">
        <f ca="1">SUM(I147,K147,M147,O147,Q147,S147,U147,W147,Y147,AA147,AC147,AE147)</f>
        <v>0</v>
      </c>
      <c r="F147" s="107">
        <f t="shared" ca="1" si="41"/>
        <v>0</v>
      </c>
      <c r="G147" s="107">
        <f t="shared" ca="1" si="42"/>
        <v>0</v>
      </c>
      <c r="H147" s="107">
        <f t="shared" ca="1" si="51"/>
        <v>0</v>
      </c>
      <c r="I147" s="107">
        <f t="shared" ca="1" si="51"/>
        <v>0</v>
      </c>
      <c r="J147" s="107">
        <f t="shared" ca="1" si="51"/>
        <v>0</v>
      </c>
      <c r="K147" s="107">
        <f t="shared" ca="1" si="51"/>
        <v>0</v>
      </c>
      <c r="L147" s="107">
        <f t="shared" ca="1" si="51"/>
        <v>0</v>
      </c>
      <c r="M147" s="107">
        <f t="shared" ca="1" si="51"/>
        <v>0</v>
      </c>
      <c r="N147" s="107">
        <f t="shared" ca="1" si="51"/>
        <v>0</v>
      </c>
      <c r="O147" s="107">
        <f t="shared" ca="1" si="51"/>
        <v>0</v>
      </c>
      <c r="P147" s="107">
        <f ca="1">IFERROR(N147/L147*100,0)</f>
        <v>0</v>
      </c>
      <c r="Q147" s="107">
        <f t="shared" ca="1" si="52"/>
        <v>0</v>
      </c>
      <c r="R147" s="107">
        <f t="shared" ca="1" si="52"/>
        <v>0</v>
      </c>
      <c r="S147" s="107">
        <f t="shared" ca="1" si="52"/>
        <v>0</v>
      </c>
      <c r="T147" s="107">
        <f ca="1">IFERROR(R147/P147*100,0)</f>
        <v>0</v>
      </c>
      <c r="U147" s="107">
        <f ca="1">IFERROR(S147/Q147*100,0)</f>
        <v>0</v>
      </c>
      <c r="V147" s="107">
        <f ca="1">IFERROR(T147/R147*100,0)</f>
        <v>0</v>
      </c>
      <c r="W147" s="107">
        <f ca="1">IFERROR(U147/S147*100,0)</f>
        <v>0</v>
      </c>
      <c r="X147" s="107">
        <v>812.5</v>
      </c>
      <c r="Y147" s="107">
        <f ca="1">IFERROR(W147/U147*100,0)</f>
        <v>0</v>
      </c>
      <c r="Z147" s="107">
        <f ca="1">IFERROR(X147/V147*100,0)</f>
        <v>0</v>
      </c>
      <c r="AA147" s="107">
        <f t="shared" ca="1" si="53"/>
        <v>0</v>
      </c>
      <c r="AB147" s="107">
        <f t="shared" ca="1" si="53"/>
        <v>0</v>
      </c>
      <c r="AC147" s="107">
        <f t="shared" ca="1" si="53"/>
        <v>0</v>
      </c>
      <c r="AD147" s="107">
        <f t="shared" ca="1" si="53"/>
        <v>0</v>
      </c>
      <c r="AE147" s="107">
        <f t="shared" ca="1" si="53"/>
        <v>0</v>
      </c>
      <c r="AF147" s="101"/>
      <c r="AG147" s="102">
        <f t="shared" ca="1" si="54"/>
        <v>0</v>
      </c>
      <c r="AH147" s="155">
        <f t="shared" ref="AH147:AH152" ca="1" si="55">C147-E147</f>
        <v>0</v>
      </c>
    </row>
    <row r="148" spans="1:34" ht="37.5" x14ac:dyDescent="0.3">
      <c r="A148" s="148" t="s">
        <v>219</v>
      </c>
      <c r="B148" s="727">
        <f ca="1">B149+B150+B151+B152</f>
        <v>298207.75417999999</v>
      </c>
      <c r="C148" s="727">
        <f ca="1">C149+C150+C151</f>
        <v>105652.65931999998</v>
      </c>
      <c r="D148" s="149">
        <f ca="1">D149+D150+D151</f>
        <v>123372.56000000003</v>
      </c>
      <c r="E148" s="727">
        <f ca="1">E149+E150+E151</f>
        <v>123372.56000000003</v>
      </c>
      <c r="F148" s="149">
        <f t="shared" ca="1" si="41"/>
        <v>41.371345402887009</v>
      </c>
      <c r="G148" s="149">
        <f t="shared" ca="1" si="42"/>
        <v>116.7718453979754</v>
      </c>
      <c r="H148" s="149">
        <f t="shared" ref="H148:AE148" ca="1" si="56">H149+H150+H151+H152</f>
        <v>44037.336600000002</v>
      </c>
      <c r="I148" s="149">
        <f t="shared" ca="1" si="56"/>
        <v>45180.282999999996</v>
      </c>
      <c r="J148" s="149">
        <f t="shared" ca="1" si="56"/>
        <v>33621.776099999988</v>
      </c>
      <c r="K148" s="149">
        <f t="shared" ca="1" si="56"/>
        <v>22511.485999999994</v>
      </c>
      <c r="L148" s="149">
        <f t="shared" ca="1" si="56"/>
        <v>27917.556619999999</v>
      </c>
      <c r="M148" s="149">
        <f t="shared" ca="1" si="56"/>
        <v>21624.206999999999</v>
      </c>
      <c r="N148" s="149">
        <f t="shared" ca="1" si="56"/>
        <v>31811.3681</v>
      </c>
      <c r="O148" s="149">
        <f t="shared" ca="1" si="56"/>
        <v>20540.434000000001</v>
      </c>
      <c r="P148" s="149">
        <f t="shared" ca="1" si="56"/>
        <v>30051.880999999994</v>
      </c>
      <c r="Q148" s="149">
        <f t="shared" ca="1" si="56"/>
        <v>14924.760000000002</v>
      </c>
      <c r="R148" s="149">
        <f t="shared" ca="1" si="56"/>
        <v>24939.145660000002</v>
      </c>
      <c r="S148" s="149">
        <f t="shared" ca="1" si="56"/>
        <v>0</v>
      </c>
      <c r="T148" s="149">
        <f t="shared" ca="1" si="56"/>
        <v>19852.039799999999</v>
      </c>
      <c r="U148" s="149">
        <f t="shared" ca="1" si="56"/>
        <v>0</v>
      </c>
      <c r="V148" s="149">
        <f t="shared" ca="1" si="56"/>
        <v>18274.712800000001</v>
      </c>
      <c r="W148" s="149">
        <f t="shared" ca="1" si="56"/>
        <v>0</v>
      </c>
      <c r="X148" s="149">
        <f t="shared" ca="1" si="56"/>
        <v>14365.533460000001</v>
      </c>
      <c r="Y148" s="149">
        <f t="shared" ca="1" si="56"/>
        <v>0</v>
      </c>
      <c r="Z148" s="149">
        <f t="shared" ca="1" si="56"/>
        <v>18109.728160000002</v>
      </c>
      <c r="AA148" s="149">
        <f t="shared" ca="1" si="56"/>
        <v>0</v>
      </c>
      <c r="AB148" s="149">
        <f t="shared" ca="1" si="56"/>
        <v>16560.870159999999</v>
      </c>
      <c r="AC148" s="149">
        <f t="shared" ca="1" si="56"/>
        <v>0</v>
      </c>
      <c r="AD148" s="149">
        <f t="shared" ca="1" si="56"/>
        <v>18864.705720000002</v>
      </c>
      <c r="AE148" s="149">
        <f t="shared" ca="1" si="56"/>
        <v>0</v>
      </c>
      <c r="AF148" s="149"/>
      <c r="AG148" s="102">
        <f t="shared" ca="1" si="54"/>
        <v>-198.90000000000509</v>
      </c>
      <c r="AH148" s="155">
        <f t="shared" ca="1" si="55"/>
        <v>-17719.90068000005</v>
      </c>
    </row>
    <row r="149" spans="1:34" x14ac:dyDescent="0.3">
      <c r="A149" s="150" t="s">
        <v>169</v>
      </c>
      <c r="B149" s="151">
        <f ca="1">B26+B62+B74+B80+B100+B106+B114+B122+B128+B134</f>
        <v>0</v>
      </c>
      <c r="C149" s="151">
        <f ca="1">C26+C62+C74+C80+C100+C106+C114+C122+C128+C134</f>
        <v>0</v>
      </c>
      <c r="D149" s="151">
        <f ca="1">D26+D62+D74+D80+D100+D106+D114+D122+D128+D134</f>
        <v>0</v>
      </c>
      <c r="E149" s="151">
        <f ca="1">E26+E62+E74+E80+E100+E106+E114+E122+E128+E134</f>
        <v>0</v>
      </c>
      <c r="F149" s="151">
        <f t="shared" ca="1" si="41"/>
        <v>0</v>
      </c>
      <c r="G149" s="151">
        <f t="shared" ca="1" si="42"/>
        <v>0</v>
      </c>
      <c r="H149" s="151">
        <f t="shared" ref="H149:AE152" ca="1" si="57">H26+H62+H74+H80+H100+H106+H114+H122+H128+H134</f>
        <v>0</v>
      </c>
      <c r="I149" s="151">
        <f t="shared" ca="1" si="57"/>
        <v>0</v>
      </c>
      <c r="J149" s="151">
        <f t="shared" ca="1" si="57"/>
        <v>0</v>
      </c>
      <c r="K149" s="151">
        <f t="shared" ca="1" si="57"/>
        <v>0</v>
      </c>
      <c r="L149" s="151">
        <f t="shared" ca="1" si="57"/>
        <v>0</v>
      </c>
      <c r="M149" s="151">
        <f t="shared" ca="1" si="57"/>
        <v>0</v>
      </c>
      <c r="N149" s="151">
        <f t="shared" ca="1" si="57"/>
        <v>0</v>
      </c>
      <c r="O149" s="151">
        <f t="shared" ca="1" si="57"/>
        <v>0</v>
      </c>
      <c r="P149" s="151">
        <f t="shared" ca="1" si="57"/>
        <v>0</v>
      </c>
      <c r="Q149" s="151">
        <f t="shared" ca="1" si="57"/>
        <v>0</v>
      </c>
      <c r="R149" s="151">
        <f t="shared" ca="1" si="57"/>
        <v>0</v>
      </c>
      <c r="S149" s="151">
        <f t="shared" ca="1" si="57"/>
        <v>0</v>
      </c>
      <c r="T149" s="151">
        <f t="shared" ca="1" si="57"/>
        <v>0</v>
      </c>
      <c r="U149" s="151">
        <f t="shared" ca="1" si="57"/>
        <v>0</v>
      </c>
      <c r="V149" s="151">
        <f t="shared" ca="1" si="57"/>
        <v>0</v>
      </c>
      <c r="W149" s="151">
        <f t="shared" ca="1" si="57"/>
        <v>0</v>
      </c>
      <c r="X149" s="151">
        <f t="shared" ca="1" si="57"/>
        <v>0</v>
      </c>
      <c r="Y149" s="151">
        <f t="shared" ca="1" si="57"/>
        <v>0</v>
      </c>
      <c r="Z149" s="151">
        <f t="shared" ca="1" si="57"/>
        <v>0</v>
      </c>
      <c r="AA149" s="151">
        <f t="shared" ca="1" si="57"/>
        <v>0</v>
      </c>
      <c r="AB149" s="151">
        <f t="shared" ca="1" si="57"/>
        <v>0</v>
      </c>
      <c r="AC149" s="151">
        <f t="shared" ca="1" si="57"/>
        <v>0</v>
      </c>
      <c r="AD149" s="151">
        <f t="shared" ca="1" si="57"/>
        <v>0</v>
      </c>
      <c r="AE149" s="151">
        <f t="shared" ca="1" si="57"/>
        <v>0</v>
      </c>
      <c r="AF149" s="151"/>
      <c r="AG149" s="102">
        <f t="shared" ca="1" si="54"/>
        <v>0</v>
      </c>
      <c r="AH149" s="155">
        <f t="shared" ca="1" si="55"/>
        <v>0</v>
      </c>
    </row>
    <row r="150" spans="1:34" x14ac:dyDescent="0.3">
      <c r="A150" s="150" t="s">
        <v>32</v>
      </c>
      <c r="B150" s="151">
        <f ca="1">B27+B63+B75+B81+B101+B107+B115+B123+B129+B135</f>
        <v>10029.184999999999</v>
      </c>
      <c r="C150" s="151">
        <f ca="1">C27+C63+C75+C81+C101+C107+C115+C123+C129+C135</f>
        <v>448.45</v>
      </c>
      <c r="D150" s="151">
        <f t="shared" ref="B150:E152" ca="1" si="58">D27+D63+D75+D81+D101+D107+D115+D123+D129+D135</f>
        <v>4410.82</v>
      </c>
      <c r="E150" s="151">
        <f t="shared" ca="1" si="58"/>
        <v>4410.82</v>
      </c>
      <c r="F150" s="151">
        <f t="shared" ca="1" si="41"/>
        <v>43.979844822884409</v>
      </c>
      <c r="G150" s="151">
        <f t="shared" ca="1" si="42"/>
        <v>983.57007470175051</v>
      </c>
      <c r="H150" s="151">
        <f t="shared" ca="1" si="57"/>
        <v>0</v>
      </c>
      <c r="I150" s="151">
        <f t="shared" ca="1" si="57"/>
        <v>0</v>
      </c>
      <c r="J150" s="151">
        <f t="shared" ca="1" si="57"/>
        <v>0</v>
      </c>
      <c r="K150" s="151">
        <f t="shared" ca="1" si="57"/>
        <v>0</v>
      </c>
      <c r="L150" s="151">
        <f t="shared" ca="1" si="57"/>
        <v>372.46</v>
      </c>
      <c r="M150" s="151">
        <f t="shared" ca="1" si="57"/>
        <v>372.46</v>
      </c>
      <c r="N150" s="151">
        <f t="shared" ca="1" si="57"/>
        <v>1545.22</v>
      </c>
      <c r="O150" s="151">
        <f t="shared" ca="1" si="57"/>
        <v>1545.22</v>
      </c>
      <c r="P150" s="151">
        <f t="shared" ca="1" si="57"/>
        <v>3310.64</v>
      </c>
      <c r="Q150" s="151">
        <f t="shared" ca="1" si="57"/>
        <v>3901.75</v>
      </c>
      <c r="R150" s="151">
        <f t="shared" ca="1" si="57"/>
        <v>3525.7</v>
      </c>
      <c r="S150" s="151">
        <f t="shared" ca="1" si="57"/>
        <v>0</v>
      </c>
      <c r="T150" s="151">
        <f t="shared" ca="1" si="57"/>
        <v>650.6</v>
      </c>
      <c r="U150" s="151">
        <f t="shared" ca="1" si="57"/>
        <v>0</v>
      </c>
      <c r="V150" s="151">
        <f t="shared" ca="1" si="57"/>
        <v>223.95</v>
      </c>
      <c r="W150" s="151">
        <f t="shared" ca="1" si="57"/>
        <v>0</v>
      </c>
      <c r="X150" s="151">
        <f t="shared" ca="1" si="57"/>
        <v>0</v>
      </c>
      <c r="Y150" s="151">
        <f t="shared" ca="1" si="57"/>
        <v>0</v>
      </c>
      <c r="Z150" s="151">
        <f t="shared" ca="1" si="57"/>
        <v>246.95249999999999</v>
      </c>
      <c r="AA150" s="151">
        <f t="shared" ca="1" si="57"/>
        <v>0</v>
      </c>
      <c r="AB150" s="151">
        <f t="shared" ca="1" si="57"/>
        <v>153.66249999999999</v>
      </c>
      <c r="AC150" s="151">
        <f t="shared" ca="1" si="57"/>
        <v>0</v>
      </c>
      <c r="AD150" s="151">
        <f t="shared" ca="1" si="57"/>
        <v>0</v>
      </c>
      <c r="AE150" s="151">
        <f t="shared" ca="1" si="57"/>
        <v>0</v>
      </c>
      <c r="AF150" s="151"/>
      <c r="AG150" s="102">
        <f t="shared" ca="1" si="54"/>
        <v>-2.8421709430404007E-14</v>
      </c>
      <c r="AH150" s="155">
        <f t="shared" ca="1" si="55"/>
        <v>-3962.37</v>
      </c>
    </row>
    <row r="151" spans="1:34" x14ac:dyDescent="0.3">
      <c r="A151" s="150" t="s">
        <v>33</v>
      </c>
      <c r="B151" s="151">
        <f t="shared" ca="1" si="58"/>
        <v>288178.56917999999</v>
      </c>
      <c r="C151" s="151">
        <f t="shared" ca="1" si="58"/>
        <v>105204.20931999998</v>
      </c>
      <c r="D151" s="151">
        <f t="shared" ca="1" si="58"/>
        <v>118961.74000000002</v>
      </c>
      <c r="E151" s="151">
        <f ca="1">E28+E64+E76+E82+E102+E108+E116+E124+E130+E136</f>
        <v>118961.74000000002</v>
      </c>
      <c r="F151" s="151">
        <f t="shared" ca="1" si="41"/>
        <v>41.28056445644124</v>
      </c>
      <c r="G151" s="151">
        <f t="shared" ca="1" si="42"/>
        <v>113.07697740320799</v>
      </c>
      <c r="H151" s="151">
        <f t="shared" ca="1" si="57"/>
        <v>44037.336600000002</v>
      </c>
      <c r="I151" s="151">
        <f t="shared" ca="1" si="57"/>
        <v>45180.282999999996</v>
      </c>
      <c r="J151" s="151">
        <f t="shared" ca="1" si="57"/>
        <v>33621.776099999988</v>
      </c>
      <c r="K151" s="151">
        <f t="shared" ca="1" si="57"/>
        <v>22511.485999999994</v>
      </c>
      <c r="L151" s="151">
        <f t="shared" si="57"/>
        <v>27545.09662</v>
      </c>
      <c r="M151" s="151">
        <f t="shared" si="57"/>
        <v>21251.746999999999</v>
      </c>
      <c r="N151" s="151">
        <f t="shared" si="57"/>
        <v>30067.248099999997</v>
      </c>
      <c r="O151" s="151">
        <f t="shared" si="57"/>
        <v>18995.214</v>
      </c>
      <c r="P151" s="151">
        <f t="shared" si="57"/>
        <v>26741.240999999995</v>
      </c>
      <c r="Q151" s="151">
        <f t="shared" si="57"/>
        <v>11023.010000000002</v>
      </c>
      <c r="R151" s="151">
        <f t="shared" si="57"/>
        <v>21413.445660000001</v>
      </c>
      <c r="S151" s="151">
        <f t="shared" si="57"/>
        <v>0</v>
      </c>
      <c r="T151" s="151">
        <f t="shared" si="57"/>
        <v>19201.4398</v>
      </c>
      <c r="U151" s="151">
        <f t="shared" si="57"/>
        <v>0</v>
      </c>
      <c r="V151" s="151">
        <f t="shared" si="57"/>
        <v>18050.7628</v>
      </c>
      <c r="W151" s="151">
        <f t="shared" si="57"/>
        <v>0</v>
      </c>
      <c r="X151" s="151">
        <f t="shared" si="57"/>
        <v>14365.533460000001</v>
      </c>
      <c r="Y151" s="151">
        <f t="shared" si="57"/>
        <v>0</v>
      </c>
      <c r="Z151" s="151">
        <f t="shared" si="57"/>
        <v>17862.775660000003</v>
      </c>
      <c r="AA151" s="151">
        <f t="shared" si="57"/>
        <v>0</v>
      </c>
      <c r="AB151" s="151">
        <f t="shared" si="57"/>
        <v>16407.20766</v>
      </c>
      <c r="AC151" s="151">
        <f t="shared" si="57"/>
        <v>0</v>
      </c>
      <c r="AD151" s="151">
        <f t="shared" si="57"/>
        <v>18864.705720000002</v>
      </c>
      <c r="AE151" s="151">
        <f t="shared" si="57"/>
        <v>0</v>
      </c>
      <c r="AF151" s="151"/>
      <c r="AG151" s="102">
        <f t="shared" ca="1" si="54"/>
        <v>0</v>
      </c>
      <c r="AH151" s="155">
        <f t="shared" ca="1" si="55"/>
        <v>-13757.53068000004</v>
      </c>
    </row>
    <row r="152" spans="1:34" x14ac:dyDescent="0.3">
      <c r="A152" s="152" t="s">
        <v>170</v>
      </c>
      <c r="B152" s="151">
        <f t="shared" si="58"/>
        <v>0</v>
      </c>
      <c r="C152" s="151">
        <f t="shared" ca="1" si="58"/>
        <v>0</v>
      </c>
      <c r="D152" s="151">
        <f t="shared" si="58"/>
        <v>0</v>
      </c>
      <c r="E152" s="151">
        <f t="shared" si="58"/>
        <v>0</v>
      </c>
      <c r="F152" s="151">
        <f t="shared" si="41"/>
        <v>0</v>
      </c>
      <c r="G152" s="151">
        <f t="shared" ca="1" si="42"/>
        <v>0</v>
      </c>
      <c r="H152" s="151">
        <f t="shared" ca="1" si="57"/>
        <v>0</v>
      </c>
      <c r="I152" s="151">
        <f t="shared" ca="1" si="57"/>
        <v>0</v>
      </c>
      <c r="J152" s="151">
        <f t="shared" ca="1" si="57"/>
        <v>0</v>
      </c>
      <c r="K152" s="151">
        <f t="shared" ca="1" si="57"/>
        <v>0</v>
      </c>
      <c r="L152" s="151">
        <f t="shared" si="57"/>
        <v>0</v>
      </c>
      <c r="M152" s="151">
        <f t="shared" si="57"/>
        <v>0</v>
      </c>
      <c r="N152" s="151">
        <f t="shared" si="57"/>
        <v>198.9</v>
      </c>
      <c r="O152" s="151">
        <f t="shared" si="57"/>
        <v>0</v>
      </c>
      <c r="P152" s="151">
        <f t="shared" si="57"/>
        <v>0</v>
      </c>
      <c r="Q152" s="151">
        <f t="shared" si="57"/>
        <v>0</v>
      </c>
      <c r="R152" s="151">
        <f t="shared" si="57"/>
        <v>0</v>
      </c>
      <c r="S152" s="151">
        <f t="shared" si="57"/>
        <v>0</v>
      </c>
      <c r="T152" s="151">
        <f t="shared" si="57"/>
        <v>0</v>
      </c>
      <c r="U152" s="151">
        <f t="shared" si="57"/>
        <v>0</v>
      </c>
      <c r="V152" s="151">
        <f t="shared" si="57"/>
        <v>0</v>
      </c>
      <c r="W152" s="151">
        <f t="shared" si="57"/>
        <v>0</v>
      </c>
      <c r="X152" s="151">
        <f t="shared" si="57"/>
        <v>0</v>
      </c>
      <c r="Y152" s="151">
        <f t="shared" si="57"/>
        <v>0</v>
      </c>
      <c r="Z152" s="151">
        <f t="shared" si="57"/>
        <v>0</v>
      </c>
      <c r="AA152" s="151">
        <f t="shared" si="57"/>
        <v>0</v>
      </c>
      <c r="AB152" s="151">
        <f t="shared" si="57"/>
        <v>0</v>
      </c>
      <c r="AC152" s="151">
        <f t="shared" si="57"/>
        <v>0</v>
      </c>
      <c r="AD152" s="151">
        <f t="shared" si="57"/>
        <v>0</v>
      </c>
      <c r="AE152" s="151">
        <f t="shared" si="57"/>
        <v>0</v>
      </c>
      <c r="AF152" s="151"/>
      <c r="AG152" s="102">
        <f t="shared" ca="1" si="54"/>
        <v>-198.9</v>
      </c>
      <c r="AH152" s="155">
        <f t="shared" ca="1" si="55"/>
        <v>0</v>
      </c>
    </row>
    <row r="153" spans="1:34" x14ac:dyDescent="0.3">
      <c r="B153" s="155">
        <f t="shared" ref="B153:E157" ca="1" si="59">B138-B143-B148</f>
        <v>-15871.799999999988</v>
      </c>
      <c r="C153" s="155">
        <f t="shared" ca="1" si="59"/>
        <v>0</v>
      </c>
      <c r="D153" s="155">
        <f t="shared" ca="1" si="59"/>
        <v>0</v>
      </c>
      <c r="E153" s="155">
        <f t="shared" ca="1" si="59"/>
        <v>0</v>
      </c>
      <c r="F153" s="155"/>
      <c r="G153" s="155"/>
      <c r="H153" s="155">
        <f t="shared" ref="H153:AE157" ca="1" si="60">H138-H143-H148</f>
        <v>0</v>
      </c>
      <c r="I153" s="155">
        <f t="shared" ca="1" si="60"/>
        <v>0</v>
      </c>
      <c r="J153" s="155">
        <f t="shared" ca="1" si="60"/>
        <v>0</v>
      </c>
      <c r="K153" s="155">
        <f t="shared" ca="1" si="60"/>
        <v>0</v>
      </c>
      <c r="L153" s="155">
        <f t="shared" ca="1" si="60"/>
        <v>0</v>
      </c>
      <c r="M153" s="155">
        <f t="shared" ca="1" si="60"/>
        <v>0</v>
      </c>
      <c r="N153" s="155">
        <f t="shared" ca="1" si="60"/>
        <v>0</v>
      </c>
      <c r="O153" s="155">
        <f t="shared" ca="1" si="60"/>
        <v>0</v>
      </c>
      <c r="P153" s="155">
        <f t="shared" ca="1" si="60"/>
        <v>0</v>
      </c>
      <c r="Q153" s="155">
        <f t="shared" ca="1" si="60"/>
        <v>0</v>
      </c>
      <c r="R153" s="155">
        <f t="shared" ca="1" si="60"/>
        <v>0</v>
      </c>
      <c r="S153" s="155">
        <f t="shared" ca="1" si="60"/>
        <v>0</v>
      </c>
      <c r="T153" s="155">
        <f t="shared" ca="1" si="60"/>
        <v>0</v>
      </c>
      <c r="U153" s="155">
        <f t="shared" ca="1" si="60"/>
        <v>0</v>
      </c>
      <c r="V153" s="155">
        <f t="shared" ca="1" si="60"/>
        <v>-10212.799999999999</v>
      </c>
      <c r="W153" s="155">
        <f t="shared" ca="1" si="60"/>
        <v>0</v>
      </c>
      <c r="X153" s="155">
        <f t="shared" ca="1" si="60"/>
        <v>-1859</v>
      </c>
      <c r="Y153" s="155">
        <f t="shared" ca="1" si="60"/>
        <v>0</v>
      </c>
      <c r="Z153" s="155">
        <f t="shared" ca="1" si="60"/>
        <v>-18.202647657839407</v>
      </c>
      <c r="AA153" s="155">
        <f t="shared" ca="1" si="60"/>
        <v>0</v>
      </c>
      <c r="AB153" s="155">
        <f t="shared" ca="1" si="60"/>
        <v>-0.97916340278970893</v>
      </c>
      <c r="AC153" s="155">
        <f t="shared" ca="1" si="60"/>
        <v>0</v>
      </c>
      <c r="AD153" s="155">
        <f t="shared" ca="1" si="60"/>
        <v>-5.3792361484702269</v>
      </c>
      <c r="AE153" s="155">
        <f t="shared" ca="1" si="60"/>
        <v>0</v>
      </c>
      <c r="AG153" s="102">
        <f t="shared" ca="1" si="54"/>
        <v>-3775.4389527908897</v>
      </c>
    </row>
    <row r="154" spans="1:34" x14ac:dyDescent="0.3">
      <c r="A154" s="156" t="s">
        <v>169</v>
      </c>
      <c r="B154" s="155">
        <f t="shared" ca="1" si="59"/>
        <v>0</v>
      </c>
      <c r="C154" s="155">
        <f t="shared" ca="1" si="59"/>
        <v>0</v>
      </c>
      <c r="D154" s="155">
        <f t="shared" ca="1" si="59"/>
        <v>0</v>
      </c>
      <c r="E154" s="155">
        <f t="shared" ca="1" si="59"/>
        <v>0</v>
      </c>
      <c r="F154" s="155"/>
      <c r="G154" s="155"/>
      <c r="H154" s="155">
        <f t="shared" ca="1" si="60"/>
        <v>0</v>
      </c>
      <c r="I154" s="155">
        <f t="shared" ca="1" si="60"/>
        <v>0</v>
      </c>
      <c r="J154" s="155">
        <f t="shared" ca="1" si="60"/>
        <v>0</v>
      </c>
      <c r="K154" s="155">
        <f t="shared" ca="1" si="60"/>
        <v>0</v>
      </c>
      <c r="L154" s="155">
        <f t="shared" ca="1" si="60"/>
        <v>0</v>
      </c>
      <c r="M154" s="155">
        <f t="shared" ca="1" si="60"/>
        <v>0</v>
      </c>
      <c r="N154" s="155">
        <f t="shared" ca="1" si="60"/>
        <v>0</v>
      </c>
      <c r="O154" s="155">
        <f t="shared" ca="1" si="60"/>
        <v>0</v>
      </c>
      <c r="P154" s="155">
        <f t="shared" ca="1" si="60"/>
        <v>0</v>
      </c>
      <c r="Q154" s="155">
        <f t="shared" ca="1" si="60"/>
        <v>0</v>
      </c>
      <c r="R154" s="155">
        <f t="shared" ca="1" si="60"/>
        <v>0</v>
      </c>
      <c r="S154" s="155">
        <f t="shared" ca="1" si="60"/>
        <v>0</v>
      </c>
      <c r="T154" s="155">
        <f t="shared" ca="1" si="60"/>
        <v>0</v>
      </c>
      <c r="U154" s="155">
        <f t="shared" ca="1" si="60"/>
        <v>0</v>
      </c>
      <c r="V154" s="155">
        <f t="shared" ca="1" si="60"/>
        <v>0</v>
      </c>
      <c r="W154" s="155">
        <f t="shared" ca="1" si="60"/>
        <v>0</v>
      </c>
      <c r="X154" s="155">
        <f t="shared" ca="1" si="60"/>
        <v>0</v>
      </c>
      <c r="Y154" s="155">
        <f t="shared" ca="1" si="60"/>
        <v>0</v>
      </c>
      <c r="Z154" s="155">
        <f t="shared" ca="1" si="60"/>
        <v>0</v>
      </c>
      <c r="AA154" s="155">
        <f t="shared" ca="1" si="60"/>
        <v>0</v>
      </c>
      <c r="AB154" s="155">
        <f t="shared" ca="1" si="60"/>
        <v>0</v>
      </c>
      <c r="AC154" s="155">
        <f t="shared" ca="1" si="60"/>
        <v>0</v>
      </c>
      <c r="AD154" s="155">
        <f t="shared" ca="1" si="60"/>
        <v>0</v>
      </c>
      <c r="AE154" s="155">
        <f t="shared" ca="1" si="60"/>
        <v>0</v>
      </c>
      <c r="AG154" s="102">
        <f t="shared" ca="1" si="54"/>
        <v>0</v>
      </c>
    </row>
    <row r="155" spans="1:34" x14ac:dyDescent="0.3">
      <c r="A155" s="156" t="s">
        <v>32</v>
      </c>
      <c r="B155" s="155">
        <f t="shared" ca="1" si="59"/>
        <v>-10000</v>
      </c>
      <c r="C155" s="155">
        <f t="shared" ca="1" si="59"/>
        <v>0</v>
      </c>
      <c r="D155" s="155">
        <f t="shared" ca="1" si="59"/>
        <v>0</v>
      </c>
      <c r="E155" s="155">
        <f t="shared" ca="1" si="59"/>
        <v>0</v>
      </c>
      <c r="F155" s="155"/>
      <c r="G155" s="155"/>
      <c r="H155" s="155">
        <f t="shared" ca="1" si="60"/>
        <v>0</v>
      </c>
      <c r="I155" s="155">
        <f t="shared" ca="1" si="60"/>
        <v>0</v>
      </c>
      <c r="J155" s="155">
        <f t="shared" ca="1" si="60"/>
        <v>0</v>
      </c>
      <c r="K155" s="155">
        <f t="shared" ca="1" si="60"/>
        <v>0</v>
      </c>
      <c r="L155" s="155">
        <f t="shared" ca="1" si="60"/>
        <v>0</v>
      </c>
      <c r="M155" s="155">
        <f t="shared" ca="1" si="60"/>
        <v>0</v>
      </c>
      <c r="N155" s="155">
        <f t="shared" ca="1" si="60"/>
        <v>0</v>
      </c>
      <c r="O155" s="155">
        <f t="shared" ca="1" si="60"/>
        <v>0</v>
      </c>
      <c r="P155" s="155">
        <f t="shared" ca="1" si="60"/>
        <v>0</v>
      </c>
      <c r="Q155" s="155">
        <f t="shared" ca="1" si="60"/>
        <v>0</v>
      </c>
      <c r="R155" s="155">
        <f t="shared" ca="1" si="60"/>
        <v>0</v>
      </c>
      <c r="S155" s="155">
        <f t="shared" ca="1" si="60"/>
        <v>0</v>
      </c>
      <c r="T155" s="155">
        <f t="shared" ca="1" si="60"/>
        <v>0</v>
      </c>
      <c r="U155" s="155">
        <f t="shared" ca="1" si="60"/>
        <v>0</v>
      </c>
      <c r="V155" s="155">
        <f t="shared" ca="1" si="60"/>
        <v>-10000</v>
      </c>
      <c r="W155" s="155">
        <f t="shared" ca="1" si="60"/>
        <v>0</v>
      </c>
      <c r="X155" s="155">
        <f t="shared" ca="1" si="60"/>
        <v>0</v>
      </c>
      <c r="Y155" s="155">
        <f t="shared" ca="1" si="60"/>
        <v>0</v>
      </c>
      <c r="Z155" s="155">
        <f t="shared" ca="1" si="60"/>
        <v>0</v>
      </c>
      <c r="AA155" s="155">
        <f t="shared" ca="1" si="60"/>
        <v>0</v>
      </c>
      <c r="AB155" s="155">
        <f t="shared" ca="1" si="60"/>
        <v>0</v>
      </c>
      <c r="AC155" s="155">
        <f t="shared" ca="1" si="60"/>
        <v>0</v>
      </c>
      <c r="AD155" s="155">
        <f t="shared" ca="1" si="60"/>
        <v>0</v>
      </c>
      <c r="AE155" s="155">
        <f t="shared" ca="1" si="60"/>
        <v>0</v>
      </c>
      <c r="AG155" s="102">
        <f t="shared" ca="1" si="54"/>
        <v>0</v>
      </c>
    </row>
    <row r="156" spans="1:34" x14ac:dyDescent="0.3">
      <c r="A156" s="156" t="s">
        <v>33</v>
      </c>
      <c r="B156" s="155">
        <f t="shared" ca="1" si="59"/>
        <v>-5059.2999999999884</v>
      </c>
      <c r="C156" s="155">
        <f t="shared" ca="1" si="59"/>
        <v>0</v>
      </c>
      <c r="D156" s="155">
        <f t="shared" ca="1" si="59"/>
        <v>0</v>
      </c>
      <c r="E156" s="155">
        <f t="shared" ca="1" si="59"/>
        <v>0</v>
      </c>
      <c r="F156" s="155"/>
      <c r="G156" s="155"/>
      <c r="H156" s="155">
        <f t="shared" ca="1" si="60"/>
        <v>0</v>
      </c>
      <c r="I156" s="155">
        <f t="shared" ca="1" si="60"/>
        <v>0</v>
      </c>
      <c r="J156" s="155">
        <f t="shared" ca="1" si="60"/>
        <v>0</v>
      </c>
      <c r="K156" s="155">
        <f t="shared" ca="1" si="60"/>
        <v>0</v>
      </c>
      <c r="L156" s="155">
        <f t="shared" ca="1" si="60"/>
        <v>0</v>
      </c>
      <c r="M156" s="155">
        <f t="shared" ca="1" si="60"/>
        <v>0</v>
      </c>
      <c r="N156" s="155">
        <f t="shared" ca="1" si="60"/>
        <v>0</v>
      </c>
      <c r="O156" s="155">
        <f t="shared" ca="1" si="60"/>
        <v>0</v>
      </c>
      <c r="P156" s="155">
        <f t="shared" si="60"/>
        <v>-1800</v>
      </c>
      <c r="Q156" s="155">
        <f t="shared" ca="1" si="60"/>
        <v>0</v>
      </c>
      <c r="R156" s="155">
        <f t="shared" ca="1" si="60"/>
        <v>0</v>
      </c>
      <c r="S156" s="155">
        <f t="shared" ca="1" si="60"/>
        <v>0</v>
      </c>
      <c r="T156" s="155">
        <f t="shared" si="60"/>
        <v>-2000</v>
      </c>
      <c r="U156" s="155">
        <f t="shared" ca="1" si="60"/>
        <v>0</v>
      </c>
      <c r="V156" s="155">
        <f t="shared" si="60"/>
        <v>-212.79999999999927</v>
      </c>
      <c r="W156" s="155">
        <f t="shared" ca="1" si="60"/>
        <v>0</v>
      </c>
      <c r="X156" s="155">
        <f t="shared" si="60"/>
        <v>-1046.5</v>
      </c>
      <c r="Y156" s="155">
        <f t="shared" ca="1" si="60"/>
        <v>0</v>
      </c>
      <c r="Z156" s="155">
        <f t="shared" si="60"/>
        <v>0</v>
      </c>
      <c r="AA156" s="155">
        <f t="shared" ca="1" si="60"/>
        <v>0</v>
      </c>
      <c r="AB156" s="155">
        <f t="shared" si="60"/>
        <v>0</v>
      </c>
      <c r="AC156" s="155">
        <f t="shared" ca="1" si="60"/>
        <v>0</v>
      </c>
      <c r="AD156" s="155">
        <f t="shared" si="60"/>
        <v>0</v>
      </c>
      <c r="AE156" s="155">
        <f t="shared" ca="1" si="60"/>
        <v>0</v>
      </c>
      <c r="AG156" s="102">
        <f t="shared" ca="1" si="54"/>
        <v>1.0913936421275139E-11</v>
      </c>
    </row>
    <row r="157" spans="1:34" x14ac:dyDescent="0.3">
      <c r="A157" s="156" t="s">
        <v>170</v>
      </c>
      <c r="B157" s="155">
        <f t="shared" ca="1" si="59"/>
        <v>-812.5</v>
      </c>
      <c r="C157" s="155">
        <f t="shared" ca="1" si="59"/>
        <v>0</v>
      </c>
      <c r="D157" s="155">
        <f t="shared" ca="1" si="59"/>
        <v>0</v>
      </c>
      <c r="E157" s="155">
        <f t="shared" ca="1" si="59"/>
        <v>0</v>
      </c>
      <c r="F157" s="155"/>
      <c r="G157" s="155"/>
      <c r="H157" s="155">
        <f t="shared" ca="1" si="60"/>
        <v>0</v>
      </c>
      <c r="I157" s="155">
        <f t="shared" ca="1" si="60"/>
        <v>0</v>
      </c>
      <c r="J157" s="155">
        <f t="shared" ca="1" si="60"/>
        <v>0</v>
      </c>
      <c r="K157" s="155">
        <f t="shared" ca="1" si="60"/>
        <v>0</v>
      </c>
      <c r="L157" s="155">
        <f t="shared" ca="1" si="60"/>
        <v>0</v>
      </c>
      <c r="M157" s="155">
        <f t="shared" ca="1" si="60"/>
        <v>0</v>
      </c>
      <c r="N157" s="155">
        <f t="shared" ca="1" si="60"/>
        <v>0</v>
      </c>
      <c r="O157" s="155">
        <f t="shared" ca="1" si="60"/>
        <v>0</v>
      </c>
      <c r="P157" s="155">
        <f t="shared" ca="1" si="60"/>
        <v>0</v>
      </c>
      <c r="Q157" s="155">
        <f t="shared" ca="1" si="60"/>
        <v>0</v>
      </c>
      <c r="R157" s="155">
        <f t="shared" ca="1" si="60"/>
        <v>0</v>
      </c>
      <c r="S157" s="155">
        <f t="shared" ca="1" si="60"/>
        <v>0</v>
      </c>
      <c r="T157" s="155">
        <f t="shared" ca="1" si="60"/>
        <v>0</v>
      </c>
      <c r="U157" s="155">
        <f t="shared" ca="1" si="60"/>
        <v>0</v>
      </c>
      <c r="V157" s="155">
        <f t="shared" ca="1" si="60"/>
        <v>0</v>
      </c>
      <c r="W157" s="155">
        <f t="shared" ca="1" si="60"/>
        <v>0</v>
      </c>
      <c r="X157" s="155">
        <f t="shared" si="60"/>
        <v>-812.5</v>
      </c>
      <c r="Y157" s="155">
        <f t="shared" ca="1" si="60"/>
        <v>0</v>
      </c>
      <c r="Z157" s="155">
        <f t="shared" ca="1" si="60"/>
        <v>0</v>
      </c>
      <c r="AA157" s="155">
        <f t="shared" ca="1" si="60"/>
        <v>0</v>
      </c>
      <c r="AB157" s="155">
        <f t="shared" ca="1" si="60"/>
        <v>0</v>
      </c>
      <c r="AC157" s="155">
        <f t="shared" ca="1" si="60"/>
        <v>0</v>
      </c>
      <c r="AD157" s="155">
        <f t="shared" ca="1" si="60"/>
        <v>0</v>
      </c>
      <c r="AE157" s="155">
        <f t="shared" ca="1" si="60"/>
        <v>0</v>
      </c>
      <c r="AG157" s="102">
        <f t="shared" ca="1" si="54"/>
        <v>0</v>
      </c>
    </row>
    <row r="159" spans="1:34" x14ac:dyDescent="0.3">
      <c r="B159" s="155">
        <f t="shared" ref="B159:AE159" ca="1" si="61">B13+B32+B38+B44+B50+B56+B68+B74+B86+B92+B100+B106+B114+B122+B128+B134-B139</f>
        <v>0</v>
      </c>
      <c r="C159" s="155">
        <f t="shared" ca="1" si="61"/>
        <v>0</v>
      </c>
      <c r="D159" s="155">
        <f t="shared" ca="1" si="61"/>
        <v>0</v>
      </c>
      <c r="E159" s="155">
        <f t="shared" ca="1" si="61"/>
        <v>0</v>
      </c>
      <c r="F159" s="155">
        <f t="shared" ca="1" si="61"/>
        <v>0</v>
      </c>
      <c r="G159" s="155">
        <f t="shared" ca="1" si="61"/>
        <v>0</v>
      </c>
      <c r="H159" s="155">
        <f t="shared" ca="1" si="61"/>
        <v>0</v>
      </c>
      <c r="I159" s="155">
        <f t="shared" ca="1" si="61"/>
        <v>0</v>
      </c>
      <c r="J159" s="155">
        <f t="shared" ca="1" si="61"/>
        <v>0</v>
      </c>
      <c r="K159" s="155">
        <f t="shared" ca="1" si="61"/>
        <v>0</v>
      </c>
      <c r="L159" s="155">
        <f t="shared" ca="1" si="61"/>
        <v>0</v>
      </c>
      <c r="M159" s="155">
        <f t="shared" ca="1" si="61"/>
        <v>0</v>
      </c>
      <c r="N159" s="155">
        <f t="shared" ca="1" si="61"/>
        <v>0</v>
      </c>
      <c r="O159" s="155">
        <f t="shared" ca="1" si="61"/>
        <v>0</v>
      </c>
      <c r="P159" s="155">
        <f t="shared" ca="1" si="61"/>
        <v>0</v>
      </c>
      <c r="Q159" s="155">
        <f t="shared" ca="1" si="61"/>
        <v>0</v>
      </c>
      <c r="R159" s="155">
        <f t="shared" ca="1" si="61"/>
        <v>0</v>
      </c>
      <c r="S159" s="155">
        <f t="shared" ca="1" si="61"/>
        <v>0</v>
      </c>
      <c r="T159" s="155">
        <f t="shared" ca="1" si="61"/>
        <v>0</v>
      </c>
      <c r="U159" s="155">
        <f t="shared" ca="1" si="61"/>
        <v>0</v>
      </c>
      <c r="V159" s="155">
        <f t="shared" ca="1" si="61"/>
        <v>0</v>
      </c>
      <c r="W159" s="155">
        <f t="shared" ca="1" si="61"/>
        <v>0</v>
      </c>
      <c r="X159" s="155">
        <f t="shared" ca="1" si="61"/>
        <v>0</v>
      </c>
      <c r="Y159" s="155">
        <f t="shared" ca="1" si="61"/>
        <v>0</v>
      </c>
      <c r="Z159" s="155">
        <f t="shared" ca="1" si="61"/>
        <v>0</v>
      </c>
      <c r="AA159" s="155">
        <f t="shared" ca="1" si="61"/>
        <v>0</v>
      </c>
      <c r="AB159" s="155">
        <f t="shared" ca="1" si="61"/>
        <v>0</v>
      </c>
      <c r="AC159" s="155">
        <f t="shared" ca="1" si="61"/>
        <v>0</v>
      </c>
      <c r="AD159" s="155">
        <f t="shared" ca="1" si="61"/>
        <v>0</v>
      </c>
      <c r="AE159" s="155">
        <f t="shared" ca="1" si="61"/>
        <v>0</v>
      </c>
    </row>
    <row r="160" spans="1:34" x14ac:dyDescent="0.3">
      <c r="B160" s="155">
        <f t="shared" ref="B160:AE160" ca="1" si="62">B14+B33+B39+B45+B51+B57+B69+B75+B87+B93+B101+B107+B115+B123+B129+B135-B140</f>
        <v>0</v>
      </c>
      <c r="C160" s="155">
        <f t="shared" ca="1" si="62"/>
        <v>0</v>
      </c>
      <c r="D160" s="155">
        <f t="shared" ca="1" si="62"/>
        <v>0</v>
      </c>
      <c r="E160" s="155">
        <f t="shared" ca="1" si="62"/>
        <v>0</v>
      </c>
      <c r="F160" s="155">
        <f t="shared" ca="1" si="62"/>
        <v>-43.979844822884409</v>
      </c>
      <c r="G160" s="155">
        <f t="shared" ca="1" si="62"/>
        <v>-983.57007470175051</v>
      </c>
      <c r="H160" s="155">
        <f t="shared" ca="1" si="62"/>
        <v>0</v>
      </c>
      <c r="I160" s="155">
        <f t="shared" ca="1" si="62"/>
        <v>0</v>
      </c>
      <c r="J160" s="155">
        <f t="shared" ca="1" si="62"/>
        <v>0</v>
      </c>
      <c r="K160" s="155">
        <f t="shared" ca="1" si="62"/>
        <v>0</v>
      </c>
      <c r="L160" s="155">
        <f t="shared" ca="1" si="62"/>
        <v>0</v>
      </c>
      <c r="M160" s="155">
        <f t="shared" ca="1" si="62"/>
        <v>0</v>
      </c>
      <c r="N160" s="155">
        <f t="shared" ca="1" si="62"/>
        <v>0</v>
      </c>
      <c r="O160" s="155">
        <f t="shared" ca="1" si="62"/>
        <v>0</v>
      </c>
      <c r="P160" s="155">
        <f t="shared" ca="1" si="62"/>
        <v>0</v>
      </c>
      <c r="Q160" s="155">
        <f t="shared" ca="1" si="62"/>
        <v>0</v>
      </c>
      <c r="R160" s="155">
        <f t="shared" ca="1" si="62"/>
        <v>0</v>
      </c>
      <c r="S160" s="155">
        <f t="shared" ca="1" si="62"/>
        <v>0</v>
      </c>
      <c r="T160" s="155">
        <f t="shared" ca="1" si="62"/>
        <v>0</v>
      </c>
      <c r="U160" s="155">
        <f t="shared" ca="1" si="62"/>
        <v>0</v>
      </c>
      <c r="V160" s="155">
        <f t="shared" ca="1" si="62"/>
        <v>0</v>
      </c>
      <c r="W160" s="155">
        <f t="shared" ca="1" si="62"/>
        <v>0</v>
      </c>
      <c r="X160" s="155">
        <f t="shared" ca="1" si="62"/>
        <v>0</v>
      </c>
      <c r="Y160" s="155">
        <f t="shared" ca="1" si="62"/>
        <v>0</v>
      </c>
      <c r="Z160" s="155">
        <f t="shared" ca="1" si="62"/>
        <v>0</v>
      </c>
      <c r="AA160" s="155">
        <f t="shared" ca="1" si="62"/>
        <v>0</v>
      </c>
      <c r="AB160" s="155">
        <f t="shared" ca="1" si="62"/>
        <v>0</v>
      </c>
      <c r="AC160" s="155">
        <f t="shared" ca="1" si="62"/>
        <v>0</v>
      </c>
      <c r="AD160" s="155">
        <f t="shared" ca="1" si="62"/>
        <v>0</v>
      </c>
      <c r="AE160" s="155">
        <f t="shared" ca="1" si="62"/>
        <v>0</v>
      </c>
    </row>
    <row r="161" spans="2:33" x14ac:dyDescent="0.3">
      <c r="B161" s="155">
        <f t="shared" ref="B161:AE161" ca="1" si="63">B15+B34+B40+B46+B52+B58+B70+B76+B88+B94+B102+B108+B116+B124+B130+B136-B141</f>
        <v>0</v>
      </c>
      <c r="C161" s="155">
        <f t="shared" ca="1" si="63"/>
        <v>169.04730000000563</v>
      </c>
      <c r="D161" s="155">
        <f t="shared" ca="1" si="63"/>
        <v>0</v>
      </c>
      <c r="E161" s="155">
        <f t="shared" ca="1" si="63"/>
        <v>0</v>
      </c>
      <c r="F161" s="155">
        <f t="shared" ca="1" si="63"/>
        <v>367.88656343162978</v>
      </c>
      <c r="G161" s="155">
        <f t="shared" ca="1" si="63"/>
        <v>707.95217108731299</v>
      </c>
      <c r="H161" s="155">
        <f t="shared" ca="1" si="63"/>
        <v>0</v>
      </c>
      <c r="I161" s="155">
        <f t="shared" ca="1" si="63"/>
        <v>0</v>
      </c>
      <c r="J161" s="155">
        <f t="shared" ca="1" si="63"/>
        <v>0</v>
      </c>
      <c r="K161" s="155">
        <f t="shared" ca="1" si="63"/>
        <v>0</v>
      </c>
      <c r="L161" s="155">
        <f t="shared" si="63"/>
        <v>0</v>
      </c>
      <c r="M161" s="155">
        <f t="shared" si="63"/>
        <v>0</v>
      </c>
      <c r="N161" s="155">
        <f t="shared" si="63"/>
        <v>0</v>
      </c>
      <c r="O161" s="155">
        <f t="shared" si="63"/>
        <v>0</v>
      </c>
      <c r="P161" s="155">
        <f t="shared" si="63"/>
        <v>0</v>
      </c>
      <c r="Q161" s="155">
        <f t="shared" si="63"/>
        <v>0</v>
      </c>
      <c r="R161" s="155">
        <f t="shared" si="63"/>
        <v>0</v>
      </c>
      <c r="S161" s="155">
        <f t="shared" si="63"/>
        <v>0</v>
      </c>
      <c r="T161" s="155">
        <f t="shared" si="63"/>
        <v>0</v>
      </c>
      <c r="U161" s="155">
        <f t="shared" si="63"/>
        <v>0</v>
      </c>
      <c r="V161" s="155">
        <f t="shared" si="63"/>
        <v>0</v>
      </c>
      <c r="W161" s="155">
        <f t="shared" si="63"/>
        <v>0</v>
      </c>
      <c r="X161" s="155">
        <f t="shared" si="63"/>
        <v>0</v>
      </c>
      <c r="Y161" s="155">
        <f t="shared" si="63"/>
        <v>0</v>
      </c>
      <c r="Z161" s="155">
        <f t="shared" si="63"/>
        <v>0</v>
      </c>
      <c r="AA161" s="155">
        <f t="shared" si="63"/>
        <v>0</v>
      </c>
      <c r="AB161" s="155">
        <f t="shared" si="63"/>
        <v>0</v>
      </c>
      <c r="AC161" s="155">
        <f t="shared" si="63"/>
        <v>0</v>
      </c>
      <c r="AD161" s="155">
        <f t="shared" si="63"/>
        <v>0</v>
      </c>
      <c r="AE161" s="155">
        <f t="shared" si="63"/>
        <v>0</v>
      </c>
    </row>
    <row r="162" spans="2:33" x14ac:dyDescent="0.3">
      <c r="B162" s="155">
        <f t="shared" ref="B162:AE162" si="64">B16+B35+B41+B47+B53+B59+B71+B77+B89+B95+B103+B109+B117+B125+B131+B137-B142</f>
        <v>0</v>
      </c>
      <c r="C162" s="155">
        <f t="shared" ca="1" si="64"/>
        <v>0</v>
      </c>
      <c r="D162" s="155">
        <f t="shared" si="64"/>
        <v>0</v>
      </c>
      <c r="E162" s="155">
        <f t="shared" si="64"/>
        <v>0</v>
      </c>
      <c r="F162" s="155">
        <f t="shared" ca="1" si="64"/>
        <v>0</v>
      </c>
      <c r="G162" s="155">
        <f t="shared" ca="1" si="64"/>
        <v>0</v>
      </c>
      <c r="H162" s="155">
        <f t="shared" ca="1" si="64"/>
        <v>0</v>
      </c>
      <c r="I162" s="155">
        <f t="shared" ca="1" si="64"/>
        <v>0</v>
      </c>
      <c r="J162" s="155">
        <f t="shared" ca="1" si="64"/>
        <v>0</v>
      </c>
      <c r="K162" s="155">
        <f t="shared" ca="1" si="64"/>
        <v>0</v>
      </c>
      <c r="L162" s="155">
        <f t="shared" si="64"/>
        <v>0</v>
      </c>
      <c r="M162" s="155">
        <f t="shared" si="64"/>
        <v>0</v>
      </c>
      <c r="N162" s="155">
        <f t="shared" si="64"/>
        <v>0</v>
      </c>
      <c r="O162" s="155">
        <f t="shared" si="64"/>
        <v>0</v>
      </c>
      <c r="P162" s="155">
        <f t="shared" si="64"/>
        <v>0</v>
      </c>
      <c r="Q162" s="155">
        <f t="shared" si="64"/>
        <v>0</v>
      </c>
      <c r="R162" s="155">
        <f t="shared" si="64"/>
        <v>0</v>
      </c>
      <c r="S162" s="155">
        <f t="shared" si="64"/>
        <v>0</v>
      </c>
      <c r="T162" s="155">
        <f t="shared" si="64"/>
        <v>0</v>
      </c>
      <c r="U162" s="155">
        <f t="shared" si="64"/>
        <v>0</v>
      </c>
      <c r="V162" s="155">
        <f t="shared" si="64"/>
        <v>0</v>
      </c>
      <c r="W162" s="155">
        <f t="shared" si="64"/>
        <v>0</v>
      </c>
      <c r="X162" s="155">
        <f t="shared" si="64"/>
        <v>0</v>
      </c>
      <c r="Y162" s="155">
        <f t="shared" si="64"/>
        <v>0</v>
      </c>
      <c r="Z162" s="155">
        <f t="shared" si="64"/>
        <v>0</v>
      </c>
      <c r="AA162" s="155">
        <f t="shared" si="64"/>
        <v>0</v>
      </c>
      <c r="AB162" s="155">
        <f t="shared" si="64"/>
        <v>0</v>
      </c>
      <c r="AC162" s="155">
        <f t="shared" si="64"/>
        <v>0</v>
      </c>
      <c r="AD162" s="155">
        <f t="shared" si="64"/>
        <v>0</v>
      </c>
      <c r="AE162" s="155">
        <f t="shared" si="64"/>
        <v>0</v>
      </c>
    </row>
    <row r="163" spans="2:33" x14ac:dyDescent="0.3">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row>
    <row r="164" spans="2:33" x14ac:dyDescent="0.3">
      <c r="B164" s="728">
        <v>396624.17</v>
      </c>
      <c r="C164" s="728">
        <v>127535.26</v>
      </c>
      <c r="D164" s="729"/>
      <c r="E164" s="728">
        <v>116935.01</v>
      </c>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row>
    <row r="165" spans="2:33" x14ac:dyDescent="0.3">
      <c r="B165" s="728">
        <f ca="1">B164-B148</f>
        <v>98416.415819999995</v>
      </c>
      <c r="C165" s="728">
        <f ca="1">C164-C148</f>
        <v>21882.600680000018</v>
      </c>
      <c r="D165" s="729"/>
      <c r="E165" s="728">
        <f ca="1">E164-D148</f>
        <v>-6437.550000000032</v>
      </c>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G165" s="33" t="s">
        <v>546</v>
      </c>
    </row>
    <row r="166" spans="2:33" x14ac:dyDescent="0.3">
      <c r="B166" s="728"/>
      <c r="C166" s="728"/>
      <c r="D166" s="728"/>
      <c r="E166" s="728"/>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row>
  </sheetData>
  <customSheetViews>
    <customSheetView guid="{7C130984-112A-4861-AA43-E2940708E3DC}" scale="55" state="hidden">
      <pane xSplit="7" ySplit="10" topLeftCell="H11" activePane="bottomRight" state="frozen"/>
      <selection pane="bottomRight" activeCell="A23" sqref="A23:AF23"/>
      <pageMargins left="0.7" right="0.7" top="0.75" bottom="0.75" header="0.3" footer="0.3"/>
      <pageSetup paperSize="9" orientation="portrait" r:id="rId1"/>
    </customSheetView>
    <customSheetView guid="{3C3F523F-5F34-4CF7-831E-F1ABC4278CEB}" scale="55">
      <pane xSplit="7" ySplit="10" topLeftCell="H11" activePane="bottomRight" state="frozen"/>
      <selection pane="bottomRight" activeCell="A23" sqref="A23:AF23"/>
      <pageMargins left="0.7" right="0.7" top="0.75" bottom="0.75" header="0.3" footer="0.3"/>
      <pageSetup paperSize="9" orientation="portrait" r:id="rId2"/>
    </customSheetView>
    <customSheetView guid="{D01FA037-9AEC-4167-ADB8-2F327C01ECE6}" scale="55">
      <pane xSplit="7" ySplit="10" topLeftCell="H11" activePane="bottomRight" state="frozen"/>
      <selection pane="bottomRight" activeCell="A23" sqref="A23:AF23"/>
      <pageMargins left="0.7" right="0.7" top="0.75" bottom="0.75" header="0.3" footer="0.3"/>
      <pageSetup paperSize="9" orientation="portrait" r:id="rId3"/>
    </customSheetView>
    <customSheetView guid="{602C8EDB-B9EF-4C85-B0D5-0558C3A0ABAB}" scale="55">
      <pane xSplit="7" ySplit="10" topLeftCell="H11" activePane="bottomRight" state="frozen"/>
      <selection pane="bottomRight" activeCell="A23" sqref="A23:AF23"/>
      <pageMargins left="0.7" right="0.7" top="0.75" bottom="0.75" header="0.3" footer="0.3"/>
      <pageSetup paperSize="9" orientation="portrait" r:id="rId4"/>
    </customSheetView>
    <customSheetView guid="{69DABE6F-6182-4403-A4A2-969F10F1C13A}" scale="55">
      <pane xSplit="7" ySplit="10" topLeftCell="H11" activePane="bottomRight" state="frozen"/>
      <selection pane="bottomRight" activeCell="A23" sqref="A23:AF23"/>
      <pageMargins left="0.7" right="0.7" top="0.75" bottom="0.75" header="0.3" footer="0.3"/>
      <pageSetup paperSize="9" orientation="portrait" r:id="rId5"/>
    </customSheetView>
    <customSheetView guid="{E508E171-4ED9-4B07-84DF-DA28C60E1969}" scale="55">
      <pane xSplit="7" ySplit="10" topLeftCell="H11" activePane="bottomRight" state="frozen"/>
      <selection pane="bottomRight" activeCell="A23" sqref="A23:AF23"/>
      <pageMargins left="0.7" right="0.7" top="0.75" bottom="0.75" header="0.3" footer="0.3"/>
      <pageSetup paperSize="9" orientation="portrait" r:id="rId6"/>
    </customSheetView>
    <customSheetView guid="{AC2D5927-4079-4C74-AF69-1BFAC505648F}" scale="55">
      <pane xSplit="7" ySplit="10" topLeftCell="H105" activePane="bottomRight" state="frozen"/>
      <selection pane="bottomRight" activeCell="Q67" sqref="Q67"/>
      <pageMargins left="0.7" right="0.7" top="0.75" bottom="0.75" header="0.3" footer="0.3"/>
      <pageSetup paperSize="9" orientation="portrait" r:id="rId7"/>
    </customSheetView>
    <customSheetView guid="{442F2C94-DD1B-4A01-8694-513D4D6F3BD9}" scale="55">
      <pane xSplit="7" ySplit="10" topLeftCell="H105" activePane="bottomRight" state="frozen"/>
      <selection pane="bottomRight" activeCell="Q67" sqref="Q67"/>
      <pageMargins left="0.7" right="0.7" top="0.75" bottom="0.75" header="0.3" footer="0.3"/>
      <pageSetup paperSize="9" orientation="portrait" r:id="rId8"/>
    </customSheetView>
    <customSheetView guid="{CE1CCA00-200D-4EAA-9FBE-F8EE7C5F82FE}" scale="55">
      <pane xSplit="7" ySplit="10" topLeftCell="H105" activePane="bottomRight" state="frozen"/>
      <selection pane="bottomRight" activeCell="Q67" sqref="Q67"/>
      <pageMargins left="0.7" right="0.7" top="0.75" bottom="0.75" header="0.3" footer="0.3"/>
      <pageSetup paperSize="9" orientation="portrait" r:id="rId9"/>
    </customSheetView>
    <customSheetView guid="{4D0DFB57-2CBA-42F2-9A97-C453A6851FBA}" scale="55">
      <pane xSplit="7" ySplit="10" topLeftCell="H105" activePane="bottomRight" state="frozen"/>
      <selection pane="bottomRight" activeCell="Q113" sqref="Q113"/>
      <pageMargins left="0.7" right="0.7" top="0.75" bottom="0.75" header="0.3" footer="0.3"/>
      <pageSetup paperSize="9" orientation="portrait" r:id="rId10"/>
    </customSheetView>
    <customSheetView guid="{85F4575B-DBC5-482A-9916-255D8F0BC94E}" scale="70">
      <pane xSplit="7" ySplit="10" topLeftCell="AD93" activePane="bottomRight" state="frozen"/>
      <selection pane="bottomRight" activeCell="AF98" sqref="AF98"/>
      <pageMargins left="0.7" right="0.7" top="0.75" bottom="0.75" header="0.3" footer="0.3"/>
      <pageSetup paperSize="9" orientation="portrait" r:id="rId11"/>
    </customSheetView>
    <customSheetView guid="{B1BF08D1-D416-4B47-ADD0-4F59132DC9E8}" scale="70">
      <pane xSplit="7" ySplit="10" topLeftCell="H99" activePane="bottomRight" state="frozen"/>
      <selection pane="bottomRight" activeCell="G110" sqref="G110"/>
      <pageMargins left="0.7" right="0.7" top="0.75" bottom="0.75" header="0.3" footer="0.3"/>
      <pageSetup paperSize="9" orientation="portrait" r:id="rId12"/>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C236B307-BD63-48C4-A75F-B3F3717BF55C}" scale="70">
      <pane xSplit="2" ySplit="11" topLeftCell="C87" activePane="bottomRight" state="frozen"/>
      <selection pane="bottomRight" activeCell="I107" sqref="I107"/>
      <pageMargins left="0.7" right="0.7" top="0.75" bottom="0.75" header="0.3" footer="0.3"/>
      <pageSetup paperSize="9" orientation="portrait" r:id="rId13"/>
    </customSheetView>
    <customSheetView guid="{874882D1-E741-4CCA-BF0D-E72FA60B771D}" scale="70">
      <pane xSplit="2" ySplit="11" topLeftCell="E141" activePane="bottomRight" state="frozen"/>
      <selection pane="bottomRight" activeCell="H60" sqref="H60"/>
      <pageMargins left="0.7" right="0.7" top="0.75" bottom="0.75" header="0.3" footer="0.3"/>
      <pageSetup paperSize="9" orientation="portrait" r:id="rId14"/>
    </customSheetView>
    <customSheetView guid="{B82BA08A-1A30-4F4D-A478-74A6BD09EA97}" scale="70">
      <pane xSplit="2" ySplit="11" topLeftCell="E12" activePane="bottomRight" state="frozen"/>
      <selection pane="bottomRight" activeCell="G23" sqref="G23"/>
      <pageMargins left="0.7" right="0.7" top="0.75" bottom="0.75" header="0.3" footer="0.3"/>
      <pageSetup paperSize="9" orientation="portrait" r:id="rId15"/>
    </customSheetView>
    <customSheetView guid="{770624BF-07F3-44B6-94C3-4CC447CDD45C}" scale="70">
      <pane xSplit="2" ySplit="11" topLeftCell="E141" activePane="bottomRight" state="frozen"/>
      <selection pane="bottomRight" activeCell="K128" sqref="K128"/>
      <pageMargins left="0.7" right="0.7" top="0.75" bottom="0.75" header="0.3" footer="0.3"/>
      <pageSetup paperSize="9" orientation="portrait" r:id="rId16"/>
    </customSheetView>
    <customSheetView guid="{009B3074-D8EC-4952-BF50-43CD64449612}" scale="70">
      <pane xSplit="2" ySplit="11" topLeftCell="AA90" activePane="bottomRight" state="frozen"/>
      <selection pane="bottomRight" activeCell="A92" sqref="A92"/>
      <pageMargins left="0.7" right="0.7" top="0.75" bottom="0.75" header="0.3" footer="0.3"/>
      <pageSetup paperSize="9" orientation="portrait" r:id="rId17"/>
    </customSheetView>
    <customSheetView guid="{F679EF4A-C5FD-4B86-B87B-D85968E0F2CA}" scale="60">
      <pane xSplit="2" ySplit="11" topLeftCell="C115" activePane="bottomRight" state="frozen"/>
      <selection pane="bottomRight" activeCell="A142" sqref="A142"/>
      <pageMargins left="0.7" right="0.7" top="0.75" bottom="0.75" header="0.3" footer="0.3"/>
      <pageSetup paperSize="9" orientation="portrait" r:id="rId18"/>
    </customSheetView>
    <customSheetView guid="{959E901C-5DDE-42EE-AE94-AB8976B5E00B}" scale="70">
      <pane xSplit="7" ySplit="10" topLeftCell="U62" activePane="bottomRight" state="frozen"/>
      <selection pane="bottomRight" activeCell="AF70" sqref="AF70"/>
      <pageMargins left="0.7" right="0.7" top="0.75" bottom="0.75" header="0.3" footer="0.3"/>
      <pageSetup paperSize="9" orientation="portrait" r:id="rId19"/>
    </customSheetView>
    <customSheetView guid="{533DC55B-6AD4-4674-9488-685EF2039F3E}" scale="55">
      <pane xSplit="7" ySplit="10" topLeftCell="H105" activePane="bottomRight" state="frozen"/>
      <selection pane="bottomRight" activeCell="Q113" sqref="Q113"/>
      <pageMargins left="0.7" right="0.7" top="0.75" bottom="0.75" header="0.3" footer="0.3"/>
      <pageSetup paperSize="9" orientation="portrait" r:id="rId20"/>
    </customSheetView>
    <customSheetView guid="{87218168-6C8E-4D5B-A5E5-DCCC26803AA3}" scale="55">
      <pane xSplit="7" ySplit="10" topLeftCell="H105" activePane="bottomRight" state="frozen"/>
      <selection pane="bottomRight" activeCell="Q113" sqref="Q113"/>
      <pageMargins left="0.7" right="0.7" top="0.75" bottom="0.75" header="0.3" footer="0.3"/>
      <pageSetup paperSize="9" orientation="portrait" r:id="rId21"/>
    </customSheetView>
    <customSheetView guid="{DAA8A688-7558-4B5B-8DBD-E2629BD9E9A8}" scale="55">
      <pane xSplit="7" ySplit="10" topLeftCell="H105" activePane="bottomRight" state="frozen"/>
      <selection pane="bottomRight" activeCell="Q67" sqref="Q67"/>
      <pageMargins left="0.7" right="0.7" top="0.75" bottom="0.75" header="0.3" footer="0.3"/>
      <pageSetup paperSize="9" orientation="portrait" r:id="rId22"/>
    </customSheetView>
    <customSheetView guid="{391AB76E-B386-49C1-800F-016A48AA1A46}" scale="55">
      <pane xSplit="7" ySplit="10" topLeftCell="H105" activePane="bottomRight" state="frozen"/>
      <selection pane="bottomRight" activeCell="Q67" sqref="Q67"/>
      <pageMargins left="0.7" right="0.7" top="0.75" bottom="0.75" header="0.3" footer="0.3"/>
      <pageSetup paperSize="9" orientation="portrait" r:id="rId23"/>
    </customSheetView>
    <customSheetView guid="{09C3E205-981E-4A4E-BE89-8B7044192060}" scale="55">
      <pane xSplit="7" ySplit="10" topLeftCell="H11" activePane="bottomRight" state="frozen"/>
      <selection pane="bottomRight" activeCell="C109" sqref="C109"/>
      <pageMargins left="0.7" right="0.7" top="0.75" bottom="0.75" header="0.3" footer="0.3"/>
      <pageSetup paperSize="9" orientation="portrait" r:id="rId24"/>
    </customSheetView>
    <customSheetView guid="{84867370-1F3E-4368-AF79-FBCE46FFFE92}" scale="55">
      <pane xSplit="7" ySplit="10" topLeftCell="H11" activePane="bottomRight" state="frozen"/>
      <selection pane="bottomRight" activeCell="C109" sqref="C109"/>
      <pageMargins left="0.7" right="0.7" top="0.75" bottom="0.75" header="0.3" footer="0.3"/>
      <pageSetup paperSize="9" orientation="portrait" r:id="rId25"/>
    </customSheetView>
    <customSheetView guid="{0C2B9C2A-7B94-41EF-A2E6-F8AC9A67DE25}" scale="55">
      <pane xSplit="7" ySplit="10" topLeftCell="H11" activePane="bottomRight" state="frozen"/>
      <selection pane="bottomRight" activeCell="A23" sqref="A23:AF23"/>
      <pageMargins left="0.7" right="0.7" top="0.75" bottom="0.75" header="0.3" footer="0.3"/>
      <pageSetup paperSize="9" orientation="portrait" r:id="rId26"/>
    </customSheetView>
    <customSheetView guid="{CB4792DB-A624-4844-AEB6-A6ADA80946BB}" scale="55">
      <pane xSplit="7" ySplit="10" topLeftCell="H11" activePane="bottomRight" state="frozen"/>
      <selection pane="bottomRight" activeCell="A23" sqref="A23:AF23"/>
      <pageMargins left="0.7" right="0.7" top="0.75" bottom="0.75" header="0.3" footer="0.3"/>
      <pageSetup paperSize="9" orientation="portrait" r:id="rId27"/>
    </customSheetView>
    <customSheetView guid="{74870EE6-26B9-40F7-9DC9-260EF16D8959}" scale="55">
      <pane xSplit="7" ySplit="10" topLeftCell="H11" activePane="bottomRight" state="frozen"/>
      <selection pane="bottomRight" activeCell="A23" sqref="A23:AF23"/>
      <pageMargins left="0.7" right="0.7" top="0.75" bottom="0.75" header="0.3" footer="0.3"/>
      <pageSetup paperSize="9" orientation="portrait" r:id="rId28"/>
    </customSheetView>
    <customSheetView guid="{6A602CB8-B24C-4ED4-B378-B27354BE0A1A}" scale="55">
      <pane xSplit="7" ySplit="10" topLeftCell="H11" activePane="bottomRight" state="frozen"/>
      <selection pane="bottomRight" activeCell="A23" sqref="A23:AF23"/>
      <pageMargins left="0.7" right="0.7" top="0.75" bottom="0.75" header="0.3" footer="0.3"/>
      <pageSetup paperSize="9" orientation="portrait" r:id="rId29"/>
    </customSheetView>
    <customSheetView guid="{4F41B9CC-959D-442C-80B0-1F0DB2C76D27}" scale="55">
      <pane xSplit="7" ySplit="9" topLeftCell="H11" activePane="bottomRight" state="frozen"/>
      <selection pane="bottomRight" activeCell="A23" sqref="A23:AF23"/>
      <pageMargins left="0.7" right="0.7" top="0.75" bottom="0.75" header="0.3" footer="0.3"/>
      <pageSetup paperSize="9" orientation="portrait" r:id="rId30"/>
    </customSheetView>
    <customSheetView guid="{47B983AB-FE5F-4725-860C-A2F29420596D}" scale="55">
      <pane xSplit="7" ySplit="10" topLeftCell="H11" activePane="bottomRight" state="frozen"/>
      <selection pane="bottomRight" activeCell="A23" sqref="A23:AF23"/>
      <pageMargins left="0.7" right="0.7" top="0.75" bottom="0.75" header="0.3" footer="0.3"/>
      <pageSetup paperSize="9" orientation="portrait" r:id="rId31"/>
    </customSheetView>
  </customSheetViews>
  <mergeCells count="25">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 ref="A111:AF111"/>
    <mergeCell ref="A118:AF118"/>
    <mergeCell ref="A119:AF119"/>
    <mergeCell ref="A9:AF9"/>
    <mergeCell ref="A10:AF10"/>
    <mergeCell ref="A23:AF23"/>
    <mergeCell ref="A96:AF96"/>
    <mergeCell ref="A97:AF97"/>
    <mergeCell ref="A110:AF110"/>
  </mergeCells>
  <hyperlinks>
    <hyperlink ref="A4:AF4" location="Оглавление!A1" display="Комплексный план (сетевой график) по реализации муниципальной программы  &quot;Развитие физической культуры и спорта в городе Когалыме&quot;"/>
  </hyperlinks>
  <pageMargins left="0.7" right="0.7" top="0.75" bottom="0.75" header="0.3" footer="0.3"/>
  <pageSetup paperSize="9" orientation="portrait" r:id="rId32"/>
  <legacyDrawing r:id="rId3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3C3F523F-5F34-4CF7-831E-F1ABC4278CEB}" state="hidden">
      <pageMargins left="0.7" right="0.7" top="0.75" bottom="0.75" header="0.3" footer="0.3"/>
    </customSheetView>
    <customSheetView guid="{D01FA037-9AEC-4167-ADB8-2F327C01ECE6}" state="hidden">
      <pageMargins left="0.7" right="0.7" top="0.75" bottom="0.75" header="0.3" footer="0.3"/>
    </customSheetView>
    <customSheetView guid="{602C8EDB-B9EF-4C85-B0D5-0558C3A0ABAB}" state="hidden">
      <pageMargins left="0.7" right="0.7" top="0.75" bottom="0.75" header="0.3" footer="0.3"/>
    </customSheetView>
    <customSheetView guid="{69DABE6F-6182-4403-A4A2-969F10F1C13A}" state="hidden">
      <pageMargins left="0.7" right="0.7" top="0.75" bottom="0.75" header="0.3" footer="0.3"/>
    </customSheetView>
    <customSheetView guid="{E508E171-4ED9-4B07-84DF-DA28C60E1969}" state="hidden">
      <pageMargins left="0.7" right="0.7" top="0.75" bottom="0.75" header="0.3" footer="0.3"/>
    </customSheetView>
    <customSheetView guid="{AC2D5927-4079-4C74-AF69-1BFAC505648F}" state="hidden">
      <pageMargins left="0.7" right="0.7" top="0.75" bottom="0.75" header="0.3" footer="0.3"/>
    </customSheetView>
    <customSheetView guid="{442F2C94-DD1B-4A01-8694-513D4D6F3BD9}" state="hidden">
      <pageMargins left="0.7" right="0.7" top="0.75" bottom="0.75" header="0.3" footer="0.3"/>
    </customSheetView>
    <customSheetView guid="{CE1CCA00-200D-4EAA-9FBE-F8EE7C5F82FE}" state="hidden">
      <pageMargins left="0.7" right="0.7" top="0.75" bottom="0.75" header="0.3" footer="0.3"/>
    </customSheetView>
    <customSheetView guid="{4D0DFB57-2CBA-42F2-9A97-C453A6851FBA}" state="hidden">
      <pageMargins left="0.7" right="0.7" top="0.75" bottom="0.75" header="0.3" footer="0.3"/>
    </customSheetView>
    <customSheetView guid="{85F4575B-DBC5-482A-9916-255D8F0BC94E}">
      <pageMargins left="0.7" right="0.7" top="0.75" bottom="0.75" header="0.3" footer="0.3"/>
    </customSheetView>
    <customSheetView guid="{B1BF08D1-D416-4B47-ADD0-4F59132DC9E8}">
      <pageMargins left="0.7" right="0.7" top="0.75" bottom="0.75" header="0.3" footer="0.3"/>
    </customSheetView>
    <customSheetView guid="{959E901C-5DDE-42EE-AE94-AB8976B5E00B}">
      <pageMargins left="0.7" right="0.7" top="0.75" bottom="0.75" header="0.3" footer="0.3"/>
    </customSheetView>
    <customSheetView guid="{533DC55B-6AD4-4674-9488-685EF2039F3E}" state="hidden">
      <pageMargins left="0.7" right="0.7" top="0.75" bottom="0.75" header="0.3" footer="0.3"/>
    </customSheetView>
    <customSheetView guid="{87218168-6C8E-4D5B-A5E5-DCCC26803AA3}" state="hidden">
      <pageMargins left="0.7" right="0.7" top="0.75" bottom="0.75" header="0.3" footer="0.3"/>
    </customSheetView>
    <customSheetView guid="{DAA8A688-7558-4B5B-8DBD-E2629BD9E9A8}" state="hidden">
      <pageMargins left="0.7" right="0.7" top="0.75" bottom="0.75" header="0.3" footer="0.3"/>
    </customSheetView>
    <customSheetView guid="{391AB76E-B386-49C1-800F-016A48AA1A46}" state="hidden">
      <pageMargins left="0.7" right="0.7" top="0.75" bottom="0.75" header="0.3" footer="0.3"/>
    </customSheetView>
    <customSheetView guid="{09C3E205-981E-4A4E-BE89-8B7044192060}" state="hidden">
      <pageMargins left="0.7" right="0.7" top="0.75" bottom="0.75" header="0.3" footer="0.3"/>
    </customSheetView>
    <customSheetView guid="{84867370-1F3E-4368-AF79-FBCE46FFFE92}" state="hidden">
      <pageMargins left="0.7" right="0.7" top="0.75" bottom="0.75" header="0.3" footer="0.3"/>
    </customSheetView>
    <customSheetView guid="{0C2B9C2A-7B94-41EF-A2E6-F8AC9A67DE25}" state="hidden">
      <pageMargins left="0.7" right="0.7" top="0.75" bottom="0.75" header="0.3" footer="0.3"/>
    </customSheetView>
    <customSheetView guid="{CB4792DB-A624-4844-AEB6-A6ADA80946BB}" state="hidden">
      <pageMargins left="0.7" right="0.7" top="0.75" bottom="0.75" header="0.3" footer="0.3"/>
    </customSheetView>
    <customSheetView guid="{74870EE6-26B9-40F7-9DC9-260EF16D8959}" state="hidden">
      <pageMargins left="0.7" right="0.7" top="0.75" bottom="0.75" header="0.3" footer="0.3"/>
    </customSheetView>
    <customSheetView guid="{6A602CB8-B24C-4ED4-B378-B27354BE0A1A}" state="hidden">
      <pageMargins left="0.7" right="0.7" top="0.75" bottom="0.75" header="0.3" footer="0.3"/>
    </customSheetView>
    <customSheetView guid="{4F41B9CC-959D-442C-80B0-1F0DB2C76D27}" state="hidden">
      <pageMargins left="0.7" right="0.7" top="0.75" bottom="0.75" header="0.3" footer="0.3"/>
    </customSheetView>
    <customSheetView guid="{47B983AB-FE5F-4725-860C-A2F29420596D}" state="hidden">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P380"/>
  <sheetViews>
    <sheetView zoomScale="55" zoomScaleNormal="55" workbookViewId="0">
      <pane xSplit="2" ySplit="11" topLeftCell="C372" activePane="bottomRight" state="frozen"/>
      <selection activeCell="F284" sqref="F284:G284"/>
      <selection pane="topRight" activeCell="F284" sqref="F284:G284"/>
      <selection pane="bottomLeft" activeCell="F284" sqref="F284:G284"/>
      <selection pane="bottomRight" activeCell="AF330" sqref="AF330"/>
    </sheetView>
  </sheetViews>
  <sheetFormatPr defaultColWidth="9.140625" defaultRowHeight="18.75" x14ac:dyDescent="0.3"/>
  <cols>
    <col min="1" max="1" width="62.140625" style="33" customWidth="1"/>
    <col min="2" max="2" width="23.7109375" style="33" customWidth="1"/>
    <col min="3" max="3" width="18.28515625" style="33" customWidth="1"/>
    <col min="4" max="4" width="20.85546875" style="33" customWidth="1"/>
    <col min="5" max="5" width="20.42578125" style="33" customWidth="1"/>
    <col min="6" max="6" width="13.7109375" style="33" customWidth="1"/>
    <col min="7" max="7" width="14" style="33" customWidth="1"/>
    <col min="8" max="8" width="16.42578125" style="33" customWidth="1"/>
    <col min="9" max="9" width="17.7109375" style="33" customWidth="1"/>
    <col min="10" max="10" width="16.7109375" style="33" customWidth="1"/>
    <col min="11" max="11" width="14.7109375" style="33" customWidth="1"/>
    <col min="12" max="12" width="15.140625" style="33" customWidth="1"/>
    <col min="13" max="13" width="17.28515625" style="33" customWidth="1"/>
    <col min="14" max="14" width="15.7109375" style="33" customWidth="1"/>
    <col min="15" max="15" width="17.28515625" style="33" customWidth="1"/>
    <col min="16" max="16" width="17.5703125" style="33" customWidth="1"/>
    <col min="17" max="17" width="16.7109375" style="33" customWidth="1"/>
    <col min="18" max="18" width="15.42578125" style="33" customWidth="1"/>
    <col min="19" max="19" width="17.5703125" style="33" customWidth="1"/>
    <col min="20" max="20" width="17.28515625" style="33" customWidth="1"/>
    <col min="21" max="21" width="11.5703125" style="33" customWidth="1"/>
    <col min="22" max="22" width="14.7109375" style="33" customWidth="1"/>
    <col min="23" max="23" width="11.5703125" style="33" customWidth="1"/>
    <col min="24" max="24" width="15.140625" style="33" customWidth="1"/>
    <col min="25" max="25" width="11.5703125" style="33" customWidth="1"/>
    <col min="26" max="26" width="15.140625" style="33" customWidth="1"/>
    <col min="27" max="27" width="11.5703125" style="33" customWidth="1"/>
    <col min="28" max="28" width="16.5703125" style="33" customWidth="1"/>
    <col min="29" max="29" width="13.85546875" style="33" customWidth="1"/>
    <col min="30" max="30" width="22.7109375" style="33" customWidth="1"/>
    <col min="31" max="31" width="11.5703125" style="33" customWidth="1"/>
    <col min="32" max="32" width="79.85546875" style="33" customWidth="1"/>
    <col min="33" max="33" width="31" style="33" customWidth="1"/>
    <col min="34" max="34" width="11.85546875" style="33" bestFit="1" customWidth="1"/>
    <col min="35" max="16384" width="9.140625" style="33"/>
  </cols>
  <sheetData>
    <row r="4" spans="1:33" x14ac:dyDescent="0.3">
      <c r="A4" s="1061" t="s">
        <v>273</v>
      </c>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6" spans="1:33" ht="50.25" customHeight="1" x14ac:dyDescent="0.3">
      <c r="A6" s="1062" t="s">
        <v>163</v>
      </c>
      <c r="B6" s="95" t="s">
        <v>3</v>
      </c>
      <c r="C6" s="95" t="s">
        <v>3</v>
      </c>
      <c r="D6" s="95" t="s">
        <v>4</v>
      </c>
      <c r="E6" s="95" t="s">
        <v>5</v>
      </c>
      <c r="F6" s="1063" t="s">
        <v>6</v>
      </c>
      <c r="G6" s="1064"/>
      <c r="H6" s="1063" t="s">
        <v>7</v>
      </c>
      <c r="I6" s="1065"/>
      <c r="J6" s="1063" t="s">
        <v>8</v>
      </c>
      <c r="K6" s="1065"/>
      <c r="L6" s="1063" t="s">
        <v>9</v>
      </c>
      <c r="M6" s="1065"/>
      <c r="N6" s="1063" t="s">
        <v>10</v>
      </c>
      <c r="O6" s="1065"/>
      <c r="P6" s="1063" t="s">
        <v>11</v>
      </c>
      <c r="Q6" s="1065"/>
      <c r="R6" s="1063" t="s">
        <v>12</v>
      </c>
      <c r="S6" s="1065"/>
      <c r="T6" s="1063" t="s">
        <v>13</v>
      </c>
      <c r="U6" s="1065"/>
      <c r="V6" s="1063" t="s">
        <v>14</v>
      </c>
      <c r="W6" s="1065"/>
      <c r="X6" s="1063" t="s">
        <v>15</v>
      </c>
      <c r="Y6" s="1065"/>
      <c r="Z6" s="1063" t="s">
        <v>16</v>
      </c>
      <c r="AA6" s="1065"/>
      <c r="AB6" s="1063" t="s">
        <v>17</v>
      </c>
      <c r="AC6" s="1065"/>
      <c r="AD6" s="1066" t="s">
        <v>18</v>
      </c>
      <c r="AE6" s="1066"/>
      <c r="AF6" s="1052" t="s">
        <v>19</v>
      </c>
    </row>
    <row r="7" spans="1:33" ht="56.25" x14ac:dyDescent="0.3">
      <c r="A7" s="1062"/>
      <c r="B7" s="3">
        <v>2024</v>
      </c>
      <c r="C7" s="4">
        <v>45474</v>
      </c>
      <c r="D7" s="4">
        <v>45474</v>
      </c>
      <c r="E7" s="4">
        <v>45474</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53"/>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1058" t="s">
        <v>274</v>
      </c>
      <c r="B9" s="1059"/>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59"/>
      <c r="AF9" s="1060"/>
    </row>
    <row r="10" spans="1:33" s="97" customFormat="1" x14ac:dyDescent="0.3">
      <c r="A10" s="1058" t="s">
        <v>167</v>
      </c>
      <c r="B10" s="1059"/>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60"/>
    </row>
    <row r="11" spans="1:33" ht="56.25" customHeight="1" x14ac:dyDescent="0.3">
      <c r="A11" s="98" t="s">
        <v>275</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f>B11-H11-J11-L11-N11-P11-R11-T11-V11-X11-Z11-AB11-AD11</f>
        <v>0</v>
      </c>
    </row>
    <row r="12" spans="1:33" x14ac:dyDescent="0.3">
      <c r="A12" s="103" t="s">
        <v>31</v>
      </c>
      <c r="B12" s="104">
        <f>B13+B14+B15+B16</f>
        <v>240.00299999999999</v>
      </c>
      <c r="C12" s="104">
        <f>C13+C14+C15+C16</f>
        <v>240.00299999999999</v>
      </c>
      <c r="D12" s="104">
        <f>D13+D14+D15+D16</f>
        <v>237.77</v>
      </c>
      <c r="E12" s="104">
        <f>E13+E14+E15+E16</f>
        <v>237.77</v>
      </c>
      <c r="F12" s="105">
        <f>IFERROR(E12/B12*100,0)</f>
        <v>99.069594963396298</v>
      </c>
      <c r="G12" s="105">
        <f>IFERROR(E12/C12*100,0)</f>
        <v>99.069594963396298</v>
      </c>
      <c r="H12" s="104">
        <f>H13+H14+H15+H16</f>
        <v>0</v>
      </c>
      <c r="I12" s="104">
        <f t="shared" ref="I12:AE12" si="0">I13+I14+I15+I16</f>
        <v>0</v>
      </c>
      <c r="J12" s="104">
        <f t="shared" si="0"/>
        <v>137.773</v>
      </c>
      <c r="K12" s="104">
        <f t="shared" si="0"/>
        <v>137.77000000000001</v>
      </c>
      <c r="L12" s="104">
        <f t="shared" si="0"/>
        <v>0</v>
      </c>
      <c r="M12" s="104">
        <f t="shared" si="0"/>
        <v>0</v>
      </c>
      <c r="N12" s="104">
        <f t="shared" si="0"/>
        <v>0</v>
      </c>
      <c r="O12" s="104">
        <f t="shared" si="0"/>
        <v>0</v>
      </c>
      <c r="P12" s="104">
        <f t="shared" si="0"/>
        <v>0</v>
      </c>
      <c r="Q12" s="104">
        <f t="shared" si="0"/>
        <v>0</v>
      </c>
      <c r="R12" s="104">
        <f t="shared" si="0"/>
        <v>102.23</v>
      </c>
      <c r="S12" s="104">
        <f t="shared" si="0"/>
        <v>100</v>
      </c>
      <c r="T12" s="104">
        <f t="shared" si="0"/>
        <v>0</v>
      </c>
      <c r="U12" s="104">
        <f t="shared" si="0"/>
        <v>0</v>
      </c>
      <c r="V12" s="104">
        <f t="shared" si="0"/>
        <v>0</v>
      </c>
      <c r="W12" s="104">
        <f t="shared" si="0"/>
        <v>0</v>
      </c>
      <c r="X12" s="104">
        <f t="shared" si="0"/>
        <v>0</v>
      </c>
      <c r="Y12" s="104">
        <f t="shared" si="0"/>
        <v>0</v>
      </c>
      <c r="Z12" s="104">
        <f t="shared" si="0"/>
        <v>0</v>
      </c>
      <c r="AA12" s="104">
        <f t="shared" si="0"/>
        <v>0</v>
      </c>
      <c r="AB12" s="104">
        <f t="shared" si="0"/>
        <v>0</v>
      </c>
      <c r="AC12" s="104">
        <f t="shared" si="0"/>
        <v>0</v>
      </c>
      <c r="AD12" s="104">
        <f t="shared" si="0"/>
        <v>0</v>
      </c>
      <c r="AE12" s="104">
        <f t="shared" si="0"/>
        <v>0</v>
      </c>
      <c r="AF12" s="101"/>
      <c r="AG12" s="102">
        <f t="shared" ref="AG12:AG129" si="1">B12-H12-J12-L12-N12-P12-R12-T12-V12-X12-Z12-AB12-AD12</f>
        <v>-1.4210854715202004E-14</v>
      </c>
    </row>
    <row r="13" spans="1:33" x14ac:dyDescent="0.3">
      <c r="A13" s="106" t="s">
        <v>169</v>
      </c>
      <c r="B13" s="107">
        <f>B19</f>
        <v>0</v>
      </c>
      <c r="C13" s="107">
        <f t="shared" ref="C13:E16" si="2">C19</f>
        <v>0</v>
      </c>
      <c r="D13" s="107">
        <f t="shared" si="2"/>
        <v>0</v>
      </c>
      <c r="E13" s="107">
        <f t="shared" si="2"/>
        <v>0</v>
      </c>
      <c r="F13" s="107">
        <f>IFERROR(E13/B13*100,0)</f>
        <v>0</v>
      </c>
      <c r="G13" s="107">
        <f>IFERROR(E13/C13*100,0)</f>
        <v>0</v>
      </c>
      <c r="H13" s="107">
        <f t="shared" ref="H13:AE16" si="3">H19</f>
        <v>0</v>
      </c>
      <c r="I13" s="107">
        <f t="shared" si="3"/>
        <v>0</v>
      </c>
      <c r="J13" s="107">
        <f t="shared" si="3"/>
        <v>0</v>
      </c>
      <c r="K13" s="107">
        <f t="shared" si="3"/>
        <v>0</v>
      </c>
      <c r="L13" s="107">
        <f t="shared" si="3"/>
        <v>0</v>
      </c>
      <c r="M13" s="107">
        <f t="shared" si="3"/>
        <v>0</v>
      </c>
      <c r="N13" s="107">
        <f t="shared" si="3"/>
        <v>0</v>
      </c>
      <c r="O13" s="107">
        <f t="shared" si="3"/>
        <v>0</v>
      </c>
      <c r="P13" s="107">
        <f t="shared" si="3"/>
        <v>0</v>
      </c>
      <c r="Q13" s="107">
        <f t="shared" si="3"/>
        <v>0</v>
      </c>
      <c r="R13" s="107">
        <f t="shared" si="3"/>
        <v>0</v>
      </c>
      <c r="S13" s="107">
        <f t="shared" si="3"/>
        <v>0</v>
      </c>
      <c r="T13" s="107">
        <f t="shared" si="3"/>
        <v>0</v>
      </c>
      <c r="U13" s="107">
        <f t="shared" si="3"/>
        <v>0</v>
      </c>
      <c r="V13" s="107">
        <f t="shared" si="3"/>
        <v>0</v>
      </c>
      <c r="W13" s="107">
        <f t="shared" si="3"/>
        <v>0</v>
      </c>
      <c r="X13" s="107">
        <f t="shared" si="3"/>
        <v>0</v>
      </c>
      <c r="Y13" s="107">
        <f t="shared" si="3"/>
        <v>0</v>
      </c>
      <c r="Z13" s="107">
        <f t="shared" si="3"/>
        <v>0</v>
      </c>
      <c r="AA13" s="107">
        <f t="shared" si="3"/>
        <v>0</v>
      </c>
      <c r="AB13" s="107">
        <f t="shared" si="3"/>
        <v>0</v>
      </c>
      <c r="AC13" s="107">
        <f t="shared" si="3"/>
        <v>0</v>
      </c>
      <c r="AD13" s="107">
        <f t="shared" si="3"/>
        <v>0</v>
      </c>
      <c r="AE13" s="107">
        <f t="shared" si="3"/>
        <v>0</v>
      </c>
      <c r="AF13" s="101"/>
      <c r="AG13" s="102">
        <f t="shared" si="1"/>
        <v>0</v>
      </c>
    </row>
    <row r="14" spans="1:33" x14ac:dyDescent="0.3">
      <c r="A14" s="106" t="s">
        <v>32</v>
      </c>
      <c r="B14" s="107">
        <f>B20</f>
        <v>0</v>
      </c>
      <c r="C14" s="107">
        <f t="shared" si="2"/>
        <v>0</v>
      </c>
      <c r="D14" s="107">
        <f t="shared" si="2"/>
        <v>0</v>
      </c>
      <c r="E14" s="107">
        <f t="shared" si="2"/>
        <v>0</v>
      </c>
      <c r="F14" s="107">
        <f>IFERROR(E14/B14*100,0)</f>
        <v>0</v>
      </c>
      <c r="G14" s="107">
        <f>IFERROR(E14/C14*100,0)</f>
        <v>0</v>
      </c>
      <c r="H14" s="107">
        <f t="shared" si="3"/>
        <v>0</v>
      </c>
      <c r="I14" s="107">
        <f t="shared" si="3"/>
        <v>0</v>
      </c>
      <c r="J14" s="107">
        <f t="shared" si="3"/>
        <v>0</v>
      </c>
      <c r="K14" s="107">
        <f t="shared" si="3"/>
        <v>0</v>
      </c>
      <c r="L14" s="107">
        <f t="shared" si="3"/>
        <v>0</v>
      </c>
      <c r="M14" s="107">
        <f t="shared" si="3"/>
        <v>0</v>
      </c>
      <c r="N14" s="107">
        <f t="shared" si="3"/>
        <v>0</v>
      </c>
      <c r="O14" s="107">
        <f t="shared" si="3"/>
        <v>0</v>
      </c>
      <c r="P14" s="107">
        <f t="shared" si="3"/>
        <v>0</v>
      </c>
      <c r="Q14" s="107">
        <f t="shared" si="3"/>
        <v>0</v>
      </c>
      <c r="R14" s="107">
        <f t="shared" si="3"/>
        <v>0</v>
      </c>
      <c r="S14" s="107">
        <f t="shared" si="3"/>
        <v>0</v>
      </c>
      <c r="T14" s="107">
        <f t="shared" si="3"/>
        <v>0</v>
      </c>
      <c r="U14" s="107">
        <f t="shared" si="3"/>
        <v>0</v>
      </c>
      <c r="V14" s="107">
        <f t="shared" si="3"/>
        <v>0</v>
      </c>
      <c r="W14" s="107">
        <f t="shared" si="3"/>
        <v>0</v>
      </c>
      <c r="X14" s="107">
        <f t="shared" si="3"/>
        <v>0</v>
      </c>
      <c r="Y14" s="107">
        <f t="shared" si="3"/>
        <v>0</v>
      </c>
      <c r="Z14" s="107">
        <f t="shared" si="3"/>
        <v>0</v>
      </c>
      <c r="AA14" s="107">
        <f t="shared" si="3"/>
        <v>0</v>
      </c>
      <c r="AB14" s="107">
        <f t="shared" si="3"/>
        <v>0</v>
      </c>
      <c r="AC14" s="107">
        <f t="shared" si="3"/>
        <v>0</v>
      </c>
      <c r="AD14" s="107">
        <f t="shared" si="3"/>
        <v>0</v>
      </c>
      <c r="AE14" s="107">
        <f t="shared" si="3"/>
        <v>0</v>
      </c>
      <c r="AF14" s="101"/>
      <c r="AG14" s="102">
        <f t="shared" si="1"/>
        <v>0</v>
      </c>
    </row>
    <row r="15" spans="1:33" x14ac:dyDescent="0.3">
      <c r="A15" s="106" t="s">
        <v>33</v>
      </c>
      <c r="B15" s="107">
        <f>B21</f>
        <v>240.00299999999999</v>
      </c>
      <c r="C15" s="107">
        <f>C21</f>
        <v>240.00299999999999</v>
      </c>
      <c r="D15" s="107">
        <f t="shared" si="2"/>
        <v>237.77</v>
      </c>
      <c r="E15" s="107">
        <f t="shared" si="2"/>
        <v>237.77</v>
      </c>
      <c r="F15" s="107">
        <f>IFERROR(E15/B15*100,0)</f>
        <v>99.069594963396298</v>
      </c>
      <c r="G15" s="107">
        <f>IFERROR(E15/C15*100,0)</f>
        <v>99.069594963396298</v>
      </c>
      <c r="H15" s="107">
        <f t="shared" si="3"/>
        <v>0</v>
      </c>
      <c r="I15" s="107">
        <f t="shared" si="3"/>
        <v>0</v>
      </c>
      <c r="J15" s="107">
        <f t="shared" si="3"/>
        <v>137.773</v>
      </c>
      <c r="K15" s="107">
        <f t="shared" si="3"/>
        <v>137.77000000000001</v>
      </c>
      <c r="L15" s="107">
        <f t="shared" si="3"/>
        <v>0</v>
      </c>
      <c r="M15" s="107">
        <f t="shared" si="3"/>
        <v>0</v>
      </c>
      <c r="N15" s="107">
        <f t="shared" si="3"/>
        <v>0</v>
      </c>
      <c r="O15" s="107">
        <f t="shared" si="3"/>
        <v>0</v>
      </c>
      <c r="P15" s="107">
        <f t="shared" si="3"/>
        <v>0</v>
      </c>
      <c r="Q15" s="107">
        <f t="shared" si="3"/>
        <v>0</v>
      </c>
      <c r="R15" s="107">
        <f t="shared" si="3"/>
        <v>102.23</v>
      </c>
      <c r="S15" s="107">
        <f t="shared" si="3"/>
        <v>100</v>
      </c>
      <c r="T15" s="107">
        <f t="shared" si="3"/>
        <v>0</v>
      </c>
      <c r="U15" s="107">
        <f t="shared" si="3"/>
        <v>0</v>
      </c>
      <c r="V15" s="107">
        <f t="shared" si="3"/>
        <v>0</v>
      </c>
      <c r="W15" s="107">
        <f t="shared" si="3"/>
        <v>0</v>
      </c>
      <c r="X15" s="107">
        <f t="shared" si="3"/>
        <v>0</v>
      </c>
      <c r="Y15" s="107">
        <f t="shared" si="3"/>
        <v>0</v>
      </c>
      <c r="Z15" s="107">
        <f t="shared" si="3"/>
        <v>0</v>
      </c>
      <c r="AA15" s="107">
        <f t="shared" si="3"/>
        <v>0</v>
      </c>
      <c r="AB15" s="107">
        <f t="shared" si="3"/>
        <v>0</v>
      </c>
      <c r="AC15" s="107">
        <f t="shared" si="3"/>
        <v>0</v>
      </c>
      <c r="AD15" s="107">
        <f t="shared" si="3"/>
        <v>0</v>
      </c>
      <c r="AE15" s="107">
        <f t="shared" si="3"/>
        <v>0</v>
      </c>
      <c r="AF15" s="101"/>
      <c r="AG15" s="102">
        <f t="shared" si="1"/>
        <v>-1.4210854715202004E-14</v>
      </c>
    </row>
    <row r="16" spans="1:33" x14ac:dyDescent="0.3">
      <c r="A16" s="106" t="s">
        <v>170</v>
      </c>
      <c r="B16" s="107">
        <f>B22</f>
        <v>0</v>
      </c>
      <c r="C16" s="107">
        <f t="shared" si="2"/>
        <v>0</v>
      </c>
      <c r="D16" s="107">
        <f t="shared" si="2"/>
        <v>0</v>
      </c>
      <c r="E16" s="107">
        <f t="shared" si="2"/>
        <v>0</v>
      </c>
      <c r="F16" s="107">
        <f>IFERROR(E16/B16*100,0)</f>
        <v>0</v>
      </c>
      <c r="G16" s="107">
        <f>IFERROR(E16/C16*100,0)</f>
        <v>0</v>
      </c>
      <c r="H16" s="107">
        <f t="shared" si="3"/>
        <v>0</v>
      </c>
      <c r="I16" s="107">
        <f t="shared" si="3"/>
        <v>0</v>
      </c>
      <c r="J16" s="107">
        <f t="shared" si="3"/>
        <v>0</v>
      </c>
      <c r="K16" s="107">
        <f t="shared" si="3"/>
        <v>0</v>
      </c>
      <c r="L16" s="107">
        <f t="shared" si="3"/>
        <v>0</v>
      </c>
      <c r="M16" s="107">
        <f t="shared" si="3"/>
        <v>0</v>
      </c>
      <c r="N16" s="107">
        <f t="shared" si="3"/>
        <v>0</v>
      </c>
      <c r="O16" s="107">
        <f t="shared" si="3"/>
        <v>0</v>
      </c>
      <c r="P16" s="107">
        <f t="shared" si="3"/>
        <v>0</v>
      </c>
      <c r="Q16" s="107">
        <f t="shared" si="3"/>
        <v>0</v>
      </c>
      <c r="R16" s="107">
        <f t="shared" si="3"/>
        <v>0</v>
      </c>
      <c r="S16" s="107">
        <f t="shared" si="3"/>
        <v>0</v>
      </c>
      <c r="T16" s="107">
        <f t="shared" si="3"/>
        <v>0</v>
      </c>
      <c r="U16" s="107">
        <f t="shared" si="3"/>
        <v>0</v>
      </c>
      <c r="V16" s="107">
        <f t="shared" si="3"/>
        <v>0</v>
      </c>
      <c r="W16" s="107">
        <f t="shared" si="3"/>
        <v>0</v>
      </c>
      <c r="X16" s="107">
        <f t="shared" si="3"/>
        <v>0</v>
      </c>
      <c r="Y16" s="107">
        <f t="shared" si="3"/>
        <v>0</v>
      </c>
      <c r="Z16" s="107">
        <f t="shared" si="3"/>
        <v>0</v>
      </c>
      <c r="AA16" s="107">
        <f t="shared" si="3"/>
        <v>0</v>
      </c>
      <c r="AB16" s="107">
        <f t="shared" si="3"/>
        <v>0</v>
      </c>
      <c r="AC16" s="107">
        <f t="shared" si="3"/>
        <v>0</v>
      </c>
      <c r="AD16" s="107">
        <f t="shared" si="3"/>
        <v>0</v>
      </c>
      <c r="AE16" s="107">
        <f t="shared" si="3"/>
        <v>0</v>
      </c>
      <c r="AF16" s="101"/>
      <c r="AG16" s="102">
        <f t="shared" si="1"/>
        <v>0</v>
      </c>
    </row>
    <row r="17" spans="1:33" ht="75" customHeight="1" x14ac:dyDescent="0.3">
      <c r="A17" s="778" t="s">
        <v>519</v>
      </c>
      <c r="B17" s="622"/>
      <c r="C17" s="110"/>
      <c r="D17" s="110"/>
      <c r="E17" s="110"/>
      <c r="F17" s="110"/>
      <c r="G17" s="110"/>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29"/>
      <c r="AG17" s="102">
        <f t="shared" si="1"/>
        <v>0</v>
      </c>
    </row>
    <row r="18" spans="1:33" s="617" customFormat="1" x14ac:dyDescent="0.3">
      <c r="A18" s="618" t="s">
        <v>31</v>
      </c>
      <c r="B18" s="619">
        <f>B20+B21+B19+B22</f>
        <v>240.00299999999999</v>
      </c>
      <c r="C18" s="619">
        <f>C20+C21+C19+C22</f>
        <v>240.00299999999999</v>
      </c>
      <c r="D18" s="779">
        <f>D20+D21+D19+D22</f>
        <v>237.77</v>
      </c>
      <c r="E18" s="619">
        <f>E20+E21+E19+E22</f>
        <v>237.77</v>
      </c>
      <c r="F18" s="619">
        <f>IFERROR(E18/B18*100,0)</f>
        <v>99.069594963396298</v>
      </c>
      <c r="G18" s="619">
        <f>IFERROR(E18/C18*100,0)</f>
        <v>99.069594963396298</v>
      </c>
      <c r="H18" s="619">
        <f t="shared" ref="H18:AE18" si="4">H20+H21+H19+H22</f>
        <v>0</v>
      </c>
      <c r="I18" s="619">
        <f t="shared" si="4"/>
        <v>0</v>
      </c>
      <c r="J18" s="619">
        <f t="shared" si="4"/>
        <v>137.773</v>
      </c>
      <c r="K18" s="619">
        <f t="shared" si="4"/>
        <v>137.77000000000001</v>
      </c>
      <c r="L18" s="619">
        <f t="shared" si="4"/>
        <v>0</v>
      </c>
      <c r="M18" s="619">
        <f t="shared" si="4"/>
        <v>0</v>
      </c>
      <c r="N18" s="619">
        <f t="shared" si="4"/>
        <v>0</v>
      </c>
      <c r="O18" s="619">
        <f t="shared" si="4"/>
        <v>0</v>
      </c>
      <c r="P18" s="619">
        <f t="shared" si="4"/>
        <v>0</v>
      </c>
      <c r="Q18" s="619">
        <f t="shared" si="4"/>
        <v>0</v>
      </c>
      <c r="R18" s="619">
        <f t="shared" si="4"/>
        <v>102.23</v>
      </c>
      <c r="S18" s="619">
        <f t="shared" si="4"/>
        <v>100</v>
      </c>
      <c r="T18" s="619">
        <f t="shared" si="4"/>
        <v>0</v>
      </c>
      <c r="U18" s="619">
        <f t="shared" si="4"/>
        <v>0</v>
      </c>
      <c r="V18" s="783">
        <f t="shared" si="4"/>
        <v>0</v>
      </c>
      <c r="W18" s="783">
        <f t="shared" si="4"/>
        <v>0</v>
      </c>
      <c r="X18" s="783">
        <f t="shared" si="4"/>
        <v>0</v>
      </c>
      <c r="Y18" s="783">
        <f t="shared" si="4"/>
        <v>0</v>
      </c>
      <c r="Z18" s="783">
        <f t="shared" si="4"/>
        <v>0</v>
      </c>
      <c r="AA18" s="619">
        <f t="shared" si="4"/>
        <v>0</v>
      </c>
      <c r="AB18" s="619">
        <f t="shared" si="4"/>
        <v>0</v>
      </c>
      <c r="AC18" s="619">
        <f t="shared" si="4"/>
        <v>0</v>
      </c>
      <c r="AD18" s="619">
        <f t="shared" si="4"/>
        <v>0</v>
      </c>
      <c r="AE18" s="619">
        <f t="shared" si="4"/>
        <v>0</v>
      </c>
      <c r="AF18" s="615"/>
      <c r="AG18" s="616">
        <f t="shared" si="1"/>
        <v>-1.4210854715202004E-14</v>
      </c>
    </row>
    <row r="19" spans="1:33" s="617" customFormat="1" x14ac:dyDescent="0.3">
      <c r="A19" s="621" t="s">
        <v>169</v>
      </c>
      <c r="B19" s="622">
        <f>J19+L19+N19+P19+R19+T19+V19+X19+Z19+AB19+AD19+H19</f>
        <v>0</v>
      </c>
      <c r="C19" s="777">
        <f>SUM(H19)</f>
        <v>0</v>
      </c>
      <c r="D19" s="780">
        <f>E19</f>
        <v>0</v>
      </c>
      <c r="E19" s="777">
        <f>SUM(I19,K19,M19,O19,Q19,S19,U19,W19,Y19,AA19,AC19,AE19)</f>
        <v>0</v>
      </c>
      <c r="F19" s="622">
        <f>IFERROR(E19/B19*100,0)</f>
        <v>0</v>
      </c>
      <c r="G19" s="622">
        <f>IFERROR(E19/C19*100,0)</f>
        <v>0</v>
      </c>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615"/>
      <c r="AG19" s="616">
        <f t="shared" si="1"/>
        <v>0</v>
      </c>
    </row>
    <row r="20" spans="1:33" s="617" customFormat="1" x14ac:dyDescent="0.3">
      <c r="A20" s="621" t="s">
        <v>32</v>
      </c>
      <c r="B20" s="622">
        <f>J20+L20+N20+P20+R20+T20+V20+X20+Z20+AB20+AD20+H20</f>
        <v>0</v>
      </c>
      <c r="C20" s="777">
        <f>SUM(H20)</f>
        <v>0</v>
      </c>
      <c r="D20" s="780">
        <f>E20</f>
        <v>0</v>
      </c>
      <c r="E20" s="777">
        <f>SUM(I20,K20,M20,O20,Q20,S20,U20,W20,Y20,AA20,AC20,AE20)</f>
        <v>0</v>
      </c>
      <c r="F20" s="622">
        <f>IFERROR(E20/B20*100,0)</f>
        <v>0</v>
      </c>
      <c r="G20" s="622">
        <f>IFERROR(E20/C20*100,0)</f>
        <v>0</v>
      </c>
      <c r="H20" s="519"/>
      <c r="I20" s="519"/>
      <c r="J20" s="519"/>
      <c r="K20" s="519"/>
      <c r="L20" s="519"/>
      <c r="M20" s="519"/>
      <c r="N20" s="519"/>
      <c r="O20" s="519"/>
      <c r="P20" s="519"/>
      <c r="Q20" s="519"/>
      <c r="R20" s="519"/>
      <c r="S20" s="519"/>
      <c r="T20" s="519"/>
      <c r="U20" s="519"/>
      <c r="V20" s="519"/>
      <c r="W20" s="519"/>
      <c r="X20" s="519"/>
      <c r="Y20" s="519"/>
      <c r="Z20" s="519"/>
      <c r="AA20" s="519"/>
      <c r="AB20" s="519"/>
      <c r="AC20" s="519"/>
      <c r="AD20" s="519"/>
      <c r="AE20" s="519"/>
      <c r="AF20" s="615"/>
      <c r="AG20" s="616">
        <f t="shared" si="1"/>
        <v>0</v>
      </c>
    </row>
    <row r="21" spans="1:33" s="617" customFormat="1" x14ac:dyDescent="0.3">
      <c r="A21" s="621" t="s">
        <v>33</v>
      </c>
      <c r="B21" s="622">
        <f>J21+L21+N21+P21+R21+T21+V21+X21+Z21+AB21+AD21+H21</f>
        <v>240.00299999999999</v>
      </c>
      <c r="C21" s="777">
        <f>H21+J21+L21+N21+P21+R21</f>
        <v>240.00299999999999</v>
      </c>
      <c r="D21" s="780">
        <f>E21</f>
        <v>237.77</v>
      </c>
      <c r="E21" s="777">
        <f>SUM(I21,K21,M21,O21,Q21,S21,U21,W21,Y21,AA21,AC21,AE21)</f>
        <v>237.77</v>
      </c>
      <c r="F21" s="622">
        <f>IFERROR(E21/B21*100,0)</f>
        <v>99.069594963396298</v>
      </c>
      <c r="G21" s="622">
        <f>IFERROR(E21/C21*100,0)</f>
        <v>99.069594963396298</v>
      </c>
      <c r="H21" s="519"/>
      <c r="I21" s="519"/>
      <c r="J21" s="519">
        <v>137.773</v>
      </c>
      <c r="K21" s="519">
        <v>137.77000000000001</v>
      </c>
      <c r="L21" s="519"/>
      <c r="M21" s="519"/>
      <c r="N21" s="519"/>
      <c r="O21" s="519"/>
      <c r="P21" s="519"/>
      <c r="Q21" s="519"/>
      <c r="R21" s="519">
        <f>2.23+100</f>
        <v>102.23</v>
      </c>
      <c r="S21" s="519">
        <v>100</v>
      </c>
      <c r="T21" s="519"/>
      <c r="U21" s="519"/>
      <c r="V21" s="519"/>
      <c r="W21" s="519"/>
      <c r="X21" s="519"/>
      <c r="Y21" s="519"/>
      <c r="Z21" s="519"/>
      <c r="AA21" s="519"/>
      <c r="AB21" s="519"/>
      <c r="AC21" s="519"/>
      <c r="AD21" s="519"/>
      <c r="AE21" s="519"/>
      <c r="AF21" s="615"/>
      <c r="AG21" s="616">
        <f t="shared" si="1"/>
        <v>-1.4210854715202004E-14</v>
      </c>
    </row>
    <row r="22" spans="1:33" x14ac:dyDescent="0.3">
      <c r="A22" s="115" t="s">
        <v>170</v>
      </c>
      <c r="B22" s="116"/>
      <c r="C22" s="117"/>
      <c r="D22" s="118"/>
      <c r="E22" s="117"/>
      <c r="F22" s="116"/>
      <c r="G22" s="116"/>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29"/>
      <c r="AG22" s="102">
        <f t="shared" si="1"/>
        <v>0</v>
      </c>
    </row>
    <row r="23" spans="1:33" ht="56.25" customHeight="1" x14ac:dyDescent="0.3">
      <c r="A23" s="98" t="s">
        <v>276</v>
      </c>
      <c r="B23" s="99"/>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1"/>
      <c r="AG23" s="102">
        <f t="shared" ref="AG23:AG28" si="5">B23-H23-J23-L23-N23-P23-R23-T23-V23-X23-Z23-AB23-AD23</f>
        <v>0</v>
      </c>
    </row>
    <row r="24" spans="1:33" x14ac:dyDescent="0.3">
      <c r="A24" s="103" t="s">
        <v>31</v>
      </c>
      <c r="B24" s="104">
        <f>B25+B26+B27+B28</f>
        <v>0</v>
      </c>
      <c r="C24" s="104">
        <f>C25+C26+C27+C28</f>
        <v>0</v>
      </c>
      <c r="D24" s="104">
        <f>D25+D26+D27+D28</f>
        <v>0</v>
      </c>
      <c r="E24" s="104">
        <f>E25+E26+E27+E28</f>
        <v>0</v>
      </c>
      <c r="F24" s="105">
        <f>IFERROR(E24/B24*100,0)</f>
        <v>0</v>
      </c>
      <c r="G24" s="105">
        <f>IFERROR(E24/C24*100,0)</f>
        <v>0</v>
      </c>
      <c r="H24" s="104">
        <f>H25+H26+H27+H28</f>
        <v>0</v>
      </c>
      <c r="I24" s="104">
        <f t="shared" ref="I24:AE24" si="6">I25+I26+I27+I28</f>
        <v>0</v>
      </c>
      <c r="J24" s="104">
        <f t="shared" si="6"/>
        <v>0</v>
      </c>
      <c r="K24" s="104">
        <f t="shared" si="6"/>
        <v>0</v>
      </c>
      <c r="L24" s="104">
        <f t="shared" si="6"/>
        <v>0</v>
      </c>
      <c r="M24" s="104">
        <f t="shared" si="6"/>
        <v>0</v>
      </c>
      <c r="N24" s="104">
        <f t="shared" si="6"/>
        <v>0</v>
      </c>
      <c r="O24" s="104">
        <f t="shared" si="6"/>
        <v>0</v>
      </c>
      <c r="P24" s="104">
        <f t="shared" si="6"/>
        <v>0</v>
      </c>
      <c r="Q24" s="104">
        <f t="shared" si="6"/>
        <v>0</v>
      </c>
      <c r="R24" s="104">
        <f t="shared" si="6"/>
        <v>0</v>
      </c>
      <c r="S24" s="104">
        <f t="shared" si="6"/>
        <v>0</v>
      </c>
      <c r="T24" s="104">
        <f t="shared" si="6"/>
        <v>0</v>
      </c>
      <c r="U24" s="104">
        <f t="shared" si="6"/>
        <v>0</v>
      </c>
      <c r="V24" s="104">
        <f t="shared" si="6"/>
        <v>0</v>
      </c>
      <c r="W24" s="104">
        <f t="shared" si="6"/>
        <v>0</v>
      </c>
      <c r="X24" s="104">
        <f t="shared" si="6"/>
        <v>0</v>
      </c>
      <c r="Y24" s="104">
        <f t="shared" si="6"/>
        <v>0</v>
      </c>
      <c r="Z24" s="104">
        <f t="shared" si="6"/>
        <v>0</v>
      </c>
      <c r="AA24" s="104">
        <f t="shared" si="6"/>
        <v>0</v>
      </c>
      <c r="AB24" s="104">
        <f t="shared" si="6"/>
        <v>0</v>
      </c>
      <c r="AC24" s="104">
        <f t="shared" si="6"/>
        <v>0</v>
      </c>
      <c r="AD24" s="104">
        <f t="shared" si="6"/>
        <v>0</v>
      </c>
      <c r="AE24" s="104">
        <f t="shared" si="6"/>
        <v>0</v>
      </c>
      <c r="AF24" s="101"/>
      <c r="AG24" s="102">
        <f t="shared" si="5"/>
        <v>0</v>
      </c>
    </row>
    <row r="25" spans="1:33" x14ac:dyDescent="0.3">
      <c r="A25" s="106" t="s">
        <v>169</v>
      </c>
      <c r="B25" s="107">
        <f>J25+L25+N25+P25+R25+T25+V25+X25+Z25+AB25+AD25+H25</f>
        <v>0</v>
      </c>
      <c r="C25" s="107">
        <f>SUM(H25)</f>
        <v>0</v>
      </c>
      <c r="D25" s="107">
        <f>E25</f>
        <v>0</v>
      </c>
      <c r="E25" s="107">
        <f>SUM(I25,K25,M25,O25,Q25,S25,U25,W25,Y25,AA25,AC25,AE25)</f>
        <v>0</v>
      </c>
      <c r="F25" s="107">
        <f>IFERROR(E25/B25*100,0)</f>
        <v>0</v>
      </c>
      <c r="G25" s="107">
        <f>IFERROR(E25/C25*100,0)</f>
        <v>0</v>
      </c>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1"/>
      <c r="AG25" s="102">
        <f t="shared" si="5"/>
        <v>0</v>
      </c>
    </row>
    <row r="26" spans="1:33" x14ac:dyDescent="0.3">
      <c r="A26" s="106" t="s">
        <v>32</v>
      </c>
      <c r="B26" s="107">
        <f>J26+L26+N26+P26+R26+T26+V26+X26+Z26+AB26+AD26+H26</f>
        <v>0</v>
      </c>
      <c r="C26" s="107">
        <f>SUM(H26)</f>
        <v>0</v>
      </c>
      <c r="D26" s="107">
        <f>E26</f>
        <v>0</v>
      </c>
      <c r="E26" s="107">
        <f>SUM(I26,K26,M26,O26,Q26,S26,U26,W26,Y26,AA26,AC26,AE26)</f>
        <v>0</v>
      </c>
      <c r="F26" s="107">
        <f>IFERROR(E26/B26*100,0)</f>
        <v>0</v>
      </c>
      <c r="G26" s="107">
        <f>IFERROR(E26/C26*100,0)</f>
        <v>0</v>
      </c>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1"/>
      <c r="AG26" s="102">
        <f t="shared" si="5"/>
        <v>0</v>
      </c>
    </row>
    <row r="27" spans="1:33" x14ac:dyDescent="0.3">
      <c r="A27" s="106" t="s">
        <v>33</v>
      </c>
      <c r="B27" s="107">
        <f>J27+L27+N27+P27+R27+T27+V27+X27+Z27+AB27+AD27+H27</f>
        <v>0</v>
      </c>
      <c r="C27" s="107">
        <f>SUM(H27)</f>
        <v>0</v>
      </c>
      <c r="D27" s="107">
        <f>E27</f>
        <v>0</v>
      </c>
      <c r="E27" s="107">
        <f>SUM(I27,K27,M27,O27,Q27,S27,U27,W27,Y27,AA27,AC27,AE27)</f>
        <v>0</v>
      </c>
      <c r="F27" s="107">
        <f>IFERROR(E27/B27*100,0)</f>
        <v>0</v>
      </c>
      <c r="G27" s="107">
        <f>IFERROR(E27/C27*100,0)</f>
        <v>0</v>
      </c>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1"/>
      <c r="AG27" s="102">
        <f t="shared" si="5"/>
        <v>0</v>
      </c>
    </row>
    <row r="28" spans="1:33" x14ac:dyDescent="0.3">
      <c r="A28" s="106" t="s">
        <v>170</v>
      </c>
      <c r="B28" s="107">
        <f>J28+L28+N28+P28+R28+T28+V28+X28+Z28+AB28+AD28+H28</f>
        <v>0</v>
      </c>
      <c r="C28" s="107">
        <f>SUM(H28)</f>
        <v>0</v>
      </c>
      <c r="D28" s="107">
        <f>E28</f>
        <v>0</v>
      </c>
      <c r="E28" s="107">
        <f>SUM(I28,K28,M28,O28,Q28,S28,U28,W28,Y28,AA28,AC28,AE28)</f>
        <v>0</v>
      </c>
      <c r="F28" s="107">
        <f>IFERROR(E28/B28*100,0)</f>
        <v>0</v>
      </c>
      <c r="G28" s="107">
        <f>IFERROR(E28/C28*100,0)</f>
        <v>0</v>
      </c>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1"/>
      <c r="AG28" s="102">
        <f t="shared" si="5"/>
        <v>0</v>
      </c>
    </row>
    <row r="29" spans="1:33" s="97" customFormat="1" x14ac:dyDescent="0.3">
      <c r="A29" s="1058" t="s">
        <v>54</v>
      </c>
      <c r="B29" s="1059"/>
      <c r="C29" s="1059"/>
      <c r="D29" s="1059"/>
      <c r="E29" s="1059"/>
      <c r="F29" s="1059"/>
      <c r="G29" s="1059"/>
      <c r="H29" s="1059"/>
      <c r="I29" s="1059"/>
      <c r="J29" s="1059"/>
      <c r="K29" s="1059"/>
      <c r="L29" s="1059"/>
      <c r="M29" s="1059"/>
      <c r="N29" s="1059"/>
      <c r="O29" s="1059"/>
      <c r="P29" s="1059"/>
      <c r="Q29" s="1059"/>
      <c r="R29" s="1059"/>
      <c r="S29" s="1059"/>
      <c r="T29" s="1059"/>
      <c r="U29" s="1059"/>
      <c r="V29" s="1059"/>
      <c r="W29" s="1059"/>
      <c r="X29" s="1059"/>
      <c r="Y29" s="1059"/>
      <c r="Z29" s="1059"/>
      <c r="AA29" s="1059"/>
      <c r="AB29" s="1059"/>
      <c r="AC29" s="1059"/>
      <c r="AD29" s="1059"/>
      <c r="AE29" s="1059"/>
      <c r="AF29" s="1060"/>
      <c r="AG29" s="102">
        <f t="shared" si="1"/>
        <v>0</v>
      </c>
    </row>
    <row r="30" spans="1:33" ht="37.5" x14ac:dyDescent="0.3">
      <c r="A30" s="98" t="s">
        <v>277</v>
      </c>
      <c r="B30" s="99"/>
      <c r="C30" s="100"/>
      <c r="D30" s="100"/>
      <c r="E30" s="100"/>
      <c r="F30" s="100"/>
      <c r="G30" s="100"/>
      <c r="H30" s="99"/>
      <c r="I30" s="99"/>
      <c r="J30" s="99"/>
      <c r="K30" s="99"/>
      <c r="L30" s="99"/>
      <c r="M30" s="99"/>
      <c r="N30" s="99"/>
      <c r="O30" s="99"/>
      <c r="P30" s="99"/>
      <c r="Q30" s="99"/>
      <c r="R30" s="99"/>
      <c r="S30" s="99"/>
      <c r="T30" s="99"/>
      <c r="U30" s="99"/>
      <c r="V30" s="99"/>
      <c r="W30" s="99"/>
      <c r="X30" s="99"/>
      <c r="Y30" s="99"/>
      <c r="Z30" s="99"/>
      <c r="AA30" s="99"/>
      <c r="AB30" s="99"/>
      <c r="AC30" s="99"/>
      <c r="AD30" s="99"/>
      <c r="AE30" s="99"/>
      <c r="AF30" s="101"/>
      <c r="AG30" s="102">
        <f t="shared" si="1"/>
        <v>0</v>
      </c>
    </row>
    <row r="31" spans="1:33" x14ac:dyDescent="0.3">
      <c r="A31" s="103" t="s">
        <v>31</v>
      </c>
      <c r="B31" s="104">
        <f>B32+B33+B34+B35</f>
        <v>3377.5</v>
      </c>
      <c r="C31" s="104">
        <f>C32+C33+C34+C35</f>
        <v>824.15000000000009</v>
      </c>
      <c r="D31" s="104">
        <f>D32+D33+D34+D35</f>
        <v>1606.597</v>
      </c>
      <c r="E31" s="104">
        <f>E32+E33+E34+E35</f>
        <v>1606.597</v>
      </c>
      <c r="F31" s="105">
        <f>IFERROR(E31/B31*100,0)</f>
        <v>47.56763878608438</v>
      </c>
      <c r="G31" s="105">
        <f>IFERROR(E31/C31*100,0)</f>
        <v>194.93987744949339</v>
      </c>
      <c r="H31" s="104">
        <f>H32+H33+H34+H35</f>
        <v>300</v>
      </c>
      <c r="I31" s="104">
        <f t="shared" ref="I31:AE31" si="7">I32+I33+I34+I35</f>
        <v>256.2</v>
      </c>
      <c r="J31" s="104">
        <f t="shared" si="7"/>
        <v>289.64999999999998</v>
      </c>
      <c r="K31" s="104">
        <f t="shared" si="7"/>
        <v>307.20699999999999</v>
      </c>
      <c r="L31" s="104">
        <f t="shared" si="7"/>
        <v>176.8</v>
      </c>
      <c r="M31" s="104">
        <f t="shared" si="7"/>
        <v>200.63</v>
      </c>
      <c r="N31" s="104">
        <f t="shared" si="7"/>
        <v>57.7</v>
      </c>
      <c r="O31" s="104">
        <f t="shared" si="7"/>
        <v>57.7</v>
      </c>
      <c r="P31" s="104">
        <f t="shared" si="7"/>
        <v>224.4</v>
      </c>
      <c r="Q31" s="104">
        <f t="shared" si="7"/>
        <v>0</v>
      </c>
      <c r="R31" s="104">
        <f t="shared" si="7"/>
        <v>673</v>
      </c>
      <c r="S31" s="104">
        <f t="shared" si="7"/>
        <v>784.86</v>
      </c>
      <c r="T31" s="104">
        <f t="shared" si="7"/>
        <v>1000</v>
      </c>
      <c r="U31" s="104">
        <f t="shared" si="7"/>
        <v>0</v>
      </c>
      <c r="V31" s="104">
        <f t="shared" si="7"/>
        <v>0</v>
      </c>
      <c r="W31" s="104">
        <f t="shared" si="7"/>
        <v>0</v>
      </c>
      <c r="X31" s="104">
        <f t="shared" si="7"/>
        <v>0</v>
      </c>
      <c r="Y31" s="104">
        <f t="shared" si="7"/>
        <v>0</v>
      </c>
      <c r="Z31" s="104">
        <f t="shared" si="7"/>
        <v>0</v>
      </c>
      <c r="AA31" s="104">
        <f t="shared" si="7"/>
        <v>0</v>
      </c>
      <c r="AB31" s="104">
        <f t="shared" si="7"/>
        <v>0</v>
      </c>
      <c r="AC31" s="104">
        <f t="shared" si="7"/>
        <v>0</v>
      </c>
      <c r="AD31" s="104">
        <f t="shared" si="7"/>
        <v>655.95</v>
      </c>
      <c r="AE31" s="104">
        <f t="shared" si="7"/>
        <v>0</v>
      </c>
      <c r="AF31" s="101"/>
      <c r="AG31" s="102">
        <f t="shared" si="1"/>
        <v>0</v>
      </c>
    </row>
    <row r="32" spans="1:33" x14ac:dyDescent="0.3">
      <c r="A32" s="106" t="s">
        <v>169</v>
      </c>
      <c r="B32" s="107">
        <f>J32+L32+N32+P32+R32+T32+V32+X32+Z32+AB32+AD32+H32</f>
        <v>0</v>
      </c>
      <c r="C32" s="107">
        <f>SUM(H32)</f>
        <v>0</v>
      </c>
      <c r="D32" s="107">
        <f>E32</f>
        <v>0</v>
      </c>
      <c r="E32" s="107">
        <f>SUM(I32,K32,M32,O32,Q32,S32,U32,W32,Y32,AA32,AC32,AE32)</f>
        <v>0</v>
      </c>
      <c r="F32" s="107">
        <f>IFERROR(E32/B32*100,0)</f>
        <v>0</v>
      </c>
      <c r="G32" s="107">
        <f>IFERROR(E32/C32*100,0)</f>
        <v>0</v>
      </c>
      <c r="H32" s="107">
        <f>H38+H44+H50</f>
        <v>0</v>
      </c>
      <c r="I32" s="107">
        <f t="shared" ref="I32:AE35" si="8">I38+I44+I50</f>
        <v>0</v>
      </c>
      <c r="J32" s="107">
        <f t="shared" si="8"/>
        <v>0</v>
      </c>
      <c r="K32" s="107">
        <f t="shared" si="8"/>
        <v>0</v>
      </c>
      <c r="L32" s="107">
        <f t="shared" si="8"/>
        <v>0</v>
      </c>
      <c r="M32" s="107">
        <f t="shared" si="8"/>
        <v>0</v>
      </c>
      <c r="N32" s="107">
        <f t="shared" si="8"/>
        <v>0</v>
      </c>
      <c r="O32" s="107">
        <f t="shared" si="8"/>
        <v>0</v>
      </c>
      <c r="P32" s="107">
        <f t="shared" si="8"/>
        <v>0</v>
      </c>
      <c r="Q32" s="107">
        <f t="shared" si="8"/>
        <v>0</v>
      </c>
      <c r="R32" s="107">
        <f t="shared" si="8"/>
        <v>0</v>
      </c>
      <c r="S32" s="107">
        <f t="shared" si="8"/>
        <v>0</v>
      </c>
      <c r="T32" s="107">
        <f t="shared" si="8"/>
        <v>0</v>
      </c>
      <c r="U32" s="107">
        <f t="shared" si="8"/>
        <v>0</v>
      </c>
      <c r="V32" s="107">
        <f t="shared" si="8"/>
        <v>0</v>
      </c>
      <c r="W32" s="107">
        <f t="shared" si="8"/>
        <v>0</v>
      </c>
      <c r="X32" s="107">
        <f t="shared" si="8"/>
        <v>0</v>
      </c>
      <c r="Y32" s="107">
        <f t="shared" si="8"/>
        <v>0</v>
      </c>
      <c r="Z32" s="107">
        <f t="shared" si="8"/>
        <v>0</v>
      </c>
      <c r="AA32" s="107">
        <f t="shared" si="8"/>
        <v>0</v>
      </c>
      <c r="AB32" s="107">
        <f t="shared" si="8"/>
        <v>0</v>
      </c>
      <c r="AC32" s="107">
        <f t="shared" si="8"/>
        <v>0</v>
      </c>
      <c r="AD32" s="107">
        <f t="shared" si="8"/>
        <v>0</v>
      </c>
      <c r="AE32" s="107">
        <f t="shared" si="8"/>
        <v>0</v>
      </c>
      <c r="AF32" s="101"/>
      <c r="AG32" s="102">
        <f t="shared" si="1"/>
        <v>0</v>
      </c>
    </row>
    <row r="33" spans="1:33" x14ac:dyDescent="0.3">
      <c r="A33" s="106" t="s">
        <v>32</v>
      </c>
      <c r="B33" s="107">
        <f>J33+L33+N33+P33+R33+T33+V33+X33+Z33+AB33+AD33+H33</f>
        <v>0</v>
      </c>
      <c r="C33" s="107">
        <f>SUM(H33)</f>
        <v>0</v>
      </c>
      <c r="D33" s="107">
        <f>E33</f>
        <v>0</v>
      </c>
      <c r="E33" s="107">
        <f>SUM(I33,K33,M33,O33,Q33,S33,U33,W33,Y33,AA33,AC33,AE33)</f>
        <v>0</v>
      </c>
      <c r="F33" s="107">
        <f>IFERROR(E33/B33*100,0)</f>
        <v>0</v>
      </c>
      <c r="G33" s="107">
        <f>IFERROR(E33/C33*100,0)</f>
        <v>0</v>
      </c>
      <c r="H33" s="107">
        <f>H39+H45+H51</f>
        <v>0</v>
      </c>
      <c r="I33" s="107">
        <f t="shared" ref="I33:W33" si="9">I39+I45+I51</f>
        <v>0</v>
      </c>
      <c r="J33" s="107">
        <f t="shared" si="9"/>
        <v>0</v>
      </c>
      <c r="K33" s="107">
        <f t="shared" si="9"/>
        <v>0</v>
      </c>
      <c r="L33" s="107">
        <f t="shared" si="9"/>
        <v>0</v>
      </c>
      <c r="M33" s="107">
        <f t="shared" si="9"/>
        <v>0</v>
      </c>
      <c r="N33" s="107">
        <f t="shared" si="9"/>
        <v>0</v>
      </c>
      <c r="O33" s="107">
        <f t="shared" si="9"/>
        <v>0</v>
      </c>
      <c r="P33" s="107">
        <f t="shared" si="9"/>
        <v>0</v>
      </c>
      <c r="Q33" s="107">
        <f t="shared" si="9"/>
        <v>0</v>
      </c>
      <c r="R33" s="107">
        <f t="shared" si="9"/>
        <v>0</v>
      </c>
      <c r="S33" s="107">
        <f t="shared" si="9"/>
        <v>0</v>
      </c>
      <c r="T33" s="107">
        <f t="shared" si="9"/>
        <v>0</v>
      </c>
      <c r="U33" s="107">
        <f t="shared" si="9"/>
        <v>0</v>
      </c>
      <c r="V33" s="107">
        <f t="shared" si="9"/>
        <v>0</v>
      </c>
      <c r="W33" s="107">
        <f t="shared" si="9"/>
        <v>0</v>
      </c>
      <c r="X33" s="107">
        <f t="shared" si="8"/>
        <v>0</v>
      </c>
      <c r="Y33" s="107">
        <f t="shared" si="8"/>
        <v>0</v>
      </c>
      <c r="Z33" s="107">
        <f t="shared" si="8"/>
        <v>0</v>
      </c>
      <c r="AA33" s="107">
        <f t="shared" si="8"/>
        <v>0</v>
      </c>
      <c r="AB33" s="107">
        <f t="shared" si="8"/>
        <v>0</v>
      </c>
      <c r="AC33" s="107">
        <f t="shared" si="8"/>
        <v>0</v>
      </c>
      <c r="AD33" s="107">
        <f t="shared" si="8"/>
        <v>0</v>
      </c>
      <c r="AE33" s="107">
        <f t="shared" si="8"/>
        <v>0</v>
      </c>
      <c r="AF33" s="101"/>
      <c r="AG33" s="102">
        <f t="shared" si="1"/>
        <v>0</v>
      </c>
    </row>
    <row r="34" spans="1:33" x14ac:dyDescent="0.3">
      <c r="A34" s="106" t="s">
        <v>33</v>
      </c>
      <c r="B34" s="622">
        <f>J34+L34+N34+P34+R34+T34+V34+X34+Z34+AB34+AD34+H34</f>
        <v>2959.5</v>
      </c>
      <c r="C34" s="107">
        <f>H34+J34+L34+N34</f>
        <v>824.15000000000009</v>
      </c>
      <c r="D34" s="107">
        <f>E34</f>
        <v>1188.597</v>
      </c>
      <c r="E34" s="107">
        <f>SUM(I34,K34,M34,O34,Q34,S34,U34,W34,Y34,AA34,AC34,AE34)</f>
        <v>1188.597</v>
      </c>
      <c r="F34" s="107">
        <f>IFERROR(E34/B34*100,0)</f>
        <v>40.162088190572732</v>
      </c>
      <c r="G34" s="107">
        <f>IFERROR(E34/C34*100,0)</f>
        <v>144.22095492325425</v>
      </c>
      <c r="H34" s="107">
        <f>H40+H46+H52+H58</f>
        <v>300</v>
      </c>
      <c r="I34" s="107">
        <f t="shared" ref="I34:AF34" si="10">I40+I46+I52+I58</f>
        <v>256.2</v>
      </c>
      <c r="J34" s="107">
        <f t="shared" si="10"/>
        <v>289.64999999999998</v>
      </c>
      <c r="K34" s="107">
        <f t="shared" si="10"/>
        <v>307.20699999999999</v>
      </c>
      <c r="L34" s="107">
        <f>L40+L46+L52+L58</f>
        <v>176.8</v>
      </c>
      <c r="M34" s="107">
        <f t="shared" si="10"/>
        <v>200.63</v>
      </c>
      <c r="N34" s="107">
        <f t="shared" si="10"/>
        <v>57.7</v>
      </c>
      <c r="O34" s="107">
        <f t="shared" si="10"/>
        <v>57.7</v>
      </c>
      <c r="P34" s="107">
        <f t="shared" si="10"/>
        <v>224.4</v>
      </c>
      <c r="Q34" s="107">
        <f t="shared" si="10"/>
        <v>0</v>
      </c>
      <c r="R34" s="107">
        <f t="shared" si="10"/>
        <v>255</v>
      </c>
      <c r="S34" s="107">
        <f t="shared" si="10"/>
        <v>366.86</v>
      </c>
      <c r="T34" s="107">
        <f t="shared" si="10"/>
        <v>1000</v>
      </c>
      <c r="U34" s="107">
        <f t="shared" si="10"/>
        <v>0</v>
      </c>
      <c r="V34" s="107">
        <f t="shared" si="10"/>
        <v>0</v>
      </c>
      <c r="W34" s="107">
        <f t="shared" si="10"/>
        <v>0</v>
      </c>
      <c r="X34" s="107">
        <f t="shared" si="10"/>
        <v>0</v>
      </c>
      <c r="Y34" s="107">
        <f t="shared" si="10"/>
        <v>0</v>
      </c>
      <c r="Z34" s="107">
        <f t="shared" si="10"/>
        <v>0</v>
      </c>
      <c r="AA34" s="107">
        <f t="shared" si="10"/>
        <v>0</v>
      </c>
      <c r="AB34" s="107">
        <f t="shared" si="10"/>
        <v>0</v>
      </c>
      <c r="AC34" s="107">
        <f t="shared" si="10"/>
        <v>0</v>
      </c>
      <c r="AD34" s="107">
        <f t="shared" si="10"/>
        <v>655.95</v>
      </c>
      <c r="AE34" s="107">
        <f t="shared" si="10"/>
        <v>0</v>
      </c>
      <c r="AF34" s="107">
        <f t="shared" si="10"/>
        <v>0</v>
      </c>
      <c r="AG34" s="102">
        <f t="shared" si="1"/>
        <v>0</v>
      </c>
    </row>
    <row r="35" spans="1:33" x14ac:dyDescent="0.3">
      <c r="A35" s="106" t="s">
        <v>170</v>
      </c>
      <c r="B35" s="107">
        <f>J35+L35+N35+P35+R35+T35+V35+X35+Z35+AB35+AD35+H35</f>
        <v>418</v>
      </c>
      <c r="C35" s="107">
        <f>SUM(H35)</f>
        <v>0</v>
      </c>
      <c r="D35" s="107">
        <f>E35</f>
        <v>418</v>
      </c>
      <c r="E35" s="107">
        <f>SUM(I35,K35,M35,O35,Q35,S35,U35,W35,Y35,AA35,AC35,AE35)</f>
        <v>418</v>
      </c>
      <c r="F35" s="107">
        <f>IFERROR(E35/B35*100,0)</f>
        <v>100</v>
      </c>
      <c r="G35" s="107">
        <f>IFERROR(E35/C35*100,0)</f>
        <v>0</v>
      </c>
      <c r="H35" s="107">
        <f>H41+H47+H53</f>
        <v>0</v>
      </c>
      <c r="I35" s="107">
        <f t="shared" si="8"/>
        <v>0</v>
      </c>
      <c r="J35" s="107">
        <f t="shared" si="8"/>
        <v>0</v>
      </c>
      <c r="K35" s="107">
        <f t="shared" si="8"/>
        <v>0</v>
      </c>
      <c r="L35" s="107">
        <f t="shared" si="8"/>
        <v>0</v>
      </c>
      <c r="M35" s="107">
        <f t="shared" si="8"/>
        <v>0</v>
      </c>
      <c r="N35" s="107">
        <f t="shared" si="8"/>
        <v>0</v>
      </c>
      <c r="O35" s="107">
        <f t="shared" si="8"/>
        <v>0</v>
      </c>
      <c r="P35" s="107">
        <f t="shared" si="8"/>
        <v>0</v>
      </c>
      <c r="Q35" s="107">
        <f t="shared" si="8"/>
        <v>0</v>
      </c>
      <c r="R35" s="107">
        <f t="shared" si="8"/>
        <v>418</v>
      </c>
      <c r="S35" s="107">
        <f t="shared" si="8"/>
        <v>418</v>
      </c>
      <c r="T35" s="107">
        <f t="shared" si="8"/>
        <v>0</v>
      </c>
      <c r="U35" s="107">
        <f t="shared" si="8"/>
        <v>0</v>
      </c>
      <c r="V35" s="107">
        <f t="shared" si="8"/>
        <v>0</v>
      </c>
      <c r="W35" s="107">
        <f t="shared" si="8"/>
        <v>0</v>
      </c>
      <c r="X35" s="107">
        <f t="shared" si="8"/>
        <v>0</v>
      </c>
      <c r="Y35" s="107">
        <f t="shared" si="8"/>
        <v>0</v>
      </c>
      <c r="Z35" s="107">
        <f t="shared" si="8"/>
        <v>0</v>
      </c>
      <c r="AA35" s="107">
        <f t="shared" si="8"/>
        <v>0</v>
      </c>
      <c r="AB35" s="107">
        <f t="shared" si="8"/>
        <v>0</v>
      </c>
      <c r="AC35" s="107">
        <f t="shared" si="8"/>
        <v>0</v>
      </c>
      <c r="AD35" s="107">
        <f t="shared" si="8"/>
        <v>0</v>
      </c>
      <c r="AE35" s="107">
        <f t="shared" si="8"/>
        <v>0</v>
      </c>
      <c r="AF35" s="101"/>
      <c r="AG35" s="102">
        <f t="shared" si="1"/>
        <v>0</v>
      </c>
    </row>
    <row r="36" spans="1:33" ht="56.25" x14ac:dyDescent="0.3">
      <c r="A36" s="778" t="s">
        <v>579</v>
      </c>
      <c r="B36" s="622"/>
      <c r="C36" s="630"/>
      <c r="D36" s="630"/>
      <c r="E36" s="630"/>
      <c r="F36" s="110"/>
      <c r="G36" s="110"/>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f t="shared" si="1"/>
        <v>0</v>
      </c>
    </row>
    <row r="37" spans="1:33" s="617" customFormat="1" x14ac:dyDescent="0.3">
      <c r="A37" s="618" t="s">
        <v>31</v>
      </c>
      <c r="B37" s="619">
        <f>B39+B40+B38+B41</f>
        <v>1562.5</v>
      </c>
      <c r="C37" s="619">
        <f>C39+C40+C38+C41</f>
        <v>1236.55</v>
      </c>
      <c r="D37" s="779">
        <f>D39+D40+D38+D41</f>
        <v>1121.5970000000002</v>
      </c>
      <c r="E37" s="619">
        <f>E39+E40+E38+E41</f>
        <v>1121.5970000000002</v>
      </c>
      <c r="F37" s="619">
        <f>IFERROR(E37/B37*100,0)</f>
        <v>71.782208000000011</v>
      </c>
      <c r="G37" s="619">
        <f>IFERROR(E37/C37*100,0)</f>
        <v>90.70373215802033</v>
      </c>
      <c r="H37" s="783">
        <f t="shared" ref="H37:AE37" si="11">H39+H40+H38+H41</f>
        <v>300</v>
      </c>
      <c r="I37" s="783">
        <f t="shared" si="11"/>
        <v>256.2</v>
      </c>
      <c r="J37" s="783">
        <f t="shared" si="11"/>
        <v>114.65</v>
      </c>
      <c r="K37" s="783">
        <f t="shared" si="11"/>
        <v>132.20699999999999</v>
      </c>
      <c r="L37" s="783">
        <f t="shared" si="11"/>
        <v>126.8</v>
      </c>
      <c r="M37" s="783">
        <f t="shared" si="11"/>
        <v>150.63</v>
      </c>
      <c r="N37" s="783">
        <f t="shared" si="11"/>
        <v>7.6999999999999993</v>
      </c>
      <c r="O37" s="783">
        <f t="shared" si="11"/>
        <v>7.7</v>
      </c>
      <c r="P37" s="783">
        <f t="shared" si="11"/>
        <v>224.4</v>
      </c>
      <c r="Q37" s="783">
        <f t="shared" si="11"/>
        <v>0</v>
      </c>
      <c r="R37" s="783">
        <f t="shared" si="11"/>
        <v>463</v>
      </c>
      <c r="S37" s="783">
        <f t="shared" si="11"/>
        <v>574.86</v>
      </c>
      <c r="T37" s="783">
        <f t="shared" si="11"/>
        <v>0</v>
      </c>
      <c r="U37" s="619">
        <f t="shared" si="11"/>
        <v>0</v>
      </c>
      <c r="V37" s="619">
        <f t="shared" si="11"/>
        <v>0</v>
      </c>
      <c r="W37" s="619">
        <f t="shared" si="11"/>
        <v>0</v>
      </c>
      <c r="X37" s="619">
        <f t="shared" si="11"/>
        <v>0</v>
      </c>
      <c r="Y37" s="619">
        <f t="shared" si="11"/>
        <v>0</v>
      </c>
      <c r="Z37" s="619">
        <f t="shared" si="11"/>
        <v>0</v>
      </c>
      <c r="AA37" s="619">
        <f t="shared" si="11"/>
        <v>0</v>
      </c>
      <c r="AB37" s="619">
        <f t="shared" si="11"/>
        <v>0</v>
      </c>
      <c r="AC37" s="619">
        <f t="shared" si="11"/>
        <v>0</v>
      </c>
      <c r="AD37" s="625">
        <f t="shared" si="11"/>
        <v>325.95</v>
      </c>
      <c r="AE37" s="619">
        <f t="shared" si="11"/>
        <v>0</v>
      </c>
      <c r="AF37" s="615"/>
      <c r="AG37" s="616">
        <f t="shared" si="1"/>
        <v>0</v>
      </c>
    </row>
    <row r="38" spans="1:33" s="617" customFormat="1" x14ac:dyDescent="0.3">
      <c r="A38" s="621" t="s">
        <v>169</v>
      </c>
      <c r="B38" s="622">
        <f>J38+L38+N38+P38+R38+T38+V38+X38+Z38+AB38+AD38+H38</f>
        <v>0</v>
      </c>
      <c r="C38" s="777">
        <f>SUM(H38)</f>
        <v>0</v>
      </c>
      <c r="D38" s="780">
        <f>E38</f>
        <v>0</v>
      </c>
      <c r="E38" s="777">
        <f>SUM(I38,K38,M38,O38,Q38,S38,U38,W38,Y38,AA38,AC38,AE38)</f>
        <v>0</v>
      </c>
      <c r="F38" s="622">
        <f>IFERROR(E38/B38*100,0)</f>
        <v>0</v>
      </c>
      <c r="G38" s="622">
        <f>IFERROR(E38/C38*100,0)</f>
        <v>0</v>
      </c>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615"/>
      <c r="AG38" s="616">
        <f t="shared" si="1"/>
        <v>0</v>
      </c>
    </row>
    <row r="39" spans="1:33" s="617" customFormat="1" x14ac:dyDescent="0.3">
      <c r="A39" s="621" t="s">
        <v>32</v>
      </c>
      <c r="B39" s="622">
        <f>J39+L39+N39+P39+R39+T39+V39+X39+Z39+AB39+AD39+H39</f>
        <v>0</v>
      </c>
      <c r="C39" s="777">
        <f>SUM(H39)</f>
        <v>0</v>
      </c>
      <c r="D39" s="780">
        <f>E39</f>
        <v>0</v>
      </c>
      <c r="E39" s="777">
        <f>SUM(I39,K39,M39,O39,Q39,S39,U39,W39,Y39,AA39,AC39,AE39)</f>
        <v>0</v>
      </c>
      <c r="F39" s="622">
        <f>IFERROR(E39/B39*100,0)</f>
        <v>0</v>
      </c>
      <c r="G39" s="622">
        <f>IFERROR(E39/C39*100,0)</f>
        <v>0</v>
      </c>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615"/>
      <c r="AG39" s="616">
        <f t="shared" si="1"/>
        <v>0</v>
      </c>
    </row>
    <row r="40" spans="1:33" s="617" customFormat="1" x14ac:dyDescent="0.3">
      <c r="A40" s="621" t="s">
        <v>33</v>
      </c>
      <c r="B40" s="622">
        <f>J40+L40+N40+P40+R40+T40+V40+X40+Z40+AB40+AD40+H40</f>
        <v>1144.5</v>
      </c>
      <c r="C40" s="777">
        <f>H40+J40+L40+N40+P40+R40</f>
        <v>818.55</v>
      </c>
      <c r="D40" s="780">
        <f>E40</f>
        <v>703.59700000000009</v>
      </c>
      <c r="E40" s="777">
        <f>SUM(I40,K40,M40,O40,Q40,S40,U40,W40,Y40,AA40,AC40,AE40)</f>
        <v>703.59700000000009</v>
      </c>
      <c r="F40" s="622">
        <f>IFERROR(E40/B40*100,0)</f>
        <v>61.476365224989081</v>
      </c>
      <c r="G40" s="622">
        <f>IFERROR(E40/C40*100,0)</f>
        <v>85.956508460081864</v>
      </c>
      <c r="H40" s="519">
        <v>300</v>
      </c>
      <c r="I40" s="519">
        <v>256.2</v>
      </c>
      <c r="J40" s="519">
        <v>114.65</v>
      </c>
      <c r="K40" s="519">
        <v>132.20699999999999</v>
      </c>
      <c r="L40" s="519">
        <v>126.8</v>
      </c>
      <c r="M40" s="519">
        <v>150.63</v>
      </c>
      <c r="N40" s="519">
        <f>24.5-16.8</f>
        <v>7.6999999999999993</v>
      </c>
      <c r="O40" s="519">
        <v>7.7</v>
      </c>
      <c r="P40" s="519">
        <v>224.4</v>
      </c>
      <c r="Q40" s="519"/>
      <c r="R40" s="519">
        <v>45</v>
      </c>
      <c r="S40" s="519">
        <v>156.86000000000001</v>
      </c>
      <c r="T40" s="519">
        <v>0</v>
      </c>
      <c r="U40" s="519"/>
      <c r="V40" s="519">
        <v>0</v>
      </c>
      <c r="W40" s="519"/>
      <c r="X40" s="519">
        <v>0</v>
      </c>
      <c r="Y40" s="519"/>
      <c r="Z40" s="519">
        <v>0</v>
      </c>
      <c r="AA40" s="519"/>
      <c r="AB40" s="519">
        <v>0</v>
      </c>
      <c r="AC40" s="519"/>
      <c r="AD40" s="834">
        <v>325.95</v>
      </c>
      <c r="AE40" s="519"/>
      <c r="AF40" s="615"/>
      <c r="AG40" s="616">
        <f t="shared" si="1"/>
        <v>0</v>
      </c>
    </row>
    <row r="41" spans="1:33" s="617" customFormat="1" x14ac:dyDescent="0.3">
      <c r="A41" s="621" t="s">
        <v>170</v>
      </c>
      <c r="B41" s="622">
        <f>J41+L41+N41+P41+R41+T41+V41+X41+Z41+AB41+AD41+H41</f>
        <v>418</v>
      </c>
      <c r="C41" s="777">
        <f>H41+J41+L41+N41+P41+R41</f>
        <v>418</v>
      </c>
      <c r="D41" s="780">
        <f>E41</f>
        <v>418</v>
      </c>
      <c r="E41" s="777">
        <f>SUM(I41,K41,M41,O41,Q41,S41,U41,W41,Y41,AA41,AC41,AE41)</f>
        <v>418</v>
      </c>
      <c r="F41" s="622">
        <f>IFERROR(E41/B41*100,0)</f>
        <v>100</v>
      </c>
      <c r="G41" s="622">
        <f>IFERROR(E41/C41*100,0)</f>
        <v>100</v>
      </c>
      <c r="H41" s="519"/>
      <c r="I41" s="519"/>
      <c r="J41" s="519"/>
      <c r="K41" s="519"/>
      <c r="L41" s="519"/>
      <c r="M41" s="519"/>
      <c r="N41" s="519"/>
      <c r="O41" s="519"/>
      <c r="P41" s="519"/>
      <c r="Q41" s="519"/>
      <c r="R41" s="519">
        <v>418</v>
      </c>
      <c r="S41" s="519">
        <v>418</v>
      </c>
      <c r="T41" s="519"/>
      <c r="U41" s="519"/>
      <c r="V41" s="519"/>
      <c r="W41" s="519"/>
      <c r="X41" s="519"/>
      <c r="Y41" s="519"/>
      <c r="Z41" s="519"/>
      <c r="AA41" s="519"/>
      <c r="AB41" s="519"/>
      <c r="AC41" s="519"/>
      <c r="AD41" s="519"/>
      <c r="AE41" s="519"/>
      <c r="AF41" s="615"/>
      <c r="AG41" s="616">
        <f t="shared" si="1"/>
        <v>0</v>
      </c>
    </row>
    <row r="42" spans="1:33" s="617" customFormat="1" ht="146.25" customHeight="1" x14ac:dyDescent="0.3">
      <c r="A42" s="634" t="s">
        <v>278</v>
      </c>
      <c r="B42" s="619"/>
      <c r="C42" s="625"/>
      <c r="D42" s="625"/>
      <c r="E42" s="625"/>
      <c r="F42" s="625"/>
      <c r="G42" s="625"/>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615"/>
      <c r="AG42" s="616">
        <f t="shared" si="1"/>
        <v>0</v>
      </c>
    </row>
    <row r="43" spans="1:33" s="617" customFormat="1" x14ac:dyDescent="0.3">
      <c r="A43" s="618" t="s">
        <v>31</v>
      </c>
      <c r="B43" s="619">
        <f>B45+B46+B44+B47</f>
        <v>815</v>
      </c>
      <c r="C43" s="619">
        <f>C45+C46+C44+C47</f>
        <v>485</v>
      </c>
      <c r="D43" s="619">
        <f>D45+D46+D44+D47</f>
        <v>485</v>
      </c>
      <c r="E43" s="619">
        <f>E45+E46+E44+E47</f>
        <v>485</v>
      </c>
      <c r="F43" s="619">
        <f>IFERROR(E43/B43*100,0)</f>
        <v>59.509202453987733</v>
      </c>
      <c r="G43" s="619">
        <f>IFERROR(E43/C43*100,0)</f>
        <v>100</v>
      </c>
      <c r="H43" s="619">
        <f t="shared" ref="H43:AE43" si="12">H45+H46+H44+H47</f>
        <v>0</v>
      </c>
      <c r="I43" s="619">
        <f t="shared" si="12"/>
        <v>0</v>
      </c>
      <c r="J43" s="619">
        <f t="shared" si="12"/>
        <v>175</v>
      </c>
      <c r="K43" s="619">
        <f t="shared" si="12"/>
        <v>175</v>
      </c>
      <c r="L43" s="619">
        <f t="shared" si="12"/>
        <v>50</v>
      </c>
      <c r="M43" s="619">
        <f t="shared" si="12"/>
        <v>50</v>
      </c>
      <c r="N43" s="783">
        <f t="shared" si="12"/>
        <v>50</v>
      </c>
      <c r="O43" s="619">
        <f t="shared" si="12"/>
        <v>50</v>
      </c>
      <c r="P43" s="619">
        <f t="shared" si="12"/>
        <v>0</v>
      </c>
      <c r="Q43" s="619">
        <f t="shared" si="12"/>
        <v>0</v>
      </c>
      <c r="R43" s="619">
        <f t="shared" si="12"/>
        <v>210</v>
      </c>
      <c r="S43" s="619">
        <f t="shared" si="12"/>
        <v>210</v>
      </c>
      <c r="T43" s="619">
        <f t="shared" si="12"/>
        <v>0</v>
      </c>
      <c r="U43" s="619">
        <f t="shared" si="12"/>
        <v>0</v>
      </c>
      <c r="V43" s="619">
        <f t="shared" si="12"/>
        <v>0</v>
      </c>
      <c r="W43" s="619">
        <f t="shared" si="12"/>
        <v>0</v>
      </c>
      <c r="X43" s="619">
        <f t="shared" si="12"/>
        <v>0</v>
      </c>
      <c r="Y43" s="619">
        <f t="shared" si="12"/>
        <v>0</v>
      </c>
      <c r="Z43" s="619">
        <f t="shared" si="12"/>
        <v>0</v>
      </c>
      <c r="AA43" s="619">
        <f t="shared" si="12"/>
        <v>0</v>
      </c>
      <c r="AB43" s="619">
        <f t="shared" si="12"/>
        <v>0</v>
      </c>
      <c r="AC43" s="619">
        <f t="shared" si="12"/>
        <v>0</v>
      </c>
      <c r="AD43" s="619">
        <f t="shared" si="12"/>
        <v>330</v>
      </c>
      <c r="AE43" s="619">
        <f t="shared" si="12"/>
        <v>0</v>
      </c>
      <c r="AF43" s="615"/>
      <c r="AG43" s="616">
        <f t="shared" si="1"/>
        <v>0</v>
      </c>
    </row>
    <row r="44" spans="1:33" s="617" customFormat="1" x14ac:dyDescent="0.3">
      <c r="A44" s="621" t="s">
        <v>169</v>
      </c>
      <c r="B44" s="622">
        <f>J44+L44+N44+P44+R44+T44+V44+X44+Z44+AB44+AD44+H44</f>
        <v>0</v>
      </c>
      <c r="C44" s="777">
        <f>SUM(H44)</f>
        <v>0</v>
      </c>
      <c r="D44" s="780">
        <f>E44</f>
        <v>0</v>
      </c>
      <c r="E44" s="777">
        <f>SUM(I44,K44,M44,O44,Q44,S44,U44,W44,Y44,AA44,AC44,AE44)</f>
        <v>0</v>
      </c>
      <c r="F44" s="622"/>
      <c r="G44" s="622"/>
      <c r="H44" s="519"/>
      <c r="I44" s="519"/>
      <c r="J44" s="519"/>
      <c r="K44" s="519"/>
      <c r="L44" s="519"/>
      <c r="M44" s="519"/>
      <c r="N44" s="519"/>
      <c r="O44" s="519"/>
      <c r="P44" s="519"/>
      <c r="Q44" s="519"/>
      <c r="R44" s="519"/>
      <c r="S44" s="519"/>
      <c r="T44" s="519"/>
      <c r="U44" s="519"/>
      <c r="V44" s="519"/>
      <c r="W44" s="519"/>
      <c r="X44" s="519"/>
      <c r="Y44" s="519"/>
      <c r="Z44" s="519"/>
      <c r="AA44" s="519"/>
      <c r="AB44" s="519"/>
      <c r="AC44" s="519"/>
      <c r="AD44" s="519"/>
      <c r="AE44" s="519"/>
      <c r="AF44" s="615"/>
      <c r="AG44" s="616">
        <f t="shared" si="1"/>
        <v>0</v>
      </c>
    </row>
    <row r="45" spans="1:33" s="617" customFormat="1" x14ac:dyDescent="0.3">
      <c r="A45" s="621" t="s">
        <v>32</v>
      </c>
      <c r="B45" s="622">
        <f>J45+L45+N45+P45+R45+T45+V45+X45+Z45+AB45+AD45+H45</f>
        <v>0</v>
      </c>
      <c r="C45" s="777">
        <f>SUM(H45)</f>
        <v>0</v>
      </c>
      <c r="D45" s="780">
        <f>E45</f>
        <v>0</v>
      </c>
      <c r="E45" s="777">
        <f>SUM(I45,K45,M45,O45,Q45,S45,U45,W45,Y45,AA45,AC45,AE45)</f>
        <v>0</v>
      </c>
      <c r="F45" s="622"/>
      <c r="G45" s="622"/>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615"/>
      <c r="AG45" s="616">
        <f t="shared" si="1"/>
        <v>0</v>
      </c>
    </row>
    <row r="46" spans="1:33" s="617" customFormat="1" x14ac:dyDescent="0.3">
      <c r="A46" s="621" t="s">
        <v>33</v>
      </c>
      <c r="B46" s="622">
        <f>J46+L46+N46+P46+R46+T46+V46+X46+Z46+AB46+AD46+H46</f>
        <v>815</v>
      </c>
      <c r="C46" s="777">
        <f>H46+J46+L46+N46+P46+R46</f>
        <v>485</v>
      </c>
      <c r="D46" s="780">
        <f>E46</f>
        <v>485</v>
      </c>
      <c r="E46" s="777">
        <f>SUM(I46,K46,M46,O46,Q46,S46,U46,W46,Y46,AA46,AC46,AE46)</f>
        <v>485</v>
      </c>
      <c r="F46" s="622">
        <f>IFERROR(E46/B46*100,0)</f>
        <v>59.509202453987733</v>
      </c>
      <c r="G46" s="622">
        <f>IFERROR(E46/C46*100,0)</f>
        <v>100</v>
      </c>
      <c r="H46" s="519"/>
      <c r="I46" s="519"/>
      <c r="J46" s="519">
        <v>175</v>
      </c>
      <c r="K46" s="519">
        <v>175</v>
      </c>
      <c r="L46" s="519">
        <v>50</v>
      </c>
      <c r="M46" s="519">
        <v>50</v>
      </c>
      <c r="N46" s="519">
        <v>50</v>
      </c>
      <c r="O46" s="519">
        <v>50</v>
      </c>
      <c r="P46" s="519"/>
      <c r="Q46" s="519"/>
      <c r="R46" s="519">
        <v>210</v>
      </c>
      <c r="S46" s="519">
        <v>210</v>
      </c>
      <c r="T46" s="519"/>
      <c r="U46" s="519"/>
      <c r="V46" s="519"/>
      <c r="W46" s="519"/>
      <c r="X46" s="519"/>
      <c r="Y46" s="519"/>
      <c r="Z46" s="519"/>
      <c r="AA46" s="519"/>
      <c r="AB46" s="519"/>
      <c r="AC46" s="519"/>
      <c r="AD46" s="519">
        <f>715-175-50+100-50-210</f>
        <v>330</v>
      </c>
      <c r="AE46" s="519"/>
      <c r="AF46" s="615"/>
      <c r="AG46" s="616">
        <f t="shared" si="1"/>
        <v>0</v>
      </c>
    </row>
    <row r="47" spans="1:33" x14ac:dyDescent="0.3">
      <c r="A47" s="621" t="s">
        <v>170</v>
      </c>
      <c r="B47" s="622"/>
      <c r="C47" s="777"/>
      <c r="D47" s="780"/>
      <c r="E47" s="777"/>
      <c r="F47" s="116"/>
      <c r="G47" s="116"/>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102">
        <f t="shared" si="1"/>
        <v>0</v>
      </c>
    </row>
    <row r="48" spans="1:33" ht="93.75" x14ac:dyDescent="0.3">
      <c r="A48" s="790" t="s">
        <v>279</v>
      </c>
      <c r="B48" s="619"/>
      <c r="C48" s="625"/>
      <c r="D48" s="625"/>
      <c r="E48" s="625"/>
      <c r="F48" s="121"/>
      <c r="G48" s="12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f t="shared" si="1"/>
        <v>0</v>
      </c>
    </row>
    <row r="49" spans="1:38" s="617" customFormat="1" x14ac:dyDescent="0.3">
      <c r="A49" s="618" t="s">
        <v>31</v>
      </c>
      <c r="B49" s="619">
        <f>B51+B52+B50+B53</f>
        <v>0</v>
      </c>
      <c r="C49" s="619">
        <f>C51+C52+C50+C53</f>
        <v>0</v>
      </c>
      <c r="D49" s="619">
        <f>D51+D52+D50+D53</f>
        <v>0</v>
      </c>
      <c r="E49" s="619">
        <f>E51+E52+E50+E53</f>
        <v>0</v>
      </c>
      <c r="F49" s="619">
        <f>IFERROR(E49/B49*100,0)</f>
        <v>0</v>
      </c>
      <c r="G49" s="619">
        <f>IFERROR(E49/C49*100,0)</f>
        <v>0</v>
      </c>
      <c r="H49" s="619">
        <f t="shared" ref="H49:AE49" si="13">H51+H52+H50+H53</f>
        <v>0</v>
      </c>
      <c r="I49" s="619">
        <f t="shared" si="13"/>
        <v>0</v>
      </c>
      <c r="J49" s="619">
        <f t="shared" si="13"/>
        <v>0</v>
      </c>
      <c r="K49" s="619">
        <f t="shared" si="13"/>
        <v>0</v>
      </c>
      <c r="L49" s="619">
        <f t="shared" si="13"/>
        <v>0</v>
      </c>
      <c r="M49" s="619">
        <f t="shared" si="13"/>
        <v>0</v>
      </c>
      <c r="N49" s="619">
        <f t="shared" si="13"/>
        <v>0</v>
      </c>
      <c r="O49" s="619">
        <f t="shared" si="13"/>
        <v>0</v>
      </c>
      <c r="P49" s="619">
        <f t="shared" si="13"/>
        <v>0</v>
      </c>
      <c r="Q49" s="619">
        <f t="shared" si="13"/>
        <v>0</v>
      </c>
      <c r="R49" s="619">
        <f t="shared" si="13"/>
        <v>0</v>
      </c>
      <c r="S49" s="619">
        <f t="shared" si="13"/>
        <v>0</v>
      </c>
      <c r="T49" s="619">
        <f t="shared" si="13"/>
        <v>0</v>
      </c>
      <c r="U49" s="619">
        <f t="shared" si="13"/>
        <v>0</v>
      </c>
      <c r="V49" s="619">
        <f t="shared" si="13"/>
        <v>0</v>
      </c>
      <c r="W49" s="619">
        <f t="shared" si="13"/>
        <v>0</v>
      </c>
      <c r="X49" s="619">
        <f t="shared" si="13"/>
        <v>0</v>
      </c>
      <c r="Y49" s="619">
        <f t="shared" si="13"/>
        <v>0</v>
      </c>
      <c r="Z49" s="619">
        <f t="shared" si="13"/>
        <v>0</v>
      </c>
      <c r="AA49" s="619">
        <f t="shared" si="13"/>
        <v>0</v>
      </c>
      <c r="AB49" s="619">
        <f t="shared" si="13"/>
        <v>0</v>
      </c>
      <c r="AC49" s="619">
        <f t="shared" si="13"/>
        <v>0</v>
      </c>
      <c r="AD49" s="619">
        <f t="shared" si="13"/>
        <v>0</v>
      </c>
      <c r="AE49" s="619">
        <f t="shared" si="13"/>
        <v>0</v>
      </c>
      <c r="AF49" s="615"/>
      <c r="AG49" s="616">
        <f t="shared" si="1"/>
        <v>0</v>
      </c>
    </row>
    <row r="50" spans="1:38" s="617" customFormat="1" x14ac:dyDescent="0.3">
      <c r="A50" s="621" t="s">
        <v>169</v>
      </c>
      <c r="B50" s="622">
        <f>J50+L50+N50+P50+R50+T50+V50+X50+Z50+AB50+AD50+H50</f>
        <v>0</v>
      </c>
      <c r="C50" s="777">
        <f>SUM(H50)</f>
        <v>0</v>
      </c>
      <c r="D50" s="780">
        <f>E50</f>
        <v>0</v>
      </c>
      <c r="E50" s="777">
        <f>SUM(I50,K50,M50,O50,Q50,S50,U50,W50,Y50,AA50,AC50,AE50)</f>
        <v>0</v>
      </c>
      <c r="F50" s="622"/>
      <c r="G50" s="622"/>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615"/>
      <c r="AG50" s="616">
        <f t="shared" si="1"/>
        <v>0</v>
      </c>
    </row>
    <row r="51" spans="1:38" s="617" customFormat="1" x14ac:dyDescent="0.3">
      <c r="A51" s="621" t="s">
        <v>32</v>
      </c>
      <c r="B51" s="622">
        <f>J51+L51+N51+P51+R51+T51+V51+X51+Z51+AB51+AD51+H51</f>
        <v>0</v>
      </c>
      <c r="C51" s="777">
        <f>SUM(H51)</f>
        <v>0</v>
      </c>
      <c r="D51" s="780">
        <f>E51</f>
        <v>0</v>
      </c>
      <c r="E51" s="777">
        <f>SUM(I51,K51,M51,O51,Q51,S51,U51,W51,Y51,AA51,AC51,AE51)</f>
        <v>0</v>
      </c>
      <c r="F51" s="622"/>
      <c r="G51" s="622"/>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615"/>
      <c r="AG51" s="616">
        <f t="shared" si="1"/>
        <v>0</v>
      </c>
    </row>
    <row r="52" spans="1:38" s="617" customFormat="1" x14ac:dyDescent="0.3">
      <c r="A52" s="621" t="s">
        <v>33</v>
      </c>
      <c r="B52" s="622">
        <f>J52+L52+N52+P52+R52+T52+V52+X52+Z52+AB52+AD52+H52</f>
        <v>0</v>
      </c>
      <c r="C52" s="777">
        <f>SUM(H52)</f>
        <v>0</v>
      </c>
      <c r="D52" s="780">
        <f>E52</f>
        <v>0</v>
      </c>
      <c r="E52" s="777">
        <f>SUM(I52,K52,M52,O52,Q52,S52,U52,W52,Y52,AA52,AC52,AE52)</f>
        <v>0</v>
      </c>
      <c r="F52" s="622">
        <f>IFERROR(E52/B52*100,0)</f>
        <v>0</v>
      </c>
      <c r="G52" s="622">
        <f>IFERROR(E52/C52*100,0)</f>
        <v>0</v>
      </c>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519"/>
      <c r="AF52" s="615"/>
      <c r="AG52" s="616">
        <f t="shared" si="1"/>
        <v>0</v>
      </c>
    </row>
    <row r="53" spans="1:38" s="617" customFormat="1" x14ac:dyDescent="0.3">
      <c r="A53" s="621" t="s">
        <v>170</v>
      </c>
      <c r="B53" s="622"/>
      <c r="C53" s="777"/>
      <c r="D53" s="780"/>
      <c r="E53" s="777"/>
      <c r="F53" s="622"/>
      <c r="G53" s="622"/>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519"/>
      <c r="AF53" s="615"/>
      <c r="AG53" s="616">
        <f t="shared" si="1"/>
        <v>0</v>
      </c>
    </row>
    <row r="54" spans="1:38" s="617" customFormat="1" ht="93.75" x14ac:dyDescent="0.3">
      <c r="A54" s="621" t="s">
        <v>490</v>
      </c>
      <c r="B54" s="622"/>
      <c r="C54" s="777"/>
      <c r="D54" s="780"/>
      <c r="E54" s="777"/>
      <c r="F54" s="622"/>
      <c r="G54" s="622"/>
      <c r="H54" s="519"/>
      <c r="I54" s="519"/>
      <c r="J54" s="519"/>
      <c r="K54" s="519"/>
      <c r="L54" s="519"/>
      <c r="M54" s="519"/>
      <c r="N54" s="519"/>
      <c r="O54" s="519"/>
      <c r="P54" s="519"/>
      <c r="Q54" s="519"/>
      <c r="R54" s="519"/>
      <c r="S54" s="519"/>
      <c r="T54" s="519"/>
      <c r="U54" s="519"/>
      <c r="V54" s="519"/>
      <c r="W54" s="519"/>
      <c r="X54" s="519"/>
      <c r="Y54" s="519"/>
      <c r="Z54" s="519"/>
      <c r="AA54" s="519"/>
      <c r="AB54" s="519"/>
      <c r="AC54" s="519"/>
      <c r="AD54" s="519"/>
      <c r="AE54" s="519"/>
      <c r="AF54" s="615"/>
      <c r="AG54" s="616"/>
    </row>
    <row r="55" spans="1:38" s="617" customFormat="1" x14ac:dyDescent="0.3">
      <c r="A55" s="618" t="s">
        <v>31</v>
      </c>
      <c r="B55" s="622">
        <f>B58</f>
        <v>1000</v>
      </c>
      <c r="C55" s="622">
        <f>C58</f>
        <v>0</v>
      </c>
      <c r="D55" s="622">
        <f>D58</f>
        <v>0</v>
      </c>
      <c r="E55" s="622">
        <f>E58</f>
        <v>0</v>
      </c>
      <c r="F55" s="622">
        <f>IFERROR(E55/B55*100,0)</f>
        <v>0</v>
      </c>
      <c r="G55" s="622">
        <f>IFERROR(E55/C55*100,0)</f>
        <v>0</v>
      </c>
      <c r="H55" s="519">
        <f>H58</f>
        <v>0</v>
      </c>
      <c r="I55" s="519">
        <f t="shared" ref="I55:AF55" si="14">I58</f>
        <v>0</v>
      </c>
      <c r="J55" s="519">
        <f t="shared" si="14"/>
        <v>0</v>
      </c>
      <c r="K55" s="519">
        <f t="shared" si="14"/>
        <v>0</v>
      </c>
      <c r="L55" s="519">
        <f t="shared" si="14"/>
        <v>0</v>
      </c>
      <c r="M55" s="519">
        <f t="shared" si="14"/>
        <v>0</v>
      </c>
      <c r="N55" s="519">
        <f t="shared" si="14"/>
        <v>0</v>
      </c>
      <c r="O55" s="519">
        <f t="shared" si="14"/>
        <v>0</v>
      </c>
      <c r="P55" s="519">
        <f t="shared" si="14"/>
        <v>0</v>
      </c>
      <c r="Q55" s="519">
        <f t="shared" si="14"/>
        <v>0</v>
      </c>
      <c r="R55" s="519">
        <f t="shared" si="14"/>
        <v>0</v>
      </c>
      <c r="S55" s="519">
        <f t="shared" si="14"/>
        <v>0</v>
      </c>
      <c r="T55" s="519">
        <f t="shared" si="14"/>
        <v>1000</v>
      </c>
      <c r="U55" s="519">
        <f t="shared" si="14"/>
        <v>0</v>
      </c>
      <c r="V55" s="519">
        <f t="shared" si="14"/>
        <v>0</v>
      </c>
      <c r="W55" s="519">
        <f t="shared" si="14"/>
        <v>0</v>
      </c>
      <c r="X55" s="519">
        <f t="shared" si="14"/>
        <v>0</v>
      </c>
      <c r="Y55" s="519">
        <f t="shared" si="14"/>
        <v>0</v>
      </c>
      <c r="Z55" s="519">
        <f t="shared" si="14"/>
        <v>0</v>
      </c>
      <c r="AA55" s="519">
        <f t="shared" si="14"/>
        <v>0</v>
      </c>
      <c r="AB55" s="519">
        <f t="shared" si="14"/>
        <v>0</v>
      </c>
      <c r="AC55" s="519">
        <f t="shared" si="14"/>
        <v>0</v>
      </c>
      <c r="AD55" s="519">
        <f t="shared" si="14"/>
        <v>0</v>
      </c>
      <c r="AE55" s="519">
        <f t="shared" si="14"/>
        <v>0</v>
      </c>
      <c r="AF55" s="519">
        <f t="shared" si="14"/>
        <v>0</v>
      </c>
      <c r="AG55" s="616"/>
    </row>
    <row r="56" spans="1:38" s="617" customFormat="1" x14ac:dyDescent="0.3">
      <c r="A56" s="621" t="s">
        <v>169</v>
      </c>
      <c r="B56" s="622">
        <f>J56+L56+N56+P56+R56+T56+V56+X56+Z56+AB56+AD56+H56</f>
        <v>0</v>
      </c>
      <c r="C56" s="777">
        <f>SUM(H56)</f>
        <v>0</v>
      </c>
      <c r="D56" s="780">
        <f>E56</f>
        <v>0</v>
      </c>
      <c r="E56" s="777">
        <f>SUM(I56,K56,M56,O56,Q56,S56,U56,W56,Y56,AA56,AC56,AE56)</f>
        <v>0</v>
      </c>
      <c r="F56" s="622"/>
      <c r="G56" s="622"/>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615"/>
      <c r="AG56" s="616"/>
    </row>
    <row r="57" spans="1:38" s="617" customFormat="1" x14ac:dyDescent="0.3">
      <c r="A57" s="621" t="s">
        <v>32</v>
      </c>
      <c r="B57" s="622">
        <f>J57+L57+N57+P57+R57+T57+V57+X57+Z57+AB57+AD57+H57</f>
        <v>0</v>
      </c>
      <c r="C57" s="777">
        <f>SUM(H57)</f>
        <v>0</v>
      </c>
      <c r="D57" s="780">
        <f>E57</f>
        <v>0</v>
      </c>
      <c r="E57" s="777">
        <f>SUM(I57,K57,M57,O57,Q57,S57,U57,W57,Y57,AA57,AC57,AE57)</f>
        <v>0</v>
      </c>
      <c r="F57" s="622"/>
      <c r="G57" s="622"/>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c r="AE57" s="519"/>
      <c r="AF57" s="615"/>
      <c r="AG57" s="616"/>
    </row>
    <row r="58" spans="1:38" s="617" customFormat="1" x14ac:dyDescent="0.3">
      <c r="A58" s="621" t="s">
        <v>33</v>
      </c>
      <c r="B58" s="622">
        <f>J58+L58+N58+P58+R58+T58+V58+X58+Z58+AB58+AD58+H58</f>
        <v>1000</v>
      </c>
      <c r="C58" s="777">
        <f>H58+J58</f>
        <v>0</v>
      </c>
      <c r="D58" s="780">
        <f>E58</f>
        <v>0</v>
      </c>
      <c r="E58" s="777">
        <f>SUM(I58,K58,M58,O58,Q58,S58,U58,W58,Y58,AA58,AC58,AE58)</f>
        <v>0</v>
      </c>
      <c r="F58" s="622">
        <f>IFERROR(E58/B58*100,0)</f>
        <v>0</v>
      </c>
      <c r="G58" s="622">
        <f>IFERROR(E58/C58*100,0)</f>
        <v>0</v>
      </c>
      <c r="H58" s="519"/>
      <c r="I58" s="519"/>
      <c r="J58" s="519"/>
      <c r="K58" s="519"/>
      <c r="L58" s="519"/>
      <c r="M58" s="519"/>
      <c r="N58" s="519"/>
      <c r="O58" s="519"/>
      <c r="P58" s="519"/>
      <c r="Q58" s="519"/>
      <c r="R58" s="519"/>
      <c r="S58" s="519"/>
      <c r="T58" s="519">
        <v>1000</v>
      </c>
      <c r="U58" s="519"/>
      <c r="V58" s="519"/>
      <c r="W58" s="519"/>
      <c r="X58" s="519"/>
      <c r="Y58" s="519"/>
      <c r="Z58" s="519"/>
      <c r="AA58" s="519"/>
      <c r="AB58" s="519"/>
      <c r="AC58" s="519"/>
      <c r="AD58" s="519"/>
      <c r="AE58" s="519"/>
      <c r="AF58" s="615"/>
      <c r="AG58" s="616"/>
    </row>
    <row r="59" spans="1:38" ht="23.25" x14ac:dyDescent="0.35">
      <c r="A59" s="621" t="s">
        <v>170</v>
      </c>
      <c r="B59" s="622"/>
      <c r="C59" s="777"/>
      <c r="D59" s="780"/>
      <c r="E59" s="777"/>
      <c r="F59" s="116"/>
      <c r="G59" s="116"/>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29"/>
      <c r="AG59" s="102"/>
      <c r="AH59" s="731"/>
      <c r="AI59" s="617"/>
      <c r="AJ59" s="617"/>
      <c r="AK59" s="617"/>
      <c r="AL59" s="617"/>
    </row>
    <row r="60" spans="1:38" ht="56.25" x14ac:dyDescent="0.3">
      <c r="A60" s="124" t="s">
        <v>280</v>
      </c>
      <c r="B60" s="104"/>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01"/>
      <c r="AG60" s="102">
        <f t="shared" si="1"/>
        <v>0</v>
      </c>
    </row>
    <row r="61" spans="1:38" x14ac:dyDescent="0.3">
      <c r="A61" s="103" t="s">
        <v>31</v>
      </c>
      <c r="B61" s="104">
        <f>B62+B63+B64</f>
        <v>69927.900179999997</v>
      </c>
      <c r="C61" s="104">
        <f>C62+C63+C64</f>
        <v>37484.920429999998</v>
      </c>
      <c r="D61" s="104">
        <f>D62+D63+D64</f>
        <v>35291.93</v>
      </c>
      <c r="E61" s="104">
        <f>E62+E63+E64</f>
        <v>35291.93</v>
      </c>
      <c r="F61" s="105">
        <f>IFERROR(E61/B61*100,0)</f>
        <v>50.469025823964053</v>
      </c>
      <c r="G61" s="105">
        <f>IFERROR(E61/C61*100,0)</f>
        <v>94.149672975576337</v>
      </c>
      <c r="H61" s="104">
        <f t="shared" ref="H61:AE61" si="15">H62+H63+H64</f>
        <v>3972.4162900000001</v>
      </c>
      <c r="I61" s="104">
        <f t="shared" si="15"/>
        <v>946.54</v>
      </c>
      <c r="J61" s="104">
        <f t="shared" si="15"/>
        <v>7125.1399999999994</v>
      </c>
      <c r="K61" s="104">
        <f t="shared" si="15"/>
        <v>6387.9299999999994</v>
      </c>
      <c r="L61" s="104">
        <f t="shared" si="15"/>
        <v>7453.4286400000001</v>
      </c>
      <c r="M61" s="104">
        <f t="shared" si="15"/>
        <v>6591.97</v>
      </c>
      <c r="N61" s="104">
        <f t="shared" si="15"/>
        <v>4162.2995900000005</v>
      </c>
      <c r="O61" s="104">
        <f t="shared" si="15"/>
        <v>6593.8499999999995</v>
      </c>
      <c r="P61" s="104">
        <f t="shared" si="15"/>
        <v>7126.4871299999995</v>
      </c>
      <c r="Q61" s="104">
        <f t="shared" si="15"/>
        <v>7126.49</v>
      </c>
      <c r="R61" s="104">
        <f t="shared" si="15"/>
        <v>7645.1487799999995</v>
      </c>
      <c r="S61" s="104">
        <f t="shared" si="15"/>
        <v>7645.1500000000005</v>
      </c>
      <c r="T61" s="104">
        <f t="shared" si="15"/>
        <v>727.52638999999999</v>
      </c>
      <c r="U61" s="104">
        <f t="shared" si="15"/>
        <v>0</v>
      </c>
      <c r="V61" s="104">
        <f t="shared" si="15"/>
        <v>732.44828000000007</v>
      </c>
      <c r="W61" s="104">
        <f t="shared" si="15"/>
        <v>0</v>
      </c>
      <c r="X61" s="104">
        <f t="shared" si="15"/>
        <v>3753.5122000000001</v>
      </c>
      <c r="Y61" s="104">
        <f t="shared" si="15"/>
        <v>0</v>
      </c>
      <c r="Z61" s="104">
        <f t="shared" si="15"/>
        <v>3758.4229400000004</v>
      </c>
      <c r="AA61" s="104">
        <f t="shared" si="15"/>
        <v>0</v>
      </c>
      <c r="AB61" s="104">
        <f t="shared" si="15"/>
        <v>3827.36879</v>
      </c>
      <c r="AC61" s="104">
        <f t="shared" si="15"/>
        <v>0</v>
      </c>
      <c r="AD61" s="104">
        <f t="shared" si="15"/>
        <v>19643.701149999997</v>
      </c>
      <c r="AE61" s="104">
        <f t="shared" si="15"/>
        <v>0</v>
      </c>
      <c r="AF61" s="101"/>
      <c r="AG61" s="102">
        <f t="shared" si="1"/>
        <v>0</v>
      </c>
    </row>
    <row r="62" spans="1:38" x14ac:dyDescent="0.3">
      <c r="A62" s="106" t="s">
        <v>169</v>
      </c>
      <c r="B62" s="107">
        <f>B68+B74</f>
        <v>0</v>
      </c>
      <c r="C62" s="107">
        <f>C68+C74</f>
        <v>0</v>
      </c>
      <c r="D62" s="107">
        <f>D68+D74</f>
        <v>0</v>
      </c>
      <c r="E62" s="107">
        <f>E68+E74</f>
        <v>0</v>
      </c>
      <c r="F62" s="107">
        <f>IFERROR(E62/B62*100,0)</f>
        <v>0</v>
      </c>
      <c r="G62" s="107">
        <f>IFERROR(E62/C62*100,0)</f>
        <v>0</v>
      </c>
      <c r="H62" s="107">
        <f t="shared" ref="H62:AE65" si="16">H68+H74</f>
        <v>0</v>
      </c>
      <c r="I62" s="107">
        <f t="shared" si="16"/>
        <v>0</v>
      </c>
      <c r="J62" s="107">
        <f t="shared" si="16"/>
        <v>0</v>
      </c>
      <c r="K62" s="107">
        <f t="shared" si="16"/>
        <v>0</v>
      </c>
      <c r="L62" s="107">
        <f t="shared" si="16"/>
        <v>0</v>
      </c>
      <c r="M62" s="107">
        <f t="shared" si="16"/>
        <v>0</v>
      </c>
      <c r="N62" s="107">
        <f t="shared" si="16"/>
        <v>0</v>
      </c>
      <c r="O62" s="107">
        <f t="shared" si="16"/>
        <v>0</v>
      </c>
      <c r="P62" s="107">
        <f t="shared" si="16"/>
        <v>0</v>
      </c>
      <c r="Q62" s="107">
        <f t="shared" si="16"/>
        <v>0</v>
      </c>
      <c r="R62" s="107">
        <f t="shared" si="16"/>
        <v>0</v>
      </c>
      <c r="S62" s="107">
        <f t="shared" si="16"/>
        <v>0</v>
      </c>
      <c r="T62" s="107">
        <f t="shared" si="16"/>
        <v>0</v>
      </c>
      <c r="U62" s="107">
        <f t="shared" si="16"/>
        <v>0</v>
      </c>
      <c r="V62" s="107">
        <f t="shared" si="16"/>
        <v>0</v>
      </c>
      <c r="W62" s="107">
        <f t="shared" si="16"/>
        <v>0</v>
      </c>
      <c r="X62" s="107">
        <f t="shared" si="16"/>
        <v>0</v>
      </c>
      <c r="Y62" s="107">
        <f t="shared" si="16"/>
        <v>0</v>
      </c>
      <c r="Z62" s="107">
        <f t="shared" si="16"/>
        <v>0</v>
      </c>
      <c r="AA62" s="107">
        <f t="shared" si="16"/>
        <v>0</v>
      </c>
      <c r="AB62" s="107">
        <f t="shared" si="16"/>
        <v>0</v>
      </c>
      <c r="AC62" s="107">
        <f t="shared" si="16"/>
        <v>0</v>
      </c>
      <c r="AD62" s="107">
        <f t="shared" si="16"/>
        <v>0</v>
      </c>
      <c r="AE62" s="107">
        <f t="shared" si="16"/>
        <v>0</v>
      </c>
      <c r="AF62" s="101"/>
      <c r="AG62" s="102">
        <f t="shared" si="1"/>
        <v>0</v>
      </c>
    </row>
    <row r="63" spans="1:38" x14ac:dyDescent="0.3">
      <c r="A63" s="106" t="s">
        <v>32</v>
      </c>
      <c r="B63" s="107">
        <f t="shared" ref="B63:E65" si="17">B69+B75</f>
        <v>0</v>
      </c>
      <c r="C63" s="107">
        <f t="shared" si="17"/>
        <v>0</v>
      </c>
      <c r="D63" s="107">
        <f t="shared" si="17"/>
        <v>0</v>
      </c>
      <c r="E63" s="107">
        <f t="shared" si="17"/>
        <v>0</v>
      </c>
      <c r="F63" s="107">
        <f>IFERROR(E63/B63*100,0)</f>
        <v>0</v>
      </c>
      <c r="G63" s="107">
        <f>IFERROR(E63/C63*100,0)</f>
        <v>0</v>
      </c>
      <c r="H63" s="107">
        <f t="shared" si="16"/>
        <v>0</v>
      </c>
      <c r="I63" s="107">
        <f t="shared" si="16"/>
        <v>0</v>
      </c>
      <c r="J63" s="107">
        <f t="shared" si="16"/>
        <v>0</v>
      </c>
      <c r="K63" s="107">
        <f t="shared" si="16"/>
        <v>0</v>
      </c>
      <c r="L63" s="107">
        <f t="shared" si="16"/>
        <v>0</v>
      </c>
      <c r="M63" s="107">
        <f t="shared" si="16"/>
        <v>0</v>
      </c>
      <c r="N63" s="107">
        <f t="shared" si="16"/>
        <v>0</v>
      </c>
      <c r="O63" s="107">
        <f t="shared" si="16"/>
        <v>0</v>
      </c>
      <c r="P63" s="107">
        <f t="shared" si="16"/>
        <v>0</v>
      </c>
      <c r="Q63" s="107">
        <f t="shared" si="16"/>
        <v>0</v>
      </c>
      <c r="R63" s="107">
        <f t="shared" si="16"/>
        <v>0</v>
      </c>
      <c r="S63" s="107">
        <f t="shared" si="16"/>
        <v>0</v>
      </c>
      <c r="T63" s="107">
        <f t="shared" si="16"/>
        <v>0</v>
      </c>
      <c r="U63" s="107">
        <f t="shared" si="16"/>
        <v>0</v>
      </c>
      <c r="V63" s="107">
        <f t="shared" si="16"/>
        <v>0</v>
      </c>
      <c r="W63" s="107">
        <f t="shared" si="16"/>
        <v>0</v>
      </c>
      <c r="X63" s="107">
        <f t="shared" si="16"/>
        <v>0</v>
      </c>
      <c r="Y63" s="107">
        <f t="shared" si="16"/>
        <v>0</v>
      </c>
      <c r="Z63" s="107">
        <f t="shared" si="16"/>
        <v>0</v>
      </c>
      <c r="AA63" s="107">
        <f t="shared" si="16"/>
        <v>0</v>
      </c>
      <c r="AB63" s="107">
        <f t="shared" si="16"/>
        <v>0</v>
      </c>
      <c r="AC63" s="107">
        <f t="shared" si="16"/>
        <v>0</v>
      </c>
      <c r="AD63" s="107">
        <f t="shared" si="16"/>
        <v>0</v>
      </c>
      <c r="AE63" s="107">
        <f t="shared" si="16"/>
        <v>0</v>
      </c>
      <c r="AF63" s="101"/>
      <c r="AG63" s="102">
        <f t="shared" si="1"/>
        <v>0</v>
      </c>
    </row>
    <row r="64" spans="1:38" x14ac:dyDescent="0.3">
      <c r="A64" s="106" t="s">
        <v>33</v>
      </c>
      <c r="B64" s="107">
        <f t="shared" si="17"/>
        <v>69927.900179999997</v>
      </c>
      <c r="C64" s="107">
        <f>C70+C76</f>
        <v>37484.920429999998</v>
      </c>
      <c r="D64" s="107">
        <f t="shared" si="17"/>
        <v>35291.93</v>
      </c>
      <c r="E64" s="107">
        <f t="shared" si="17"/>
        <v>35291.93</v>
      </c>
      <c r="F64" s="107">
        <f>IFERROR(E64/B64*100,0)</f>
        <v>50.469025823964053</v>
      </c>
      <c r="G64" s="107">
        <f>IFERROR(E64/C64*100,0)</f>
        <v>94.149672975576337</v>
      </c>
      <c r="H64" s="107">
        <f t="shared" si="16"/>
        <v>3972.4162900000001</v>
      </c>
      <c r="I64" s="107">
        <f t="shared" si="16"/>
        <v>946.54</v>
      </c>
      <c r="J64" s="107">
        <f t="shared" si="16"/>
        <v>7125.1399999999994</v>
      </c>
      <c r="K64" s="107">
        <f t="shared" si="16"/>
        <v>6387.9299999999994</v>
      </c>
      <c r="L64" s="107">
        <f t="shared" si="16"/>
        <v>7453.4286400000001</v>
      </c>
      <c r="M64" s="107">
        <f t="shared" si="16"/>
        <v>6591.97</v>
      </c>
      <c r="N64" s="107">
        <f t="shared" si="16"/>
        <v>4162.2995900000005</v>
      </c>
      <c r="O64" s="107">
        <f t="shared" si="16"/>
        <v>6593.8499999999995</v>
      </c>
      <c r="P64" s="107">
        <f t="shared" si="16"/>
        <v>7126.4871299999995</v>
      </c>
      <c r="Q64" s="107">
        <f t="shared" si="16"/>
        <v>7126.49</v>
      </c>
      <c r="R64" s="107">
        <f t="shared" si="16"/>
        <v>7645.1487799999995</v>
      </c>
      <c r="S64" s="107">
        <f t="shared" si="16"/>
        <v>7645.1500000000005</v>
      </c>
      <c r="T64" s="107">
        <f t="shared" si="16"/>
        <v>727.52638999999999</v>
      </c>
      <c r="U64" s="107">
        <f t="shared" si="16"/>
        <v>0</v>
      </c>
      <c r="V64" s="107">
        <f t="shared" si="16"/>
        <v>732.44828000000007</v>
      </c>
      <c r="W64" s="107">
        <f t="shared" si="16"/>
        <v>0</v>
      </c>
      <c r="X64" s="107">
        <f t="shared" si="16"/>
        <v>3753.5122000000001</v>
      </c>
      <c r="Y64" s="107">
        <f t="shared" si="16"/>
        <v>0</v>
      </c>
      <c r="Z64" s="107">
        <f t="shared" si="16"/>
        <v>3758.4229400000004</v>
      </c>
      <c r="AA64" s="107">
        <f t="shared" si="16"/>
        <v>0</v>
      </c>
      <c r="AB64" s="107">
        <f t="shared" si="16"/>
        <v>3827.36879</v>
      </c>
      <c r="AC64" s="107">
        <f t="shared" si="16"/>
        <v>0</v>
      </c>
      <c r="AD64" s="107">
        <f t="shared" si="16"/>
        <v>19643.701149999997</v>
      </c>
      <c r="AE64" s="107">
        <f t="shared" si="16"/>
        <v>0</v>
      </c>
      <c r="AF64" s="101"/>
      <c r="AG64" s="102">
        <f t="shared" si="1"/>
        <v>0</v>
      </c>
    </row>
    <row r="65" spans="1:33" x14ac:dyDescent="0.3">
      <c r="A65" s="106" t="s">
        <v>170</v>
      </c>
      <c r="B65" s="107">
        <f t="shared" si="17"/>
        <v>0</v>
      </c>
      <c r="C65" s="107">
        <f t="shared" si="17"/>
        <v>0</v>
      </c>
      <c r="D65" s="107">
        <f t="shared" si="17"/>
        <v>0</v>
      </c>
      <c r="E65" s="107">
        <f t="shared" si="17"/>
        <v>0</v>
      </c>
      <c r="F65" s="107">
        <f>IFERROR(E65/B65*100,0)</f>
        <v>0</v>
      </c>
      <c r="G65" s="107">
        <f>IFERROR(E65/C65*100,0)</f>
        <v>0</v>
      </c>
      <c r="H65" s="107">
        <f t="shared" si="16"/>
        <v>0</v>
      </c>
      <c r="I65" s="107">
        <f t="shared" si="16"/>
        <v>0</v>
      </c>
      <c r="J65" s="107">
        <f t="shared" si="16"/>
        <v>0</v>
      </c>
      <c r="K65" s="107">
        <f t="shared" si="16"/>
        <v>0</v>
      </c>
      <c r="L65" s="107">
        <f t="shared" si="16"/>
        <v>0</v>
      </c>
      <c r="M65" s="107">
        <f t="shared" si="16"/>
        <v>0</v>
      </c>
      <c r="N65" s="107">
        <f t="shared" si="16"/>
        <v>0</v>
      </c>
      <c r="O65" s="107">
        <f t="shared" si="16"/>
        <v>0</v>
      </c>
      <c r="P65" s="107">
        <f t="shared" si="16"/>
        <v>0</v>
      </c>
      <c r="Q65" s="107">
        <f t="shared" si="16"/>
        <v>0</v>
      </c>
      <c r="R65" s="107">
        <f t="shared" si="16"/>
        <v>0</v>
      </c>
      <c r="S65" s="107">
        <f t="shared" si="16"/>
        <v>0</v>
      </c>
      <c r="T65" s="107">
        <f t="shared" si="16"/>
        <v>0</v>
      </c>
      <c r="U65" s="107">
        <f t="shared" si="16"/>
        <v>0</v>
      </c>
      <c r="V65" s="107">
        <f t="shared" si="16"/>
        <v>0</v>
      </c>
      <c r="W65" s="107">
        <f t="shared" si="16"/>
        <v>0</v>
      </c>
      <c r="X65" s="107">
        <f t="shared" si="16"/>
        <v>0</v>
      </c>
      <c r="Y65" s="107">
        <f t="shared" si="16"/>
        <v>0</v>
      </c>
      <c r="Z65" s="107">
        <f t="shared" si="16"/>
        <v>0</v>
      </c>
      <c r="AA65" s="107">
        <f t="shared" si="16"/>
        <v>0</v>
      </c>
      <c r="AB65" s="107">
        <f t="shared" si="16"/>
        <v>0</v>
      </c>
      <c r="AC65" s="107">
        <f t="shared" si="16"/>
        <v>0</v>
      </c>
      <c r="AD65" s="107">
        <f t="shared" si="16"/>
        <v>0</v>
      </c>
      <c r="AE65" s="107">
        <f t="shared" si="16"/>
        <v>0</v>
      </c>
      <c r="AF65" s="101"/>
      <c r="AG65" s="102">
        <f t="shared" si="1"/>
        <v>0</v>
      </c>
    </row>
    <row r="66" spans="1:33" ht="120" customHeight="1" x14ac:dyDescent="0.3">
      <c r="A66" s="778" t="s">
        <v>281</v>
      </c>
      <c r="B66" s="622"/>
      <c r="C66" s="110"/>
      <c r="D66" s="110"/>
      <c r="E66" s="110"/>
      <c r="F66" s="110"/>
      <c r="G66" s="110"/>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29"/>
      <c r="AG66" s="102">
        <f t="shared" si="1"/>
        <v>0</v>
      </c>
    </row>
    <row r="67" spans="1:33" s="617" customFormat="1" x14ac:dyDescent="0.3">
      <c r="A67" s="618" t="s">
        <v>31</v>
      </c>
      <c r="B67" s="619">
        <f>B69+B70+B68+B71</f>
        <v>13840.600059999999</v>
      </c>
      <c r="C67" s="783">
        <f>C69+C70+C68+C71</f>
        <v>8271.2020599999996</v>
      </c>
      <c r="D67" s="783">
        <f>D69+D70+D68+D71</f>
        <v>8271.2099999999991</v>
      </c>
      <c r="E67" s="783">
        <f>E69+E70+E68+E71</f>
        <v>8271.2099999999991</v>
      </c>
      <c r="F67" s="783">
        <f>IFERROR(E67/B67*100,0)</f>
        <v>59.76048700304689</v>
      </c>
      <c r="G67" s="783">
        <f>IFERROR(E67/C67*100,0)</f>
        <v>100.00009599572036</v>
      </c>
      <c r="H67" s="783">
        <f t="shared" ref="H67:AE67" si="18">H69+H70+H68+H71</f>
        <v>946.54494</v>
      </c>
      <c r="I67" s="783">
        <f t="shared" si="18"/>
        <v>946.54</v>
      </c>
      <c r="J67" s="783">
        <f t="shared" si="18"/>
        <v>1750.03</v>
      </c>
      <c r="K67" s="783">
        <f t="shared" si="18"/>
        <v>1750.03</v>
      </c>
      <c r="L67" s="619">
        <f t="shared" si="18"/>
        <v>1033.9486400000001</v>
      </c>
      <c r="M67" s="619">
        <f t="shared" si="18"/>
        <v>1033.95</v>
      </c>
      <c r="N67" s="619">
        <f t="shared" si="18"/>
        <v>913.69605000000001</v>
      </c>
      <c r="O67" s="619">
        <f t="shared" si="18"/>
        <v>913.7</v>
      </c>
      <c r="P67" s="619">
        <f t="shared" si="18"/>
        <v>1939.30654</v>
      </c>
      <c r="Q67" s="619">
        <f t="shared" si="18"/>
        <v>1939.31</v>
      </c>
      <c r="R67" s="783">
        <f t="shared" si="18"/>
        <v>1687.67589</v>
      </c>
      <c r="S67" s="619">
        <f t="shared" si="18"/>
        <v>1687.68</v>
      </c>
      <c r="T67" s="619">
        <f t="shared" si="18"/>
        <v>668.36639000000002</v>
      </c>
      <c r="U67" s="619">
        <f t="shared" si="18"/>
        <v>0</v>
      </c>
      <c r="V67" s="619">
        <f t="shared" si="18"/>
        <v>680.05839000000003</v>
      </c>
      <c r="W67" s="619">
        <f t="shared" si="18"/>
        <v>0</v>
      </c>
      <c r="X67" s="619">
        <f t="shared" si="18"/>
        <v>747.69055000000003</v>
      </c>
      <c r="Y67" s="619">
        <f t="shared" si="18"/>
        <v>0</v>
      </c>
      <c r="Z67" s="619">
        <f t="shared" si="18"/>
        <v>880.38229999999999</v>
      </c>
      <c r="AA67" s="619">
        <f t="shared" si="18"/>
        <v>0</v>
      </c>
      <c r="AB67" s="619">
        <f t="shared" si="18"/>
        <v>906.12879999999996</v>
      </c>
      <c r="AC67" s="619">
        <f t="shared" si="18"/>
        <v>0</v>
      </c>
      <c r="AD67" s="625">
        <f t="shared" si="18"/>
        <v>1686.7715700000001</v>
      </c>
      <c r="AE67" s="619">
        <f t="shared" si="18"/>
        <v>0</v>
      </c>
      <c r="AF67" s="615"/>
      <c r="AG67" s="616">
        <f t="shared" si="1"/>
        <v>-3.4106051316484809E-12</v>
      </c>
    </row>
    <row r="68" spans="1:33" x14ac:dyDescent="0.3">
      <c r="A68" s="621" t="s">
        <v>169</v>
      </c>
      <c r="B68" s="622">
        <f>J68+L68+N68+P68+R68+T68+V68+X68+Z68+AB68+AD68+H68</f>
        <v>0</v>
      </c>
      <c r="C68" s="117">
        <f>SUM(H68)</f>
        <v>0</v>
      </c>
      <c r="D68" s="118">
        <f>E68</f>
        <v>0</v>
      </c>
      <c r="E68" s="117">
        <f>SUM(I68,K68,M68,O68,Q68,S68,U68,W68,Y68,AA68,AC68,AE68)</f>
        <v>0</v>
      </c>
      <c r="F68" s="116"/>
      <c r="G68" s="116"/>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29"/>
      <c r="AG68" s="102">
        <f t="shared" si="1"/>
        <v>0</v>
      </c>
    </row>
    <row r="69" spans="1:33" x14ac:dyDescent="0.3">
      <c r="A69" s="621" t="s">
        <v>32</v>
      </c>
      <c r="B69" s="622">
        <f>J69+L69+N69+P69+R69+T69+V69+X69+Z69+AB69+AD69+H69</f>
        <v>0</v>
      </c>
      <c r="C69" s="117">
        <f>SUM(H69)</f>
        <v>0</v>
      </c>
      <c r="D69" s="118">
        <f>E69</f>
        <v>0</v>
      </c>
      <c r="E69" s="117">
        <f>SUM(I69,K69,M69,O69,Q69,S69,U69,W69,Y69,AA69,AC69,AE69)</f>
        <v>0</v>
      </c>
      <c r="F69" s="116"/>
      <c r="G69" s="116"/>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29"/>
      <c r="AG69" s="102">
        <f t="shared" si="1"/>
        <v>0</v>
      </c>
    </row>
    <row r="70" spans="1:33" s="617" customFormat="1" x14ac:dyDescent="0.3">
      <c r="A70" s="621" t="s">
        <v>33</v>
      </c>
      <c r="B70" s="622">
        <f>J70+L70+N70+P70+R70+T70+V70+X70+Z70+AB70+AD70+H70</f>
        <v>13840.600059999999</v>
      </c>
      <c r="C70" s="777">
        <f>H70+J70+L70+N70+P70+R70</f>
        <v>8271.2020599999996</v>
      </c>
      <c r="D70" s="780">
        <f>E70</f>
        <v>8271.2099999999991</v>
      </c>
      <c r="E70" s="777">
        <f>SUM(I70,K70,M70,O70,Q70,S70,U70,W70,Y70,AA70,AC70,AE70)</f>
        <v>8271.2099999999991</v>
      </c>
      <c r="F70" s="622">
        <f>IFERROR(E70/B70*100,0)</f>
        <v>59.76048700304689</v>
      </c>
      <c r="G70" s="622">
        <f>IFERROR(E70/C70*100,0)</f>
        <v>100.00009599572036</v>
      </c>
      <c r="H70" s="519">
        <f>946.57494-0.03</f>
        <v>946.54494</v>
      </c>
      <c r="I70" s="519">
        <v>946.54</v>
      </c>
      <c r="J70" s="519">
        <v>1750.03</v>
      </c>
      <c r="K70" s="519">
        <v>1750.03</v>
      </c>
      <c r="L70" s="519">
        <v>1033.9486400000001</v>
      </c>
      <c r="M70" s="519">
        <v>1033.95</v>
      </c>
      <c r="N70" s="519">
        <v>913.69605000000001</v>
      </c>
      <c r="O70" s="519">
        <v>913.7</v>
      </c>
      <c r="P70" s="519">
        <v>1939.30654</v>
      </c>
      <c r="Q70" s="519">
        <v>1939.31</v>
      </c>
      <c r="R70" s="519">
        <f>0.03+1650.94589+37.2-0.5</f>
        <v>1687.67589</v>
      </c>
      <c r="S70" s="519">
        <v>1687.68</v>
      </c>
      <c r="T70" s="519">
        <v>668.36639000000002</v>
      </c>
      <c r="U70" s="519"/>
      <c r="V70" s="519">
        <v>680.05839000000003</v>
      </c>
      <c r="W70" s="519"/>
      <c r="X70" s="519">
        <v>747.69055000000003</v>
      </c>
      <c r="Y70" s="519"/>
      <c r="Z70" s="519">
        <v>880.38229999999999</v>
      </c>
      <c r="AA70" s="519"/>
      <c r="AB70" s="519">
        <v>906.12879999999996</v>
      </c>
      <c r="AC70" s="519"/>
      <c r="AD70" s="519">
        <f>1719.11157-32.34</f>
        <v>1686.7715700000001</v>
      </c>
      <c r="AE70" s="519"/>
      <c r="AF70" s="615"/>
      <c r="AG70" s="616">
        <f t="shared" si="1"/>
        <v>-3.4106051316484809E-12</v>
      </c>
    </row>
    <row r="71" spans="1:33" x14ac:dyDescent="0.3">
      <c r="A71" s="115" t="s">
        <v>170</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f t="shared" si="1"/>
        <v>0</v>
      </c>
    </row>
    <row r="72" spans="1:33" ht="87" customHeight="1" x14ac:dyDescent="0.3">
      <c r="A72" s="790" t="s">
        <v>282</v>
      </c>
      <c r="B72" s="622"/>
      <c r="C72" s="110"/>
      <c r="D72" s="110"/>
      <c r="E72" s="110"/>
      <c r="F72" s="110"/>
      <c r="G72" s="110"/>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29"/>
      <c r="AG72" s="102">
        <f t="shared" si="1"/>
        <v>0</v>
      </c>
    </row>
    <row r="73" spans="1:33" s="617" customFormat="1" x14ac:dyDescent="0.3">
      <c r="A73" s="618" t="s">
        <v>31</v>
      </c>
      <c r="B73" s="619">
        <f>B75+B76+B74+B77</f>
        <v>56087.30012</v>
      </c>
      <c r="C73" s="783">
        <f>C75+C76+C74+C77</f>
        <v>29213.718370000002</v>
      </c>
      <c r="D73" s="783">
        <f>D75+D76+D74+D77</f>
        <v>27020.720000000001</v>
      </c>
      <c r="E73" s="783">
        <f>E75+E76+E74+E77</f>
        <v>27020.720000000001</v>
      </c>
      <c r="F73" s="783">
        <f>IFERROR(E73/B73*100,0)</f>
        <v>48.176182383870469</v>
      </c>
      <c r="G73" s="783">
        <f>IFERROR(E73/C73*100,0)</f>
        <v>92.493258330812068</v>
      </c>
      <c r="H73" s="783">
        <f t="shared" ref="H73:AE73" si="19">H75+H76+H74+H77</f>
        <v>3025.8713499999999</v>
      </c>
      <c r="I73" s="783">
        <f t="shared" si="19"/>
        <v>0</v>
      </c>
      <c r="J73" s="783">
        <f t="shared" si="19"/>
        <v>5375.11</v>
      </c>
      <c r="K73" s="783">
        <f t="shared" si="19"/>
        <v>4637.8999999999996</v>
      </c>
      <c r="L73" s="783">
        <f t="shared" si="19"/>
        <v>6419.48</v>
      </c>
      <c r="M73" s="783">
        <f>M75+M76+M74+M77</f>
        <v>5558.02</v>
      </c>
      <c r="N73" s="783">
        <f t="shared" si="19"/>
        <v>3248.6035400000001</v>
      </c>
      <c r="O73" s="783">
        <f t="shared" si="19"/>
        <v>5680.15</v>
      </c>
      <c r="P73" s="783">
        <f t="shared" si="19"/>
        <v>5187.1805899999999</v>
      </c>
      <c r="Q73" s="783">
        <f t="shared" si="19"/>
        <v>5187.18</v>
      </c>
      <c r="R73" s="783">
        <f t="shared" si="19"/>
        <v>5957.47289</v>
      </c>
      <c r="S73" s="783">
        <f t="shared" si="19"/>
        <v>5957.47</v>
      </c>
      <c r="T73" s="783">
        <f t="shared" si="19"/>
        <v>59.16</v>
      </c>
      <c r="U73" s="783">
        <f t="shared" si="19"/>
        <v>0</v>
      </c>
      <c r="V73" s="619">
        <f t="shared" si="19"/>
        <v>52.389890000000001</v>
      </c>
      <c r="W73" s="619">
        <f t="shared" si="19"/>
        <v>0</v>
      </c>
      <c r="X73" s="619">
        <f t="shared" si="19"/>
        <v>3005.8216499999999</v>
      </c>
      <c r="Y73" s="619">
        <f t="shared" si="19"/>
        <v>0</v>
      </c>
      <c r="Z73" s="619">
        <f t="shared" si="19"/>
        <v>2878.0406400000002</v>
      </c>
      <c r="AA73" s="619">
        <f t="shared" si="19"/>
        <v>0</v>
      </c>
      <c r="AB73" s="619">
        <f t="shared" si="19"/>
        <v>2921.23999</v>
      </c>
      <c r="AC73" s="619">
        <f t="shared" si="19"/>
        <v>0</v>
      </c>
      <c r="AD73" s="625">
        <f t="shared" si="19"/>
        <v>17956.929579999996</v>
      </c>
      <c r="AE73" s="619">
        <f t="shared" si="19"/>
        <v>0</v>
      </c>
      <c r="AF73" s="615"/>
      <c r="AG73" s="616">
        <f t="shared" si="1"/>
        <v>0</v>
      </c>
    </row>
    <row r="74" spans="1:33" s="617" customFormat="1" x14ac:dyDescent="0.3">
      <c r="A74" s="621" t="s">
        <v>169</v>
      </c>
      <c r="B74" s="622">
        <f>J74+L74+N74+P74+R74+T74+V74+X74+Z74+AB74+AD74+H74</f>
        <v>0</v>
      </c>
      <c r="C74" s="777">
        <f>SUM(H74)</f>
        <v>0</v>
      </c>
      <c r="D74" s="780">
        <f>E74</f>
        <v>0</v>
      </c>
      <c r="E74" s="777">
        <f>SUM(I74,K74,M74,O74,Q74,S74,U74,W74,Y74,AA74,AC74,AE74)</f>
        <v>0</v>
      </c>
      <c r="F74" s="622"/>
      <c r="G74" s="622"/>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615"/>
      <c r="AG74" s="616">
        <f t="shared" si="1"/>
        <v>0</v>
      </c>
    </row>
    <row r="75" spans="1:33" s="617" customFormat="1" x14ac:dyDescent="0.3">
      <c r="A75" s="621" t="s">
        <v>32</v>
      </c>
      <c r="B75" s="622">
        <f>J75+L75+N75+P75+R75+T75+V75+X75+Z75+AB75+AD75+H75</f>
        <v>0</v>
      </c>
      <c r="C75" s="777">
        <f>SUM(H75)</f>
        <v>0</v>
      </c>
      <c r="D75" s="780">
        <f>E75</f>
        <v>0</v>
      </c>
      <c r="E75" s="777">
        <f>SUM(I75,K75,M75,O75,Q75,S75,U75,W75,Y75,AA75,AC75,AE75)</f>
        <v>0</v>
      </c>
      <c r="F75" s="622"/>
      <c r="G75" s="622"/>
      <c r="H75" s="519"/>
      <c r="I75" s="519"/>
      <c r="J75" s="519"/>
      <c r="K75" s="519"/>
      <c r="L75" s="519"/>
      <c r="M75" s="519"/>
      <c r="N75" s="519"/>
      <c r="O75" s="519"/>
      <c r="P75" s="519"/>
      <c r="Q75" s="519"/>
      <c r="R75" s="519"/>
      <c r="S75" s="519"/>
      <c r="T75" s="519"/>
      <c r="U75" s="519"/>
      <c r="V75" s="519"/>
      <c r="W75" s="519"/>
      <c r="X75" s="519"/>
      <c r="Y75" s="519"/>
      <c r="Z75" s="519"/>
      <c r="AA75" s="519"/>
      <c r="AB75" s="519"/>
      <c r="AC75" s="519"/>
      <c r="AD75" s="519"/>
      <c r="AE75" s="519"/>
      <c r="AF75" s="615"/>
      <c r="AG75" s="616">
        <f t="shared" si="1"/>
        <v>0</v>
      </c>
    </row>
    <row r="76" spans="1:33" s="617" customFormat="1" x14ac:dyDescent="0.3">
      <c r="A76" s="621" t="s">
        <v>33</v>
      </c>
      <c r="B76" s="622">
        <f>J76+L76+N76+P76+R76+T76+V76+X76+Z76+AB76+AD76+H76</f>
        <v>56087.30012</v>
      </c>
      <c r="C76" s="777">
        <f>H76+J76+L76+N76+P76+R76</f>
        <v>29213.718370000002</v>
      </c>
      <c r="D76" s="780">
        <f>E76</f>
        <v>27020.720000000001</v>
      </c>
      <c r="E76" s="777">
        <f>SUM(I76,K76,M76,O76,Q76,S76,U76,W76,Y76,AA76,AC76,AE76)</f>
        <v>27020.720000000001</v>
      </c>
      <c r="F76" s="622">
        <f>IFERROR(E76/B76*100,0)</f>
        <v>48.176182383870469</v>
      </c>
      <c r="G76" s="622">
        <f>IFERROR(E76/C76*100,0)</f>
        <v>92.493258330812068</v>
      </c>
      <c r="H76" s="519">
        <v>3025.8713499999999</v>
      </c>
      <c r="I76" s="519"/>
      <c r="J76" s="519">
        <v>5375.11</v>
      </c>
      <c r="K76" s="519">
        <v>4637.8999999999996</v>
      </c>
      <c r="L76" s="519">
        <v>6419.48</v>
      </c>
      <c r="M76" s="519">
        <v>5558.02</v>
      </c>
      <c r="N76" s="519">
        <v>3248.6035400000001</v>
      </c>
      <c r="O76" s="519">
        <v>5680.15</v>
      </c>
      <c r="P76" s="519">
        <v>5187.1805899999999</v>
      </c>
      <c r="Q76" s="519">
        <v>5187.18</v>
      </c>
      <c r="R76" s="519">
        <f>59.16289+5898.31</f>
        <v>5957.47289</v>
      </c>
      <c r="S76" s="519">
        <f>59.16+5898.31</f>
        <v>5957.47</v>
      </c>
      <c r="T76" s="519">
        <v>59.16</v>
      </c>
      <c r="U76" s="519"/>
      <c r="V76" s="519">
        <v>52.389890000000001</v>
      </c>
      <c r="W76" s="519"/>
      <c r="X76" s="519">
        <v>3005.8216499999999</v>
      </c>
      <c r="Y76" s="519"/>
      <c r="Z76" s="519">
        <f>2880.85064-2.81</f>
        <v>2878.0406400000002</v>
      </c>
      <c r="AA76" s="519"/>
      <c r="AB76" s="519">
        <v>2921.23999</v>
      </c>
      <c r="AC76" s="519"/>
      <c r="AD76" s="519">
        <f>28747.43958-4892.2-5898.31</f>
        <v>17956.929579999996</v>
      </c>
      <c r="AE76" s="519"/>
      <c r="AF76" s="615"/>
      <c r="AG76" s="616">
        <f t="shared" si="1"/>
        <v>0</v>
      </c>
    </row>
    <row r="77" spans="1:33" x14ac:dyDescent="0.3">
      <c r="A77" s="115" t="s">
        <v>170</v>
      </c>
      <c r="B77" s="116"/>
      <c r="C77" s="117"/>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f t="shared" si="1"/>
        <v>0</v>
      </c>
    </row>
    <row r="78" spans="1:33" ht="72" customHeight="1" x14ac:dyDescent="0.3">
      <c r="A78" s="124" t="s">
        <v>283</v>
      </c>
      <c r="B78" s="104"/>
      <c r="C78" s="791"/>
      <c r="D78" s="791"/>
      <c r="E78" s="791"/>
      <c r="F78" s="125"/>
      <c r="G78" s="125"/>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1"/>
      <c r="AG78" s="102">
        <f t="shared" si="1"/>
        <v>0</v>
      </c>
    </row>
    <row r="79" spans="1:33" x14ac:dyDescent="0.3">
      <c r="A79" s="128" t="s">
        <v>31</v>
      </c>
      <c r="B79" s="104">
        <f>B80+B81+B82+B83</f>
        <v>2624780.5998299997</v>
      </c>
      <c r="C79" s="791">
        <f>C80+C81+C82</f>
        <v>1033944.59137</v>
      </c>
      <c r="D79" s="791">
        <f>D80+D81+D82</f>
        <v>1441598.02</v>
      </c>
      <c r="E79" s="791">
        <f>E80+E81+E82</f>
        <v>1441598.02</v>
      </c>
      <c r="F79" s="105">
        <f>IFERROR(E79/B79*100,0)</f>
        <v>54.922610297156595</v>
      </c>
      <c r="G79" s="105">
        <f>IFERROR(E79/C79*100,0)</f>
        <v>139.4270091485125</v>
      </c>
      <c r="H79" s="104">
        <f>H80+H81+H82+H83</f>
        <v>217120.75999999998</v>
      </c>
      <c r="I79" s="104">
        <f t="shared" ref="I79:AE79" si="20">I80+I81+I82+I83</f>
        <v>90192.700000000012</v>
      </c>
      <c r="J79" s="104">
        <f t="shared" si="20"/>
        <v>290118.50979000004</v>
      </c>
      <c r="K79" s="104">
        <f t="shared" si="20"/>
        <v>253612.65</v>
      </c>
      <c r="L79" s="104">
        <f t="shared" si="20"/>
        <v>245880.64578999998</v>
      </c>
      <c r="M79" s="104">
        <f t="shared" si="20"/>
        <v>204906.37</v>
      </c>
      <c r="N79" s="104">
        <f t="shared" si="20"/>
        <v>288347.17578999995</v>
      </c>
      <c r="O79" s="104">
        <f t="shared" si="20"/>
        <v>224145.56</v>
      </c>
      <c r="P79" s="104">
        <f t="shared" si="20"/>
        <v>438286.87377000001</v>
      </c>
      <c r="Q79" s="104">
        <f t="shared" si="20"/>
        <v>438287.43</v>
      </c>
      <c r="R79" s="104">
        <f t="shared" si="20"/>
        <v>235084.67378000001</v>
      </c>
      <c r="S79" s="104">
        <f t="shared" si="20"/>
        <v>237794.31</v>
      </c>
      <c r="T79" s="104">
        <f t="shared" si="20"/>
        <v>165304.35379000002</v>
      </c>
      <c r="U79" s="104">
        <f t="shared" si="20"/>
        <v>0</v>
      </c>
      <c r="V79" s="104">
        <f t="shared" si="20"/>
        <v>112211.90578999999</v>
      </c>
      <c r="W79" s="104">
        <f t="shared" si="20"/>
        <v>0</v>
      </c>
      <c r="X79" s="104">
        <f t="shared" si="20"/>
        <v>143167.01879</v>
      </c>
      <c r="Y79" s="104">
        <f t="shared" si="20"/>
        <v>0</v>
      </c>
      <c r="Z79" s="104">
        <f t="shared" si="20"/>
        <v>136614.00378999999</v>
      </c>
      <c r="AA79" s="104">
        <f t="shared" si="20"/>
        <v>0</v>
      </c>
      <c r="AB79" s="104">
        <f t="shared" si="20"/>
        <v>129725.70379</v>
      </c>
      <c r="AC79" s="104">
        <f t="shared" si="20"/>
        <v>0</v>
      </c>
      <c r="AD79" s="104">
        <f t="shared" si="20"/>
        <v>222918.97495999999</v>
      </c>
      <c r="AE79" s="104">
        <f t="shared" si="20"/>
        <v>0</v>
      </c>
      <c r="AF79" s="101"/>
      <c r="AG79" s="102">
        <f t="shared" si="1"/>
        <v>0</v>
      </c>
    </row>
    <row r="80" spans="1:33" x14ac:dyDescent="0.3">
      <c r="A80" s="129" t="s">
        <v>169</v>
      </c>
      <c r="B80" s="107">
        <f>J80+L80+N80+P80+R80+T80+V80+X80+Z80+AB80+AD80+H80</f>
        <v>57704.600000000006</v>
      </c>
      <c r="C80" s="792">
        <f>SUM(H80+J80+L80+N80)</f>
        <v>24877.43</v>
      </c>
      <c r="D80" s="792">
        <f>E80</f>
        <v>48042.2</v>
      </c>
      <c r="E80" s="792">
        <f>SUM(I80,K80,M80,O80,Q80,S80,U80,W80,Y80,AA80,AC80,AE80)</f>
        <v>48042.2</v>
      </c>
      <c r="F80" s="107">
        <f>IFERROR(E80/B80*100,0)</f>
        <v>83.255407714462962</v>
      </c>
      <c r="G80" s="107">
        <f>IFERROR(E80/C80*100,0)</f>
        <v>193.11560719897511</v>
      </c>
      <c r="H80" s="107">
        <f>H86+H116+H122</f>
        <v>4082.28</v>
      </c>
      <c r="I80" s="107">
        <f t="shared" ref="I80:AE83" si="21">I86+I116+I122</f>
        <v>4012.3</v>
      </c>
      <c r="J80" s="107">
        <f t="shared" si="21"/>
        <v>4046.15</v>
      </c>
      <c r="K80" s="107">
        <f t="shared" si="21"/>
        <v>3924.3</v>
      </c>
      <c r="L80" s="107">
        <f t="shared" si="21"/>
        <v>4209.92</v>
      </c>
      <c r="M80" s="107">
        <f t="shared" si="21"/>
        <v>4194.3999999999996</v>
      </c>
      <c r="N80" s="107">
        <f t="shared" si="21"/>
        <v>12539.08</v>
      </c>
      <c r="O80" s="107">
        <f t="shared" si="21"/>
        <v>12067</v>
      </c>
      <c r="P80" s="107">
        <f t="shared" si="21"/>
        <v>10239.700000000001</v>
      </c>
      <c r="Q80" s="107">
        <f t="shared" si="21"/>
        <v>10239.700000000001</v>
      </c>
      <c r="R80" s="107">
        <f t="shared" si="21"/>
        <v>13678.669999999998</v>
      </c>
      <c r="S80" s="107">
        <f t="shared" si="21"/>
        <v>13604.5</v>
      </c>
      <c r="T80" s="107">
        <f t="shared" si="21"/>
        <v>8908.7999999999993</v>
      </c>
      <c r="U80" s="107">
        <f t="shared" si="21"/>
        <v>0</v>
      </c>
      <c r="V80" s="107">
        <f t="shared" si="21"/>
        <v>0</v>
      </c>
      <c r="W80" s="107">
        <f t="shared" si="21"/>
        <v>0</v>
      </c>
      <c r="X80" s="107">
        <f t="shared" si="21"/>
        <v>0</v>
      </c>
      <c r="Y80" s="107">
        <f t="shared" si="21"/>
        <v>0</v>
      </c>
      <c r="Z80" s="107">
        <f t="shared" si="21"/>
        <v>0</v>
      </c>
      <c r="AA80" s="107">
        <f t="shared" si="21"/>
        <v>0</v>
      </c>
      <c r="AB80" s="107">
        <f t="shared" si="21"/>
        <v>0</v>
      </c>
      <c r="AC80" s="107">
        <f t="shared" si="21"/>
        <v>0</v>
      </c>
      <c r="AD80" s="107">
        <f t="shared" si="21"/>
        <v>0</v>
      </c>
      <c r="AE80" s="107">
        <f t="shared" si="21"/>
        <v>0</v>
      </c>
      <c r="AF80" s="101"/>
      <c r="AG80" s="102">
        <f t="shared" si="1"/>
        <v>7.2759576141834259E-12</v>
      </c>
    </row>
    <row r="81" spans="1:33" x14ac:dyDescent="0.3">
      <c r="A81" s="129" t="s">
        <v>32</v>
      </c>
      <c r="B81" s="107">
        <f>J81+L81+N81+P81+R81+T81+V81+X81+Z81+AB81+AD81+H81</f>
        <v>2147450.1998299998</v>
      </c>
      <c r="C81" s="792">
        <f>SUM(H81+J81+L81+N81)</f>
        <v>807801.54136999999</v>
      </c>
      <c r="D81" s="792">
        <f>E81</f>
        <v>1115888.58</v>
      </c>
      <c r="E81" s="792">
        <f>SUM(I81,K81,M81,O81,Q81,S81,U81,W81,Y81,AA81,AC81,AE81)</f>
        <v>1115888.58</v>
      </c>
      <c r="F81" s="107">
        <f>IFERROR(E81/B81*100,0)</f>
        <v>51.9634206226686</v>
      </c>
      <c r="G81" s="107">
        <f>IFERROR(E81/C81*100,0)</f>
        <v>138.13895156816568</v>
      </c>
      <c r="H81" s="107">
        <f>H87+H117+H123</f>
        <v>160097.37999999998</v>
      </c>
      <c r="I81" s="107">
        <f t="shared" ref="I81:W81" si="22">I87+I117+I123</f>
        <v>33973.1</v>
      </c>
      <c r="J81" s="107">
        <f t="shared" si="22"/>
        <v>218612.98979000002</v>
      </c>
      <c r="K81" s="107">
        <f t="shared" si="22"/>
        <v>181495.2</v>
      </c>
      <c r="L81" s="107">
        <f t="shared" si="22"/>
        <v>194991.11578999998</v>
      </c>
      <c r="M81" s="107">
        <f t="shared" si="22"/>
        <v>154056.82</v>
      </c>
      <c r="N81" s="107">
        <f t="shared" si="22"/>
        <v>234100.05578999998</v>
      </c>
      <c r="O81" s="107">
        <f t="shared" si="22"/>
        <v>170551.99</v>
      </c>
      <c r="P81" s="107">
        <f t="shared" si="22"/>
        <v>388791.16376999998</v>
      </c>
      <c r="Q81" s="107">
        <f t="shared" si="22"/>
        <v>388791.16</v>
      </c>
      <c r="R81" s="107">
        <f t="shared" si="22"/>
        <v>182323.92378000001</v>
      </c>
      <c r="S81" s="107">
        <f t="shared" si="22"/>
        <v>187020.31</v>
      </c>
      <c r="T81" s="107">
        <f t="shared" si="22"/>
        <v>127819.16379000001</v>
      </c>
      <c r="U81" s="107">
        <f t="shared" si="22"/>
        <v>0</v>
      </c>
      <c r="V81" s="107">
        <f t="shared" si="22"/>
        <v>92210.165789999999</v>
      </c>
      <c r="W81" s="107">
        <f t="shared" si="22"/>
        <v>0</v>
      </c>
      <c r="X81" s="107">
        <f t="shared" si="21"/>
        <v>120484.50879000001</v>
      </c>
      <c r="Y81" s="107">
        <f t="shared" si="21"/>
        <v>0</v>
      </c>
      <c r="Z81" s="107">
        <f t="shared" si="21"/>
        <v>114695.95379</v>
      </c>
      <c r="AA81" s="107">
        <f t="shared" si="21"/>
        <v>0</v>
      </c>
      <c r="AB81" s="107">
        <f t="shared" si="21"/>
        <v>107459.51379</v>
      </c>
      <c r="AC81" s="107">
        <f t="shared" si="21"/>
        <v>0</v>
      </c>
      <c r="AD81" s="107">
        <f t="shared" si="21"/>
        <v>205864.26496</v>
      </c>
      <c r="AE81" s="107">
        <f t="shared" si="21"/>
        <v>0</v>
      </c>
      <c r="AF81" s="101"/>
      <c r="AG81" s="102">
        <f t="shared" si="1"/>
        <v>0</v>
      </c>
    </row>
    <row r="82" spans="1:33" x14ac:dyDescent="0.3">
      <c r="A82" s="129" t="s">
        <v>33</v>
      </c>
      <c r="B82" s="107">
        <f>J82+L82+N82+P82+R82+T82+V82+X82+Z82+AB82+AD82+H82</f>
        <v>409625.8</v>
      </c>
      <c r="C82" s="792">
        <f>SUM(H82+J82+L82+N82)</f>
        <v>201265.62000000002</v>
      </c>
      <c r="D82" s="792">
        <f>E82</f>
        <v>277667.24</v>
      </c>
      <c r="E82" s="792">
        <f>SUM(I82,K82,M82,O82,Q82,S82,U82,W82,Y82,AA82,AC82,AE82)</f>
        <v>277667.24</v>
      </c>
      <c r="F82" s="107">
        <f>IFERROR(E82/B82*100,0)</f>
        <v>67.78558381820676</v>
      </c>
      <c r="G82" s="107">
        <f>IFERROR(E82/C82*100,0)</f>
        <v>137.96059158041993</v>
      </c>
      <c r="H82" s="107">
        <f>H88+H118+H124</f>
        <v>52941.1</v>
      </c>
      <c r="I82" s="107">
        <f t="shared" si="21"/>
        <v>52207.3</v>
      </c>
      <c r="J82" s="107">
        <f t="shared" si="21"/>
        <v>67459.37</v>
      </c>
      <c r="K82" s="107">
        <f t="shared" si="21"/>
        <v>68193.149999999994</v>
      </c>
      <c r="L82" s="107">
        <f t="shared" si="21"/>
        <v>43449.61</v>
      </c>
      <c r="M82" s="107">
        <f t="shared" si="21"/>
        <v>43425.15</v>
      </c>
      <c r="N82" s="107">
        <f t="shared" si="21"/>
        <v>37415.54</v>
      </c>
      <c r="O82" s="107">
        <f t="shared" si="21"/>
        <v>37415.57</v>
      </c>
      <c r="P82" s="107">
        <f t="shared" si="21"/>
        <v>39256.01</v>
      </c>
      <c r="Q82" s="107">
        <f t="shared" si="21"/>
        <v>39256.57</v>
      </c>
      <c r="R82" s="107">
        <f t="shared" si="21"/>
        <v>39082.080000000002</v>
      </c>
      <c r="S82" s="107">
        <f t="shared" si="21"/>
        <v>37169.5</v>
      </c>
      <c r="T82" s="107">
        <f t="shared" si="21"/>
        <v>28576.39</v>
      </c>
      <c r="U82" s="107">
        <f t="shared" si="21"/>
        <v>0</v>
      </c>
      <c r="V82" s="107">
        <f t="shared" si="21"/>
        <v>20001.739999999998</v>
      </c>
      <c r="W82" s="107">
        <f t="shared" si="21"/>
        <v>0</v>
      </c>
      <c r="X82" s="107">
        <f t="shared" si="21"/>
        <v>22682.51</v>
      </c>
      <c r="Y82" s="107">
        <f t="shared" si="21"/>
        <v>0</v>
      </c>
      <c r="Z82" s="107">
        <f t="shared" si="21"/>
        <v>21918.05</v>
      </c>
      <c r="AA82" s="107">
        <f t="shared" si="21"/>
        <v>0</v>
      </c>
      <c r="AB82" s="107">
        <f t="shared" si="21"/>
        <v>22266.19</v>
      </c>
      <c r="AC82" s="107">
        <f t="shared" si="21"/>
        <v>0</v>
      </c>
      <c r="AD82" s="107">
        <f t="shared" si="21"/>
        <v>14577.21</v>
      </c>
      <c r="AE82" s="107">
        <f t="shared" si="21"/>
        <v>0</v>
      </c>
      <c r="AF82" s="101"/>
      <c r="AG82" s="102">
        <f t="shared" si="1"/>
        <v>2.5465851649641991E-11</v>
      </c>
    </row>
    <row r="83" spans="1:33" x14ac:dyDescent="0.3">
      <c r="A83" s="129" t="s">
        <v>170</v>
      </c>
      <c r="B83" s="107">
        <f>J83+L83+N83+P83+R83+T83+V83+X83+Z83+AB83+AD83+H83</f>
        <v>10000</v>
      </c>
      <c r="C83" s="792">
        <f>H83+J83+L83+N83</f>
        <v>7522.5</v>
      </c>
      <c r="D83" s="792">
        <f>E83</f>
        <v>7341</v>
      </c>
      <c r="E83" s="792">
        <f>SUM(I83,K83,M83,O83,Q83,S83,U83,W83,Y83,AA83,AC83,AE83)</f>
        <v>7341</v>
      </c>
      <c r="F83" s="107">
        <f>IFERROR(E83/B83*100,0)</f>
        <v>73.41</v>
      </c>
      <c r="G83" s="107">
        <f>IFERROR(E83/C83*100,0)</f>
        <v>97.587238285144565</v>
      </c>
      <c r="H83" s="107">
        <f>H89+H119+H125</f>
        <v>0</v>
      </c>
      <c r="I83" s="107">
        <f t="shared" si="21"/>
        <v>0</v>
      </c>
      <c r="J83" s="107">
        <f t="shared" si="21"/>
        <v>0</v>
      </c>
      <c r="K83" s="107">
        <f t="shared" si="21"/>
        <v>0</v>
      </c>
      <c r="L83" s="107">
        <f t="shared" si="21"/>
        <v>3230</v>
      </c>
      <c r="M83" s="107">
        <f t="shared" si="21"/>
        <v>3230</v>
      </c>
      <c r="N83" s="107">
        <f t="shared" si="21"/>
        <v>4292.5</v>
      </c>
      <c r="O83" s="107">
        <f t="shared" si="21"/>
        <v>4111</v>
      </c>
      <c r="P83" s="107">
        <f t="shared" si="21"/>
        <v>0</v>
      </c>
      <c r="Q83" s="107">
        <f t="shared" si="21"/>
        <v>0</v>
      </c>
      <c r="R83" s="107">
        <f t="shared" si="21"/>
        <v>0</v>
      </c>
      <c r="S83" s="107">
        <f t="shared" si="21"/>
        <v>0</v>
      </c>
      <c r="T83" s="107">
        <f t="shared" si="21"/>
        <v>0</v>
      </c>
      <c r="U83" s="107">
        <f t="shared" si="21"/>
        <v>0</v>
      </c>
      <c r="V83" s="107">
        <f t="shared" si="21"/>
        <v>0</v>
      </c>
      <c r="W83" s="107">
        <f t="shared" si="21"/>
        <v>0</v>
      </c>
      <c r="X83" s="107">
        <f t="shared" si="21"/>
        <v>0</v>
      </c>
      <c r="Y83" s="107">
        <f t="shared" si="21"/>
        <v>0</v>
      </c>
      <c r="Z83" s="107">
        <f t="shared" si="21"/>
        <v>0</v>
      </c>
      <c r="AA83" s="107">
        <f t="shared" si="21"/>
        <v>0</v>
      </c>
      <c r="AB83" s="107">
        <f t="shared" si="21"/>
        <v>0</v>
      </c>
      <c r="AC83" s="107">
        <f t="shared" si="21"/>
        <v>0</v>
      </c>
      <c r="AD83" s="107">
        <f t="shared" si="21"/>
        <v>2477.5</v>
      </c>
      <c r="AE83" s="107">
        <f t="shared" si="21"/>
        <v>0</v>
      </c>
      <c r="AF83" s="101"/>
      <c r="AG83" s="102">
        <f t="shared" si="1"/>
        <v>0</v>
      </c>
    </row>
    <row r="84" spans="1:33" s="97" customFormat="1" ht="97.5" customHeight="1" x14ac:dyDescent="0.3">
      <c r="A84" s="211" t="s">
        <v>522</v>
      </c>
      <c r="B84" s="130"/>
      <c r="C84" s="131"/>
      <c r="D84" s="131"/>
      <c r="E84" s="131"/>
      <c r="F84" s="131"/>
      <c r="G84" s="131"/>
      <c r="H84" s="212"/>
      <c r="I84" s="212"/>
      <c r="J84" s="212"/>
      <c r="K84" s="212"/>
      <c r="L84" s="212"/>
      <c r="M84" s="212"/>
      <c r="N84" s="212"/>
      <c r="O84" s="212"/>
      <c r="P84" s="212"/>
      <c r="Q84" s="212"/>
      <c r="R84" s="212"/>
      <c r="S84" s="212"/>
      <c r="T84" s="212"/>
      <c r="U84" s="212"/>
      <c r="V84" s="212"/>
      <c r="W84" s="212"/>
      <c r="X84" s="212"/>
      <c r="Y84" s="212"/>
      <c r="Z84" s="212"/>
      <c r="AA84" s="212"/>
      <c r="AB84" s="212"/>
      <c r="AC84" s="212"/>
      <c r="AD84" s="212"/>
      <c r="AE84" s="212"/>
      <c r="AF84" s="213"/>
      <c r="AG84" s="214">
        <f t="shared" si="1"/>
        <v>0</v>
      </c>
    </row>
    <row r="85" spans="1:33" s="97" customFormat="1" x14ac:dyDescent="0.3">
      <c r="A85" s="126" t="s">
        <v>31</v>
      </c>
      <c r="B85" s="113">
        <f>B87+B88+B86+B89</f>
        <v>2624780.5998299997</v>
      </c>
      <c r="C85" s="113">
        <f>C87+C88+C86+C89</f>
        <v>1693098.8389199998</v>
      </c>
      <c r="D85" s="113">
        <f>D87+D88+D86+D89</f>
        <v>1429708.5499999998</v>
      </c>
      <c r="E85" s="113">
        <f>E87+E88+E86+E89</f>
        <v>1429708.5499999998</v>
      </c>
      <c r="F85" s="113">
        <f>IFERROR(E85/B85*100,0)</f>
        <v>54.469640246982863</v>
      </c>
      <c r="G85" s="113">
        <f>IFERROR(E85/C85*100,0)</f>
        <v>84.443301072250904</v>
      </c>
      <c r="H85" s="113">
        <f t="shared" ref="H85:AE85" si="23">H87+H88+H86+H89</f>
        <v>216140.75999999998</v>
      </c>
      <c r="I85" s="113">
        <f t="shared" si="23"/>
        <v>90192.7</v>
      </c>
      <c r="J85" s="113">
        <f t="shared" si="23"/>
        <v>286163.90979000006</v>
      </c>
      <c r="K85" s="113">
        <f t="shared" si="23"/>
        <v>249918.55</v>
      </c>
      <c r="L85" s="113">
        <f t="shared" si="23"/>
        <v>241752.24578999999</v>
      </c>
      <c r="M85" s="113">
        <f t="shared" si="23"/>
        <v>201105.97</v>
      </c>
      <c r="N85" s="113">
        <f t="shared" si="23"/>
        <v>284377.37579000002</v>
      </c>
      <c r="O85" s="113">
        <f t="shared" si="23"/>
        <v>220503.75</v>
      </c>
      <c r="P85" s="113">
        <f t="shared" si="23"/>
        <v>434317.07377000002</v>
      </c>
      <c r="Q85" s="113">
        <f t="shared" si="23"/>
        <v>434317.63</v>
      </c>
      <c r="R85" s="113">
        <f t="shared" si="23"/>
        <v>230347.47378</v>
      </c>
      <c r="S85" s="113">
        <f t="shared" si="23"/>
        <v>233669.95</v>
      </c>
      <c r="T85" s="113">
        <f t="shared" si="23"/>
        <v>164324.35378999999</v>
      </c>
      <c r="U85" s="113">
        <f t="shared" si="23"/>
        <v>0</v>
      </c>
      <c r="V85" s="113">
        <f t="shared" si="23"/>
        <v>111231.90578999999</v>
      </c>
      <c r="W85" s="113">
        <f t="shared" si="23"/>
        <v>0</v>
      </c>
      <c r="X85" s="113">
        <f t="shared" si="23"/>
        <v>142187.01879</v>
      </c>
      <c r="Y85" s="113">
        <f t="shared" si="23"/>
        <v>0</v>
      </c>
      <c r="Z85" s="113">
        <f t="shared" si="23"/>
        <v>135634.00378999999</v>
      </c>
      <c r="AA85" s="113">
        <f t="shared" si="23"/>
        <v>0</v>
      </c>
      <c r="AB85" s="113">
        <f t="shared" si="23"/>
        <v>128745.70379</v>
      </c>
      <c r="AC85" s="113">
        <f t="shared" si="23"/>
        <v>0</v>
      </c>
      <c r="AD85" s="113">
        <f t="shared" si="23"/>
        <v>176904.17496</v>
      </c>
      <c r="AE85" s="113">
        <f t="shared" si="23"/>
        <v>0</v>
      </c>
      <c r="AF85" s="213"/>
      <c r="AG85" s="214">
        <f t="shared" si="1"/>
        <v>72654.599999999889</v>
      </c>
    </row>
    <row r="86" spans="1:33" s="97" customFormat="1" x14ac:dyDescent="0.3">
      <c r="A86" s="126" t="s">
        <v>169</v>
      </c>
      <c r="B86" s="113">
        <f>B92+B98+B104+B110</f>
        <v>57704.600000000006</v>
      </c>
      <c r="C86" s="113">
        <f>C92+C98+C104+C110</f>
        <v>48795.8</v>
      </c>
      <c r="D86" s="113">
        <f>D92+D98+D104+D110</f>
        <v>48042.2</v>
      </c>
      <c r="E86" s="113">
        <f>E92+E98+E104+E110</f>
        <v>48042.2</v>
      </c>
      <c r="F86" s="113">
        <f>IFERROR(E86/B86*100,0)</f>
        <v>83.255407714462962</v>
      </c>
      <c r="G86" s="113">
        <f>IFERROR(E86/C86*100,0)</f>
        <v>98.455604785657769</v>
      </c>
      <c r="H86" s="113">
        <f t="shared" ref="H86:AE89" si="24">H92+H98+H104+H110</f>
        <v>4082.28</v>
      </c>
      <c r="I86" s="113">
        <f t="shared" si="24"/>
        <v>4012.3</v>
      </c>
      <c r="J86" s="113">
        <f t="shared" si="24"/>
        <v>4046.15</v>
      </c>
      <c r="K86" s="113">
        <f t="shared" si="24"/>
        <v>3924.3</v>
      </c>
      <c r="L86" s="113">
        <f t="shared" si="24"/>
        <v>4209.92</v>
      </c>
      <c r="M86" s="113">
        <f t="shared" si="24"/>
        <v>4194.3999999999996</v>
      </c>
      <c r="N86" s="113">
        <f t="shared" si="24"/>
        <v>12539.08</v>
      </c>
      <c r="O86" s="113">
        <f t="shared" si="24"/>
        <v>12067</v>
      </c>
      <c r="P86" s="113">
        <f t="shared" si="24"/>
        <v>10239.700000000001</v>
      </c>
      <c r="Q86" s="113">
        <f t="shared" si="24"/>
        <v>10239.700000000001</v>
      </c>
      <c r="R86" s="113">
        <f t="shared" si="24"/>
        <v>13678.669999999998</v>
      </c>
      <c r="S86" s="113">
        <f t="shared" si="24"/>
        <v>13604.5</v>
      </c>
      <c r="T86" s="113">
        <f t="shared" si="24"/>
        <v>8908.7999999999993</v>
      </c>
      <c r="U86" s="113">
        <f t="shared" si="24"/>
        <v>0</v>
      </c>
      <c r="V86" s="113">
        <f t="shared" si="24"/>
        <v>0</v>
      </c>
      <c r="W86" s="113">
        <f t="shared" si="24"/>
        <v>0</v>
      </c>
      <c r="X86" s="113">
        <f t="shared" si="24"/>
        <v>0</v>
      </c>
      <c r="Y86" s="113">
        <f t="shared" si="24"/>
        <v>0</v>
      </c>
      <c r="Z86" s="113">
        <f t="shared" si="24"/>
        <v>0</v>
      </c>
      <c r="AA86" s="113">
        <f t="shared" si="24"/>
        <v>0</v>
      </c>
      <c r="AB86" s="113">
        <f t="shared" si="24"/>
        <v>0</v>
      </c>
      <c r="AC86" s="113">
        <f t="shared" si="24"/>
        <v>0</v>
      </c>
      <c r="AD86" s="113">
        <f t="shared" si="24"/>
        <v>0</v>
      </c>
      <c r="AE86" s="113">
        <f t="shared" si="24"/>
        <v>0</v>
      </c>
      <c r="AF86" s="213"/>
      <c r="AG86" s="214">
        <f t="shared" si="1"/>
        <v>7.2759576141834259E-12</v>
      </c>
    </row>
    <row r="87" spans="1:33" s="97" customFormat="1" x14ac:dyDescent="0.3">
      <c r="A87" s="126" t="s">
        <v>32</v>
      </c>
      <c r="B87" s="113">
        <f>B93+B99+B105+B111+B117+B123</f>
        <v>2147450.1998299998</v>
      </c>
      <c r="C87" s="113">
        <f t="shared" ref="B87:E89" si="25">C93+C99+C105+C111</f>
        <v>1357176.8289199998</v>
      </c>
      <c r="D87" s="113">
        <f t="shared" si="25"/>
        <v>1096658.1099999999</v>
      </c>
      <c r="E87" s="113">
        <f t="shared" si="25"/>
        <v>1096658.1099999999</v>
      </c>
      <c r="F87" s="113">
        <f>IFERROR(E87/B87*100,0)</f>
        <v>51.067918133180243</v>
      </c>
      <c r="G87" s="113">
        <f>IFERROR(E87/C87*100,0)</f>
        <v>80.804364371051577</v>
      </c>
      <c r="H87" s="113">
        <f>H93+H99+H105+H111</f>
        <v>159117.37999999998</v>
      </c>
      <c r="I87" s="113">
        <f t="shared" si="24"/>
        <v>33973.1</v>
      </c>
      <c r="J87" s="113">
        <f t="shared" si="24"/>
        <v>214658.38979000002</v>
      </c>
      <c r="K87" s="113">
        <f t="shared" si="24"/>
        <v>177801.1</v>
      </c>
      <c r="L87" s="113">
        <f t="shared" si="24"/>
        <v>190862.71578999999</v>
      </c>
      <c r="M87" s="113">
        <f t="shared" si="24"/>
        <v>150256.42000000001</v>
      </c>
      <c r="N87" s="113">
        <f t="shared" si="24"/>
        <v>230130.25579</v>
      </c>
      <c r="O87" s="113">
        <f t="shared" si="24"/>
        <v>166910.18</v>
      </c>
      <c r="P87" s="113">
        <f t="shared" si="24"/>
        <v>384821.36377</v>
      </c>
      <c r="Q87" s="113">
        <f t="shared" si="24"/>
        <v>384821.36</v>
      </c>
      <c r="R87" s="113">
        <f t="shared" si="24"/>
        <v>177586.72378</v>
      </c>
      <c r="S87" s="113">
        <f t="shared" si="24"/>
        <v>182895.95</v>
      </c>
      <c r="T87" s="113">
        <f t="shared" si="24"/>
        <v>126839.16379000001</v>
      </c>
      <c r="U87" s="113">
        <f t="shared" si="24"/>
        <v>0</v>
      </c>
      <c r="V87" s="113">
        <f t="shared" si="24"/>
        <v>91230.165789999999</v>
      </c>
      <c r="W87" s="113">
        <f t="shared" si="24"/>
        <v>0</v>
      </c>
      <c r="X87" s="113">
        <f t="shared" si="24"/>
        <v>119504.50879000001</v>
      </c>
      <c r="Y87" s="113">
        <f t="shared" si="24"/>
        <v>0</v>
      </c>
      <c r="Z87" s="113">
        <f t="shared" si="24"/>
        <v>113715.95379</v>
      </c>
      <c r="AA87" s="113">
        <f t="shared" si="24"/>
        <v>0</v>
      </c>
      <c r="AB87" s="113">
        <f t="shared" si="24"/>
        <v>106479.51379</v>
      </c>
      <c r="AC87" s="113">
        <f t="shared" si="24"/>
        <v>0</v>
      </c>
      <c r="AD87" s="113">
        <f t="shared" si="24"/>
        <v>159849.46496000001</v>
      </c>
      <c r="AE87" s="113">
        <f t="shared" si="24"/>
        <v>0</v>
      </c>
      <c r="AF87" s="213"/>
      <c r="AG87" s="214">
        <f t="shared" si="1"/>
        <v>72654.599999999919</v>
      </c>
    </row>
    <row r="88" spans="1:33" s="97" customFormat="1" x14ac:dyDescent="0.3">
      <c r="A88" s="112" t="s">
        <v>33</v>
      </c>
      <c r="B88" s="113">
        <f t="shared" si="25"/>
        <v>409625.8</v>
      </c>
      <c r="C88" s="113">
        <f>C94+C100+C106+C112</f>
        <v>279603.71000000002</v>
      </c>
      <c r="D88" s="113">
        <f t="shared" si="25"/>
        <v>277667.24</v>
      </c>
      <c r="E88" s="113">
        <f t="shared" si="25"/>
        <v>277667.24</v>
      </c>
      <c r="F88" s="113">
        <f>IFERROR(E88/B88*100,0)</f>
        <v>67.78558381820676</v>
      </c>
      <c r="G88" s="113">
        <f>IFERROR(E88/C88*100,0)</f>
        <v>99.307423352858933</v>
      </c>
      <c r="H88" s="113">
        <f t="shared" si="24"/>
        <v>52941.1</v>
      </c>
      <c r="I88" s="113">
        <f t="shared" si="24"/>
        <v>52207.3</v>
      </c>
      <c r="J88" s="113">
        <f t="shared" si="24"/>
        <v>67459.37</v>
      </c>
      <c r="K88" s="113">
        <f t="shared" si="24"/>
        <v>68193.149999999994</v>
      </c>
      <c r="L88" s="113">
        <f t="shared" si="24"/>
        <v>43449.61</v>
      </c>
      <c r="M88" s="113">
        <f t="shared" si="24"/>
        <v>43425.15</v>
      </c>
      <c r="N88" s="113">
        <f t="shared" si="24"/>
        <v>37415.54</v>
      </c>
      <c r="O88" s="113">
        <f t="shared" si="24"/>
        <v>37415.57</v>
      </c>
      <c r="P88" s="113">
        <f t="shared" si="24"/>
        <v>39256.01</v>
      </c>
      <c r="Q88" s="113">
        <f t="shared" si="24"/>
        <v>39256.57</v>
      </c>
      <c r="R88" s="113">
        <f t="shared" si="24"/>
        <v>39082.080000000002</v>
      </c>
      <c r="S88" s="113">
        <f t="shared" si="24"/>
        <v>37169.5</v>
      </c>
      <c r="T88" s="113">
        <f t="shared" si="24"/>
        <v>28576.39</v>
      </c>
      <c r="U88" s="113">
        <f t="shared" si="24"/>
        <v>0</v>
      </c>
      <c r="V88" s="113">
        <f t="shared" si="24"/>
        <v>20001.739999999998</v>
      </c>
      <c r="W88" s="113">
        <f t="shared" si="24"/>
        <v>0</v>
      </c>
      <c r="X88" s="113">
        <f t="shared" si="24"/>
        <v>22682.51</v>
      </c>
      <c r="Y88" s="113">
        <f t="shared" si="24"/>
        <v>0</v>
      </c>
      <c r="Z88" s="113">
        <f t="shared" si="24"/>
        <v>21918.05</v>
      </c>
      <c r="AA88" s="113">
        <f t="shared" si="24"/>
        <v>0</v>
      </c>
      <c r="AB88" s="113">
        <f t="shared" si="24"/>
        <v>22266.19</v>
      </c>
      <c r="AC88" s="113">
        <f t="shared" si="24"/>
        <v>0</v>
      </c>
      <c r="AD88" s="113">
        <f t="shared" si="24"/>
        <v>14577.21</v>
      </c>
      <c r="AE88" s="113">
        <f t="shared" si="24"/>
        <v>0</v>
      </c>
      <c r="AF88" s="213"/>
      <c r="AG88" s="214">
        <f t="shared" si="1"/>
        <v>2.5465851649641991E-11</v>
      </c>
    </row>
    <row r="89" spans="1:33" s="97" customFormat="1" x14ac:dyDescent="0.3">
      <c r="A89" s="112" t="s">
        <v>170</v>
      </c>
      <c r="B89" s="113">
        <f t="shared" si="25"/>
        <v>10000</v>
      </c>
      <c r="C89" s="113">
        <f>C95+C101+C107+C113</f>
        <v>7522.5</v>
      </c>
      <c r="D89" s="113">
        <f t="shared" si="25"/>
        <v>7341</v>
      </c>
      <c r="E89" s="113">
        <f t="shared" si="25"/>
        <v>7341</v>
      </c>
      <c r="F89" s="113">
        <f>IFERROR(E89/B89*100,0)</f>
        <v>73.41</v>
      </c>
      <c r="G89" s="113">
        <f>IFERROR(E89/C89*100,0)</f>
        <v>97.587238285144565</v>
      </c>
      <c r="H89" s="113">
        <f t="shared" si="24"/>
        <v>0</v>
      </c>
      <c r="I89" s="113">
        <f t="shared" si="24"/>
        <v>0</v>
      </c>
      <c r="J89" s="113">
        <f t="shared" si="24"/>
        <v>0</v>
      </c>
      <c r="K89" s="113">
        <f t="shared" si="24"/>
        <v>0</v>
      </c>
      <c r="L89" s="113">
        <f t="shared" si="24"/>
        <v>3230</v>
      </c>
      <c r="M89" s="113">
        <f t="shared" si="24"/>
        <v>3230</v>
      </c>
      <c r="N89" s="113">
        <f t="shared" si="24"/>
        <v>4292.5</v>
      </c>
      <c r="O89" s="113">
        <f t="shared" si="24"/>
        <v>4111</v>
      </c>
      <c r="P89" s="113">
        <f t="shared" si="24"/>
        <v>0</v>
      </c>
      <c r="Q89" s="113">
        <f t="shared" si="24"/>
        <v>0</v>
      </c>
      <c r="R89" s="113">
        <f t="shared" si="24"/>
        <v>0</v>
      </c>
      <c r="S89" s="113">
        <f t="shared" si="24"/>
        <v>0</v>
      </c>
      <c r="T89" s="113">
        <f t="shared" si="24"/>
        <v>0</v>
      </c>
      <c r="U89" s="113">
        <f t="shared" si="24"/>
        <v>0</v>
      </c>
      <c r="V89" s="113">
        <f t="shared" si="24"/>
        <v>0</v>
      </c>
      <c r="W89" s="113">
        <f t="shared" si="24"/>
        <v>0</v>
      </c>
      <c r="X89" s="113">
        <f t="shared" si="24"/>
        <v>0</v>
      </c>
      <c r="Y89" s="113">
        <f t="shared" si="24"/>
        <v>0</v>
      </c>
      <c r="Z89" s="113">
        <f t="shared" si="24"/>
        <v>0</v>
      </c>
      <c r="AA89" s="113">
        <f t="shared" si="24"/>
        <v>0</v>
      </c>
      <c r="AB89" s="113">
        <f t="shared" si="24"/>
        <v>0</v>
      </c>
      <c r="AC89" s="113">
        <f t="shared" si="24"/>
        <v>0</v>
      </c>
      <c r="AD89" s="113">
        <f>AD95+AD101+AD107+AD113</f>
        <v>2477.5</v>
      </c>
      <c r="AE89" s="113">
        <f t="shared" si="24"/>
        <v>0</v>
      </c>
      <c r="AF89" s="213"/>
      <c r="AG89" s="214">
        <f t="shared" si="1"/>
        <v>0</v>
      </c>
    </row>
    <row r="90" spans="1:33" ht="197.25" customHeight="1" x14ac:dyDescent="0.3">
      <c r="A90" s="778" t="s">
        <v>520</v>
      </c>
      <c r="B90" s="622"/>
      <c r="C90" s="110"/>
      <c r="D90" s="110"/>
      <c r="E90" s="110"/>
      <c r="F90" s="110"/>
      <c r="G90" s="110"/>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29"/>
      <c r="AG90" s="102">
        <f t="shared" si="1"/>
        <v>0</v>
      </c>
    </row>
    <row r="91" spans="1:33" s="617" customFormat="1" x14ac:dyDescent="0.3">
      <c r="A91" s="789" t="s">
        <v>31</v>
      </c>
      <c r="B91" s="783">
        <f>B93+B94+B92+B95</f>
        <v>57704.600000000006</v>
      </c>
      <c r="C91" s="783">
        <f>C93+C94+C92+C95</f>
        <v>48795.8</v>
      </c>
      <c r="D91" s="783">
        <f>D93+D94+D92+D95</f>
        <v>48042.2</v>
      </c>
      <c r="E91" s="783">
        <f>E93+E94+E92+E95</f>
        <v>48042.2</v>
      </c>
      <c r="F91" s="783">
        <f>IFERROR(E91/B91*100,0)</f>
        <v>83.255407714462962</v>
      </c>
      <c r="G91" s="783">
        <f>IFERROR(E91/C91*100,0)</f>
        <v>98.455604785657769</v>
      </c>
      <c r="H91" s="783">
        <f t="shared" ref="H91:AE91" si="26">H93+H94+H92+H95</f>
        <v>4082.28</v>
      </c>
      <c r="I91" s="783">
        <f t="shared" si="26"/>
        <v>4012.3</v>
      </c>
      <c r="J91" s="783">
        <f t="shared" si="26"/>
        <v>4046.15</v>
      </c>
      <c r="K91" s="783">
        <f t="shared" si="26"/>
        <v>3924.3</v>
      </c>
      <c r="L91" s="783">
        <f t="shared" si="26"/>
        <v>4209.92</v>
      </c>
      <c r="M91" s="783">
        <f t="shared" si="26"/>
        <v>4194.3999999999996</v>
      </c>
      <c r="N91" s="783">
        <f t="shared" si="26"/>
        <v>12539.08</v>
      </c>
      <c r="O91" s="783">
        <f t="shared" si="26"/>
        <v>12067</v>
      </c>
      <c r="P91" s="783">
        <f t="shared" si="26"/>
        <v>10239.700000000001</v>
      </c>
      <c r="Q91" s="783">
        <f t="shared" si="26"/>
        <v>10239.700000000001</v>
      </c>
      <c r="R91" s="783">
        <f t="shared" si="26"/>
        <v>13678.669999999998</v>
      </c>
      <c r="S91" s="783">
        <f t="shared" si="26"/>
        <v>13604.5</v>
      </c>
      <c r="T91" s="783">
        <f t="shared" si="26"/>
        <v>8908.7999999999993</v>
      </c>
      <c r="U91" s="783">
        <f t="shared" si="26"/>
        <v>0</v>
      </c>
      <c r="V91" s="783">
        <f t="shared" si="26"/>
        <v>0</v>
      </c>
      <c r="W91" s="783">
        <f t="shared" si="26"/>
        <v>0</v>
      </c>
      <c r="X91" s="783">
        <f t="shared" si="26"/>
        <v>0</v>
      </c>
      <c r="Y91" s="783">
        <f t="shared" si="26"/>
        <v>0</v>
      </c>
      <c r="Z91" s="783">
        <f t="shared" si="26"/>
        <v>0</v>
      </c>
      <c r="AA91" s="783">
        <f t="shared" si="26"/>
        <v>0</v>
      </c>
      <c r="AB91" s="783">
        <f t="shared" si="26"/>
        <v>0</v>
      </c>
      <c r="AC91" s="783">
        <f t="shared" si="26"/>
        <v>0</v>
      </c>
      <c r="AD91" s="783">
        <f t="shared" si="26"/>
        <v>0</v>
      </c>
      <c r="AE91" s="783">
        <f t="shared" si="26"/>
        <v>0</v>
      </c>
      <c r="AF91" s="615"/>
      <c r="AG91" s="616">
        <f t="shared" si="1"/>
        <v>7.2759576141834259E-12</v>
      </c>
    </row>
    <row r="92" spans="1:33" x14ac:dyDescent="0.3">
      <c r="A92" s="621" t="s">
        <v>169</v>
      </c>
      <c r="B92" s="622">
        <f>J92+L92+N92+P92+R92+T92+V92+X92+Z92+AB92+AD92+H92</f>
        <v>57704.600000000006</v>
      </c>
      <c r="C92" s="117">
        <f>H92+J92+L92+N92+P92+R92</f>
        <v>48795.8</v>
      </c>
      <c r="D92" s="780">
        <f>E92</f>
        <v>48042.2</v>
      </c>
      <c r="E92" s="117">
        <f>SUM(I92,K92,M92,O92,Q92,S92,U92,W92,Y92,AA92,AC92,AE92)</f>
        <v>48042.2</v>
      </c>
      <c r="F92" s="116">
        <f>IFERROR(E92/B92*100,0)</f>
        <v>83.255407714462962</v>
      </c>
      <c r="G92" s="116">
        <f>IFERROR(E92/C92*100,0)</f>
        <v>98.455604785657769</v>
      </c>
      <c r="H92" s="111">
        <v>4082.28</v>
      </c>
      <c r="I92" s="111">
        <v>4012.3</v>
      </c>
      <c r="J92" s="111">
        <v>4046.15</v>
      </c>
      <c r="K92" s="111">
        <v>3924.3</v>
      </c>
      <c r="L92" s="111">
        <v>4209.92</v>
      </c>
      <c r="M92" s="111">
        <v>4194.3999999999996</v>
      </c>
      <c r="N92" s="111">
        <v>12539.08</v>
      </c>
      <c r="O92" s="111">
        <v>12067</v>
      </c>
      <c r="P92" s="111">
        <v>10239.700000000001</v>
      </c>
      <c r="Q92" s="111">
        <v>10239.700000000001</v>
      </c>
      <c r="R92" s="111">
        <f>23918.37+9174.73-19414.43</f>
        <v>13678.669999999998</v>
      </c>
      <c r="S92" s="111">
        <v>13604.5</v>
      </c>
      <c r="T92" s="111">
        <f>8695.98+212.82</f>
        <v>8908.7999999999993</v>
      </c>
      <c r="U92" s="111"/>
      <c r="V92" s="111"/>
      <c r="W92" s="111"/>
      <c r="X92" s="111"/>
      <c r="Y92" s="111"/>
      <c r="Z92" s="111"/>
      <c r="AA92" s="111"/>
      <c r="AB92" s="111"/>
      <c r="AC92" s="111"/>
      <c r="AD92" s="111"/>
      <c r="AE92" s="111"/>
      <c r="AF92" s="29"/>
      <c r="AG92" s="102">
        <f t="shared" si="1"/>
        <v>7.2759576141834259E-12</v>
      </c>
    </row>
    <row r="93" spans="1:33" x14ac:dyDescent="0.3">
      <c r="A93" s="621" t="s">
        <v>32</v>
      </c>
      <c r="B93" s="622"/>
      <c r="C93" s="117"/>
      <c r="D93" s="118"/>
      <c r="E93" s="117"/>
      <c r="F93" s="116"/>
      <c r="G93" s="116"/>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29"/>
      <c r="AG93" s="102">
        <f t="shared" si="1"/>
        <v>0</v>
      </c>
    </row>
    <row r="94" spans="1:33" x14ac:dyDescent="0.3">
      <c r="A94" s="621" t="s">
        <v>33</v>
      </c>
      <c r="B94" s="622">
        <f>J94+L94+N94+P94+R94+T94+V94+X94+Z94+AB94+AD94+H94</f>
        <v>0</v>
      </c>
      <c r="C94" s="117">
        <f>SUM(H94)</f>
        <v>0</v>
      </c>
      <c r="D94" s="118">
        <f>E94</f>
        <v>0</v>
      </c>
      <c r="E94" s="117">
        <f>SUM(I94,K94,M94,O94,Q94,S94,U94,W94,Y94,AA94,AC94,AE94)</f>
        <v>0</v>
      </c>
      <c r="F94" s="116">
        <f>IFERROR(E94/B94*100,0)</f>
        <v>0</v>
      </c>
      <c r="G94" s="116">
        <f>IFERROR(E94/C94*100,0)</f>
        <v>0</v>
      </c>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29"/>
      <c r="AG94" s="102">
        <f t="shared" si="1"/>
        <v>0</v>
      </c>
    </row>
    <row r="95" spans="1:33" x14ac:dyDescent="0.3">
      <c r="A95" s="621" t="s">
        <v>170</v>
      </c>
      <c r="B95" s="622"/>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f t="shared" si="1"/>
        <v>0</v>
      </c>
    </row>
    <row r="96" spans="1:33" ht="65.25" customHeight="1" x14ac:dyDescent="0.3">
      <c r="A96" s="778" t="s">
        <v>587</v>
      </c>
      <c r="B96" s="622"/>
      <c r="C96" s="110"/>
      <c r="D96" s="110"/>
      <c r="E96" s="110"/>
      <c r="F96" s="110"/>
      <c r="G96" s="110"/>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29"/>
      <c r="AG96" s="102">
        <f t="shared" si="1"/>
        <v>0</v>
      </c>
    </row>
    <row r="97" spans="1:33" s="617" customFormat="1" x14ac:dyDescent="0.3">
      <c r="A97" s="789" t="s">
        <v>31</v>
      </c>
      <c r="B97" s="783">
        <f>B99+B100+B98+B101</f>
        <v>419625.8</v>
      </c>
      <c r="C97" s="783">
        <f>C99+C100+C98+C101</f>
        <v>287126.21000000002</v>
      </c>
      <c r="D97" s="783">
        <f>D99+D100+D98+D101</f>
        <v>285008.24</v>
      </c>
      <c r="E97" s="783">
        <f>E99+E100+E98+E101</f>
        <v>285008.24</v>
      </c>
      <c r="F97" s="783">
        <f>IFERROR(E97/B97*100,0)</f>
        <v>67.91961790719256</v>
      </c>
      <c r="G97" s="783">
        <f>IFERROR(E97/C97*100,0)</f>
        <v>99.262355742445095</v>
      </c>
      <c r="H97" s="783">
        <f t="shared" ref="H97:AE97" si="27">H99+H100+H98+H101</f>
        <v>52941.1</v>
      </c>
      <c r="I97" s="783">
        <f t="shared" si="27"/>
        <v>52207.3</v>
      </c>
      <c r="J97" s="783">
        <f t="shared" si="27"/>
        <v>67459.37</v>
      </c>
      <c r="K97" s="783">
        <f t="shared" si="27"/>
        <v>68193.149999999994</v>
      </c>
      <c r="L97" s="783">
        <f t="shared" si="27"/>
        <v>46679.61</v>
      </c>
      <c r="M97" s="783">
        <f t="shared" si="27"/>
        <v>46655.15</v>
      </c>
      <c r="N97" s="783">
        <f t="shared" si="27"/>
        <v>41708.04</v>
      </c>
      <c r="O97" s="783">
        <f t="shared" si="27"/>
        <v>41526.57</v>
      </c>
      <c r="P97" s="783">
        <f t="shared" si="27"/>
        <v>39256.01</v>
      </c>
      <c r="Q97" s="783">
        <f t="shared" si="27"/>
        <v>39256.57</v>
      </c>
      <c r="R97" s="783">
        <f t="shared" si="27"/>
        <v>39082.080000000002</v>
      </c>
      <c r="S97" s="783">
        <f t="shared" si="27"/>
        <v>37169.5</v>
      </c>
      <c r="T97" s="783">
        <f t="shared" si="27"/>
        <v>28576.39</v>
      </c>
      <c r="U97" s="783">
        <f t="shared" si="27"/>
        <v>0</v>
      </c>
      <c r="V97" s="783">
        <f t="shared" si="27"/>
        <v>20001.739999999998</v>
      </c>
      <c r="W97" s="783">
        <f t="shared" si="27"/>
        <v>0</v>
      </c>
      <c r="X97" s="783">
        <f t="shared" si="27"/>
        <v>22682.51</v>
      </c>
      <c r="Y97" s="783">
        <f t="shared" si="27"/>
        <v>0</v>
      </c>
      <c r="Z97" s="783">
        <f t="shared" si="27"/>
        <v>21918.05</v>
      </c>
      <c r="AA97" s="783">
        <f t="shared" si="27"/>
        <v>0</v>
      </c>
      <c r="AB97" s="783">
        <f t="shared" si="27"/>
        <v>22266.19</v>
      </c>
      <c r="AC97" s="783">
        <f t="shared" si="27"/>
        <v>0</v>
      </c>
      <c r="AD97" s="783">
        <f t="shared" si="27"/>
        <v>17054.71</v>
      </c>
      <c r="AE97" s="783">
        <f t="shared" si="27"/>
        <v>0</v>
      </c>
      <c r="AF97" s="615"/>
      <c r="AG97" s="616">
        <f t="shared" si="1"/>
        <v>0</v>
      </c>
    </row>
    <row r="98" spans="1:33" x14ac:dyDescent="0.3">
      <c r="A98" s="621" t="s">
        <v>169</v>
      </c>
      <c r="B98" s="622"/>
      <c r="C98" s="117"/>
      <c r="D98" s="118"/>
      <c r="E98" s="117"/>
      <c r="F98" s="116"/>
      <c r="G98" s="116"/>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29"/>
      <c r="AG98" s="102">
        <f t="shared" si="1"/>
        <v>0</v>
      </c>
    </row>
    <row r="99" spans="1:33" x14ac:dyDescent="0.3">
      <c r="A99" s="621" t="s">
        <v>32</v>
      </c>
      <c r="B99" s="622"/>
      <c r="C99" s="777"/>
      <c r="D99" s="780"/>
      <c r="E99" s="117"/>
      <c r="F99" s="116"/>
      <c r="G99" s="116"/>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29"/>
      <c r="AG99" s="102">
        <f t="shared" si="1"/>
        <v>0</v>
      </c>
    </row>
    <row r="100" spans="1:33" x14ac:dyDescent="0.3">
      <c r="A100" s="621" t="s">
        <v>33</v>
      </c>
      <c r="B100" s="622">
        <f>J100+L100+N100+P100+R100+T100+V100+X100+Z100+AB100+AD100+H100</f>
        <v>409625.8</v>
      </c>
      <c r="C100" s="785">
        <f>SUM(H100+J100+L100+N100+P100+R100)</f>
        <v>279603.71000000002</v>
      </c>
      <c r="D100" s="786">
        <f>E100</f>
        <v>277667.24</v>
      </c>
      <c r="E100" s="785">
        <f>SUM(I100,K100,M100,O100,Q100,S100,U100,W100,Y100,AA100,AC100,AE100)</f>
        <v>277667.24</v>
      </c>
      <c r="F100" s="784">
        <f>IFERROR(E100/B100*100,0)</f>
        <v>67.78558381820676</v>
      </c>
      <c r="G100" s="784">
        <f>IFERROR(E100/C100*100,0)</f>
        <v>99.307423352858933</v>
      </c>
      <c r="H100" s="519">
        <f>52941.1</f>
        <v>52941.1</v>
      </c>
      <c r="I100" s="519">
        <v>52207.3</v>
      </c>
      <c r="J100" s="519">
        <f>67459.37</f>
        <v>67459.37</v>
      </c>
      <c r="K100" s="519">
        <v>68193.149999999994</v>
      </c>
      <c r="L100" s="519">
        <v>43449.61</v>
      </c>
      <c r="M100" s="519">
        <v>43425.15</v>
      </c>
      <c r="N100" s="519">
        <v>37415.54</v>
      </c>
      <c r="O100" s="519">
        <v>37415.57</v>
      </c>
      <c r="P100" s="519">
        <v>39256.01</v>
      </c>
      <c r="Q100" s="519">
        <v>39256.57</v>
      </c>
      <c r="R100" s="519">
        <f>35938.43+3143.65</f>
        <v>39082.080000000002</v>
      </c>
      <c r="S100" s="519">
        <v>37169.5</v>
      </c>
      <c r="T100" s="519">
        <v>28576.39</v>
      </c>
      <c r="U100" s="519"/>
      <c r="V100" s="519">
        <f>21492.64-1490.9</f>
        <v>20001.739999999998</v>
      </c>
      <c r="W100" s="519"/>
      <c r="X100" s="519">
        <v>22682.51</v>
      </c>
      <c r="Y100" s="519"/>
      <c r="Z100" s="519">
        <f>25061.7-3143.65</f>
        <v>21918.05</v>
      </c>
      <c r="AA100" s="519"/>
      <c r="AB100" s="519">
        <v>22266.19</v>
      </c>
      <c r="AC100" s="519"/>
      <c r="AD100" s="519">
        <f>18867.51-4290.3</f>
        <v>14577.21</v>
      </c>
      <c r="AE100" s="111"/>
      <c r="AF100" s="29"/>
      <c r="AG100" s="102">
        <f t="shared" si="1"/>
        <v>2.5465851649641991E-11</v>
      </c>
    </row>
    <row r="101" spans="1:33" x14ac:dyDescent="0.3">
      <c r="A101" s="621" t="s">
        <v>170</v>
      </c>
      <c r="B101" s="622">
        <f>J101+L101+N101+P101+R101+T101+V101+X101+Z101+AB101+AD101+H101</f>
        <v>10000</v>
      </c>
      <c r="C101" s="785">
        <f>L101+N101</f>
        <v>7522.5</v>
      </c>
      <c r="D101" s="786">
        <f>E101</f>
        <v>7341</v>
      </c>
      <c r="E101" s="785">
        <f>SUM(I101,K101,M101,O101,Q101,S101,U101,W101,Y101,AA101,AC101,AE101)</f>
        <v>7341</v>
      </c>
      <c r="F101" s="784">
        <f>IFERROR(E101/B101*100,0)</f>
        <v>73.41</v>
      </c>
      <c r="G101" s="784">
        <f>IFERROR(E101/C101*100,0)</f>
        <v>97.587238285144565</v>
      </c>
      <c r="H101" s="519">
        <v>0</v>
      </c>
      <c r="I101" s="519">
        <v>0</v>
      </c>
      <c r="J101" s="519">
        <v>0</v>
      </c>
      <c r="K101" s="519"/>
      <c r="L101" s="519">
        <v>3230</v>
      </c>
      <c r="M101" s="519">
        <v>3230</v>
      </c>
      <c r="N101" s="519">
        <f>4471.5-179</f>
        <v>4292.5</v>
      </c>
      <c r="O101" s="519">
        <v>4111</v>
      </c>
      <c r="P101" s="519">
        <v>0</v>
      </c>
      <c r="Q101" s="519"/>
      <c r="R101" s="519">
        <v>0</v>
      </c>
      <c r="S101" s="519"/>
      <c r="T101" s="519">
        <v>0</v>
      </c>
      <c r="U101" s="519"/>
      <c r="V101" s="519"/>
      <c r="W101" s="519"/>
      <c r="X101" s="519">
        <v>0</v>
      </c>
      <c r="Y101" s="519"/>
      <c r="Z101" s="519">
        <v>0</v>
      </c>
      <c r="AA101" s="519"/>
      <c r="AB101" s="519">
        <v>0</v>
      </c>
      <c r="AC101" s="519"/>
      <c r="AD101" s="519">
        <f>2477.5</f>
        <v>2477.5</v>
      </c>
      <c r="AE101" s="111"/>
      <c r="AF101" s="29"/>
      <c r="AG101" s="102">
        <f t="shared" si="1"/>
        <v>0</v>
      </c>
    </row>
    <row r="102" spans="1:33" ht="287.25" customHeight="1" x14ac:dyDescent="0.3">
      <c r="A102" s="778" t="s">
        <v>521</v>
      </c>
      <c r="B102" s="622"/>
      <c r="C102" s="110"/>
      <c r="D102" s="110"/>
      <c r="E102" s="110"/>
      <c r="F102" s="110"/>
      <c r="G102" s="110"/>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678" t="s">
        <v>495</v>
      </c>
      <c r="AG102" s="102">
        <f t="shared" si="1"/>
        <v>0</v>
      </c>
    </row>
    <row r="103" spans="1:33" x14ac:dyDescent="0.3">
      <c r="A103" s="126" t="s">
        <v>31</v>
      </c>
      <c r="B103" s="619">
        <f>B105+B106+B104+B107</f>
        <v>2032809.6001999998</v>
      </c>
      <c r="C103" s="619">
        <f>C105+C106+C104+C107</f>
        <v>1329457.9859999998</v>
      </c>
      <c r="D103" s="619">
        <f>D105+D106+D104+D107</f>
        <v>1074523.21</v>
      </c>
      <c r="E103" s="113">
        <f>E105+E106+E104+E107</f>
        <v>1074523.21</v>
      </c>
      <c r="F103" s="113">
        <f>IFERROR(E103/B103*100,0)</f>
        <v>52.859018862085364</v>
      </c>
      <c r="G103" s="113">
        <f>IFERROR(E103/C103*100,0)</f>
        <v>80.82415701100615</v>
      </c>
      <c r="H103" s="113">
        <f t="shared" ref="H103:AE103" si="28">H105+H106+H104+H107</f>
        <v>154921.35999999999</v>
      </c>
      <c r="I103" s="113">
        <f t="shared" si="28"/>
        <v>32726.3</v>
      </c>
      <c r="J103" s="113">
        <f t="shared" si="28"/>
        <v>209296.92600000001</v>
      </c>
      <c r="K103" s="113">
        <f t="shared" si="28"/>
        <v>174495.7</v>
      </c>
      <c r="L103" s="113">
        <f t="shared" si="28"/>
        <v>185523.4</v>
      </c>
      <c r="M103" s="113">
        <f t="shared" si="28"/>
        <v>145599.5</v>
      </c>
      <c r="N103" s="113">
        <f t="shared" si="28"/>
        <v>225302.69</v>
      </c>
      <c r="O103" s="113">
        <f t="shared" si="28"/>
        <v>162726.53</v>
      </c>
      <c r="P103" s="113">
        <f t="shared" si="28"/>
        <v>380330.2</v>
      </c>
      <c r="Q103" s="113">
        <f t="shared" si="28"/>
        <v>380330.2</v>
      </c>
      <c r="R103" s="113">
        <f t="shared" si="28"/>
        <v>174083.41</v>
      </c>
      <c r="S103" s="113">
        <f t="shared" si="28"/>
        <v>178644.98</v>
      </c>
      <c r="T103" s="113">
        <f t="shared" si="28"/>
        <v>124068</v>
      </c>
      <c r="U103" s="113">
        <f t="shared" si="28"/>
        <v>0</v>
      </c>
      <c r="V103" s="113">
        <f t="shared" si="28"/>
        <v>88859</v>
      </c>
      <c r="W103" s="113">
        <f t="shared" si="28"/>
        <v>0</v>
      </c>
      <c r="X103" s="113">
        <f t="shared" si="28"/>
        <v>116638.19500000001</v>
      </c>
      <c r="Y103" s="113">
        <f t="shared" si="28"/>
        <v>0</v>
      </c>
      <c r="Z103" s="113">
        <f t="shared" si="28"/>
        <v>111314.9</v>
      </c>
      <c r="AA103" s="113">
        <f t="shared" si="28"/>
        <v>0</v>
      </c>
      <c r="AB103" s="113">
        <f t="shared" si="28"/>
        <v>104424.5</v>
      </c>
      <c r="AC103" s="113">
        <f t="shared" si="28"/>
        <v>0</v>
      </c>
      <c r="AD103" s="113">
        <f t="shared" si="28"/>
        <v>158047.01920000001</v>
      </c>
      <c r="AE103" s="113">
        <f t="shared" si="28"/>
        <v>0</v>
      </c>
      <c r="AF103" s="29"/>
      <c r="AG103" s="102">
        <f t="shared" si="1"/>
        <v>0</v>
      </c>
    </row>
    <row r="104" spans="1:33" x14ac:dyDescent="0.3">
      <c r="A104" s="127" t="s">
        <v>169</v>
      </c>
      <c r="B104" s="116"/>
      <c r="C104" s="117"/>
      <c r="D104" s="118"/>
      <c r="E104" s="117"/>
      <c r="F104" s="116"/>
      <c r="G104" s="116"/>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29"/>
      <c r="AG104" s="102">
        <f t="shared" si="1"/>
        <v>0</v>
      </c>
    </row>
    <row r="105" spans="1:33" s="159" customFormat="1" x14ac:dyDescent="0.3">
      <c r="A105" s="127" t="s">
        <v>32</v>
      </c>
      <c r="B105" s="116">
        <f>J105+L105+N105+P105+R105+T105+V105+X105+Z105+AB105+AD105+H105</f>
        <v>2032809.6001999998</v>
      </c>
      <c r="C105" s="117">
        <f>H105+J105+L105+N105+P105+R105</f>
        <v>1329457.9859999998</v>
      </c>
      <c r="D105" s="118">
        <f>E105</f>
        <v>1074523.21</v>
      </c>
      <c r="E105" s="117">
        <f>SUM(I105,K105,M105,O105,Q105,S105,U105,W105,Y105,AA105,AC105,AE105)</f>
        <v>1074523.21</v>
      </c>
      <c r="F105" s="116">
        <f>IFERROR(E105/B105*100,0)</f>
        <v>52.859018862085364</v>
      </c>
      <c r="G105" s="116">
        <f>IFERROR(E105/C105*100,0)</f>
        <v>80.82415701100615</v>
      </c>
      <c r="H105" s="137">
        <v>154921.35999999999</v>
      </c>
      <c r="I105" s="137">
        <v>32726.3</v>
      </c>
      <c r="J105" s="137">
        <v>209296.92600000001</v>
      </c>
      <c r="K105" s="137">
        <v>174495.7</v>
      </c>
      <c r="L105" s="137">
        <v>185523.4</v>
      </c>
      <c r="M105" s="137">
        <v>145599.5</v>
      </c>
      <c r="N105" s="137">
        <f>59.99+225242.7</f>
        <v>225302.69</v>
      </c>
      <c r="O105" s="137">
        <v>162726.53</v>
      </c>
      <c r="P105" s="137">
        <v>380330.2</v>
      </c>
      <c r="Q105" s="137">
        <v>380330.2</v>
      </c>
      <c r="R105" s="137">
        <f>174143.4-59.99</f>
        <v>174083.41</v>
      </c>
      <c r="S105" s="137">
        <v>178644.98</v>
      </c>
      <c r="T105" s="137">
        <v>124068</v>
      </c>
      <c r="U105" s="137"/>
      <c r="V105" s="137">
        <v>88859</v>
      </c>
      <c r="W105" s="137"/>
      <c r="X105" s="137">
        <v>116638.19500000001</v>
      </c>
      <c r="Y105" s="137"/>
      <c r="Z105" s="137">
        <v>111314.9</v>
      </c>
      <c r="AA105" s="137"/>
      <c r="AB105" s="137">
        <v>104424.5</v>
      </c>
      <c r="AC105" s="137"/>
      <c r="AD105" s="137">
        <v>158047.01920000001</v>
      </c>
      <c r="AE105" s="137"/>
      <c r="AF105" s="90"/>
      <c r="AG105" s="793">
        <f t="shared" si="1"/>
        <v>0</v>
      </c>
    </row>
    <row r="106" spans="1:33" x14ac:dyDescent="0.3">
      <c r="A106" s="115" t="s">
        <v>33</v>
      </c>
      <c r="B106" s="116">
        <f>J106+L106+N106+P106+R106+T106+V106+X106+Z106+AB106+AD106+H106</f>
        <v>0</v>
      </c>
      <c r="C106" s="117">
        <f>SUM(H106)</f>
        <v>0</v>
      </c>
      <c r="D106" s="118">
        <f>E106</f>
        <v>0</v>
      </c>
      <c r="E106" s="117">
        <f>SUM(I106,K106,M106,O106,Q106,S106,U106,W106,Y106,AA106,AC106,AE106)</f>
        <v>0</v>
      </c>
      <c r="F106" s="116">
        <f>IFERROR(E106/B106*100,0)</f>
        <v>0</v>
      </c>
      <c r="G106" s="116">
        <f>IFERROR(E106/C106*100,0)</f>
        <v>0</v>
      </c>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29"/>
      <c r="AG106" s="102">
        <f t="shared" si="1"/>
        <v>0</v>
      </c>
    </row>
    <row r="107" spans="1:33" x14ac:dyDescent="0.3">
      <c r="A107" s="115" t="s">
        <v>170</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29"/>
      <c r="AG107" s="102">
        <f t="shared" si="1"/>
        <v>0</v>
      </c>
    </row>
    <row r="108" spans="1:33" ht="175.5" customHeight="1" x14ac:dyDescent="0.3">
      <c r="A108" s="778" t="s">
        <v>580</v>
      </c>
      <c r="B108" s="622"/>
      <c r="C108" s="110"/>
      <c r="D108" s="110"/>
      <c r="E108" s="110"/>
      <c r="F108" s="110"/>
      <c r="G108" s="110"/>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29"/>
      <c r="AG108" s="102">
        <f t="shared" si="1"/>
        <v>0</v>
      </c>
    </row>
    <row r="109" spans="1:33" x14ac:dyDescent="0.3">
      <c r="A109" s="618" t="s">
        <v>31</v>
      </c>
      <c r="B109" s="619">
        <f>B111+B112+B110+B113</f>
        <v>41985.999629999991</v>
      </c>
      <c r="C109" s="113">
        <f>C111+C112+C110+C113</f>
        <v>27718.842919999999</v>
      </c>
      <c r="D109" s="113">
        <f>D111+D112+D110+D113</f>
        <v>22134.9</v>
      </c>
      <c r="E109" s="113">
        <f>E111+E112+E110+E113</f>
        <v>22134.9</v>
      </c>
      <c r="F109" s="113">
        <f>IFERROR(E109/B109*100,0)</f>
        <v>52.719716560431948</v>
      </c>
      <c r="G109" s="113">
        <f>IFERROR(E109/C109*100,0)</f>
        <v>79.855064888112594</v>
      </c>
      <c r="H109" s="113">
        <f t="shared" ref="H109:AE109" si="29">H111+H112+H110+H113</f>
        <v>4196.0200000000004</v>
      </c>
      <c r="I109" s="113">
        <f t="shared" si="29"/>
        <v>1246.8</v>
      </c>
      <c r="J109" s="113">
        <f t="shared" si="29"/>
        <v>5361.4637899999998</v>
      </c>
      <c r="K109" s="113">
        <f t="shared" si="29"/>
        <v>3305.4</v>
      </c>
      <c r="L109" s="113">
        <f t="shared" si="29"/>
        <v>5339.3157899999997</v>
      </c>
      <c r="M109" s="113">
        <f t="shared" si="29"/>
        <v>4656.92</v>
      </c>
      <c r="N109" s="113">
        <f t="shared" si="29"/>
        <v>4827.5657899999997</v>
      </c>
      <c r="O109" s="113">
        <f t="shared" si="29"/>
        <v>4183.6499999999996</v>
      </c>
      <c r="P109" s="113">
        <f t="shared" si="29"/>
        <v>4491.1637700000001</v>
      </c>
      <c r="Q109" s="113">
        <f t="shared" si="29"/>
        <v>4491.16</v>
      </c>
      <c r="R109" s="113">
        <f t="shared" si="29"/>
        <v>3503.31378</v>
      </c>
      <c r="S109" s="113">
        <f t="shared" si="29"/>
        <v>4250.97</v>
      </c>
      <c r="T109" s="113">
        <f t="shared" si="29"/>
        <v>2771.1637900000001</v>
      </c>
      <c r="U109" s="113">
        <f t="shared" si="29"/>
        <v>0</v>
      </c>
      <c r="V109" s="113">
        <f t="shared" si="29"/>
        <v>2371.16579</v>
      </c>
      <c r="W109" s="113">
        <f t="shared" si="29"/>
        <v>0</v>
      </c>
      <c r="X109" s="113">
        <f t="shared" si="29"/>
        <v>2866.3137900000002</v>
      </c>
      <c r="Y109" s="113">
        <f t="shared" si="29"/>
        <v>0</v>
      </c>
      <c r="Z109" s="113">
        <f t="shared" si="29"/>
        <v>2401.0537899999999</v>
      </c>
      <c r="AA109" s="113">
        <f t="shared" si="29"/>
        <v>0</v>
      </c>
      <c r="AB109" s="113">
        <f t="shared" si="29"/>
        <v>2055.01379</v>
      </c>
      <c r="AC109" s="113">
        <f t="shared" si="29"/>
        <v>0</v>
      </c>
      <c r="AD109" s="113">
        <f t="shared" si="29"/>
        <v>1802.4457600000001</v>
      </c>
      <c r="AE109" s="113">
        <f t="shared" si="29"/>
        <v>0</v>
      </c>
      <c r="AF109" s="29"/>
      <c r="AG109" s="102">
        <f t="shared" si="1"/>
        <v>-1.6825651982799172E-11</v>
      </c>
    </row>
    <row r="110" spans="1:33" x14ac:dyDescent="0.3">
      <c r="A110" s="621" t="s">
        <v>169</v>
      </c>
      <c r="B110" s="622"/>
      <c r="C110" s="117"/>
      <c r="D110" s="118"/>
      <c r="E110" s="117"/>
      <c r="F110" s="116"/>
      <c r="G110" s="116"/>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29"/>
      <c r="AG110" s="102">
        <f t="shared" si="1"/>
        <v>0</v>
      </c>
    </row>
    <row r="111" spans="1:33" x14ac:dyDescent="0.3">
      <c r="A111" s="621" t="s">
        <v>32</v>
      </c>
      <c r="B111" s="622">
        <f>J111+L111+N111+P111+R111+T111+V111+X111+Z111+AB111+AD111+H111</f>
        <v>41985.999629999991</v>
      </c>
      <c r="C111" s="117">
        <f>H111+J111+L111+N111+P111+R111</f>
        <v>27718.842919999999</v>
      </c>
      <c r="D111" s="118">
        <f>E111</f>
        <v>22134.9</v>
      </c>
      <c r="E111" s="117">
        <f>SUM(I111,K111,M111,O111,Q111,S111,U111,W111,Y111,AA111,AC111,AE111)</f>
        <v>22134.9</v>
      </c>
      <c r="F111" s="116">
        <f>IFERROR(E111/B111*100,0)</f>
        <v>52.719716560431948</v>
      </c>
      <c r="G111" s="116">
        <f>IFERROR(E111/C111*100,0)</f>
        <v>79.855064888112594</v>
      </c>
      <c r="H111" s="137">
        <f>3940+256.02</f>
        <v>4196.0200000000004</v>
      </c>
      <c r="I111" s="137">
        <v>1246.8</v>
      </c>
      <c r="J111" s="111">
        <v>5361.4637899999998</v>
      </c>
      <c r="K111" s="111">
        <v>3305.4</v>
      </c>
      <c r="L111" s="111">
        <v>5339.3157899999997</v>
      </c>
      <c r="M111" s="111">
        <v>4656.92</v>
      </c>
      <c r="N111" s="111">
        <v>4827.5657899999997</v>
      </c>
      <c r="O111" s="111">
        <v>4183.6499999999996</v>
      </c>
      <c r="P111" s="111">
        <v>4491.1637700000001</v>
      </c>
      <c r="Q111" s="111">
        <v>4491.16</v>
      </c>
      <c r="R111" s="111">
        <f>3503.31378</f>
        <v>3503.31378</v>
      </c>
      <c r="S111" s="111">
        <v>4250.97</v>
      </c>
      <c r="T111" s="111">
        <v>2771.1637900000001</v>
      </c>
      <c r="U111" s="111"/>
      <c r="V111" s="111">
        <v>2371.16579</v>
      </c>
      <c r="W111" s="111"/>
      <c r="X111" s="111">
        <v>2866.3137900000002</v>
      </c>
      <c r="Y111" s="111"/>
      <c r="Z111" s="111">
        <f>2401.06379-0.01</f>
        <v>2401.0537899999999</v>
      </c>
      <c r="AA111" s="111"/>
      <c r="AB111" s="111">
        <v>2055.01379</v>
      </c>
      <c r="AC111" s="111"/>
      <c r="AD111" s="111">
        <v>1802.4457600000001</v>
      </c>
      <c r="AE111" s="111"/>
      <c r="AF111" s="29"/>
      <c r="AG111" s="102">
        <f t="shared" si="1"/>
        <v>-1.6825651982799172E-11</v>
      </c>
    </row>
    <row r="112" spans="1:33" x14ac:dyDescent="0.3">
      <c r="A112" s="115" t="s">
        <v>33</v>
      </c>
      <c r="B112" s="116">
        <f>J112+L112+N112+P112+R112+T112+V112+X112+Z112+AB112+AD112+H112</f>
        <v>0</v>
      </c>
      <c r="C112" s="117">
        <f>SUM(H112)</f>
        <v>0</v>
      </c>
      <c r="D112" s="118">
        <f>E112</f>
        <v>0</v>
      </c>
      <c r="E112" s="117">
        <f>SUM(I112,K112,M112,O112,Q112,S112,U112,W112,Y112,AA112,AC112,AE112)</f>
        <v>0</v>
      </c>
      <c r="F112" s="116">
        <f>IFERROR(E112/B112*100,0)</f>
        <v>0</v>
      </c>
      <c r="G112" s="116">
        <f>IFERROR(E112/C112*100,0)</f>
        <v>0</v>
      </c>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29"/>
      <c r="AG112" s="102">
        <f t="shared" si="1"/>
        <v>0</v>
      </c>
    </row>
    <row r="113" spans="1:34" x14ac:dyDescent="0.3">
      <c r="A113" s="115" t="s">
        <v>170</v>
      </c>
      <c r="B113" s="116"/>
      <c r="C113" s="117"/>
      <c r="D113" s="118"/>
      <c r="E113" s="117"/>
      <c r="F113" s="116"/>
      <c r="G113" s="116"/>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f t="shared" si="1"/>
        <v>0</v>
      </c>
    </row>
    <row r="114" spans="1:34" ht="123" customHeight="1" x14ac:dyDescent="0.3">
      <c r="A114" s="778" t="s">
        <v>284</v>
      </c>
      <c r="B114" s="622"/>
      <c r="C114" s="630"/>
      <c r="D114" s="630"/>
      <c r="E114" s="630"/>
      <c r="F114" s="630"/>
      <c r="G114" s="630"/>
      <c r="H114" s="519"/>
      <c r="I114" s="519"/>
      <c r="J114" s="519"/>
      <c r="K114" s="519"/>
      <c r="L114" s="519"/>
      <c r="M114" s="519"/>
      <c r="N114" s="519"/>
      <c r="O114" s="519"/>
      <c r="P114" s="519"/>
      <c r="Q114" s="111"/>
      <c r="R114" s="111"/>
      <c r="S114" s="111"/>
      <c r="T114" s="111"/>
      <c r="U114" s="111"/>
      <c r="V114" s="111"/>
      <c r="W114" s="111"/>
      <c r="X114" s="111"/>
      <c r="Y114" s="111"/>
      <c r="Z114" s="111"/>
      <c r="AA114" s="111"/>
      <c r="AB114" s="111"/>
      <c r="AC114" s="111"/>
      <c r="AD114" s="111"/>
      <c r="AE114" s="111"/>
      <c r="AF114" s="688" t="s">
        <v>502</v>
      </c>
      <c r="AG114" s="102">
        <f t="shared" si="1"/>
        <v>0</v>
      </c>
    </row>
    <row r="115" spans="1:34" x14ac:dyDescent="0.3">
      <c r="A115" s="618" t="s">
        <v>31</v>
      </c>
      <c r="B115" s="619">
        <f>B117+B118+B116+B119</f>
        <v>11760</v>
      </c>
      <c r="C115" s="619">
        <f>C117+C118+C116+C119</f>
        <v>5880</v>
      </c>
      <c r="D115" s="619">
        <f>D117+D118+D116+D119</f>
        <v>3388</v>
      </c>
      <c r="E115" s="619">
        <f>E117+E118+E116+E119</f>
        <v>3388</v>
      </c>
      <c r="F115" s="619">
        <f>IFERROR(E115/B115*100,0)</f>
        <v>28.809523809523807</v>
      </c>
      <c r="G115" s="619">
        <f>IFERROR(E115/C115*100,0)</f>
        <v>57.619047619047613</v>
      </c>
      <c r="H115" s="619">
        <f t="shared" ref="H115:AE115" si="30">H117+H118+H116+H119</f>
        <v>980</v>
      </c>
      <c r="I115" s="619">
        <f t="shared" si="30"/>
        <v>0</v>
      </c>
      <c r="J115" s="619">
        <f t="shared" si="30"/>
        <v>980</v>
      </c>
      <c r="K115" s="619">
        <f t="shared" si="30"/>
        <v>720</v>
      </c>
      <c r="L115" s="619">
        <f t="shared" si="30"/>
        <v>980</v>
      </c>
      <c r="M115" s="619">
        <f t="shared" si="30"/>
        <v>652</v>
      </c>
      <c r="N115" s="619">
        <f t="shared" si="30"/>
        <v>980</v>
      </c>
      <c r="O115" s="619">
        <f t="shared" si="30"/>
        <v>652</v>
      </c>
      <c r="P115" s="619">
        <f t="shared" si="30"/>
        <v>980</v>
      </c>
      <c r="Q115" s="113">
        <f t="shared" si="30"/>
        <v>980</v>
      </c>
      <c r="R115" s="113">
        <f t="shared" si="30"/>
        <v>980</v>
      </c>
      <c r="S115" s="113">
        <f t="shared" si="30"/>
        <v>384</v>
      </c>
      <c r="T115" s="113">
        <f t="shared" si="30"/>
        <v>980</v>
      </c>
      <c r="U115" s="113">
        <f t="shared" si="30"/>
        <v>0</v>
      </c>
      <c r="V115" s="113">
        <f t="shared" si="30"/>
        <v>980</v>
      </c>
      <c r="W115" s="113">
        <f t="shared" si="30"/>
        <v>0</v>
      </c>
      <c r="X115" s="113">
        <f t="shared" si="30"/>
        <v>980</v>
      </c>
      <c r="Y115" s="113">
        <f t="shared" si="30"/>
        <v>0</v>
      </c>
      <c r="Z115" s="113">
        <f t="shared" si="30"/>
        <v>980</v>
      </c>
      <c r="AA115" s="113">
        <f t="shared" si="30"/>
        <v>0</v>
      </c>
      <c r="AB115" s="113">
        <f t="shared" si="30"/>
        <v>980</v>
      </c>
      <c r="AC115" s="113">
        <f t="shared" si="30"/>
        <v>0</v>
      </c>
      <c r="AD115" s="113">
        <f t="shared" si="30"/>
        <v>980</v>
      </c>
      <c r="AE115" s="113">
        <f t="shared" si="30"/>
        <v>0</v>
      </c>
      <c r="AF115" s="29"/>
      <c r="AG115" s="102">
        <f t="shared" si="1"/>
        <v>0</v>
      </c>
    </row>
    <row r="116" spans="1:34" x14ac:dyDescent="0.3">
      <c r="A116" s="621" t="s">
        <v>169</v>
      </c>
      <c r="B116" s="622"/>
      <c r="C116" s="777"/>
      <c r="D116" s="780"/>
      <c r="E116" s="777"/>
      <c r="F116" s="622"/>
      <c r="G116" s="622"/>
      <c r="H116" s="519"/>
      <c r="I116" s="519"/>
      <c r="J116" s="519"/>
      <c r="K116" s="519"/>
      <c r="L116" s="519"/>
      <c r="M116" s="519"/>
      <c r="N116" s="519"/>
      <c r="O116" s="519"/>
      <c r="P116" s="519"/>
      <c r="Q116" s="111"/>
      <c r="R116" s="111"/>
      <c r="S116" s="111"/>
      <c r="T116" s="111"/>
      <c r="U116" s="111"/>
      <c r="V116" s="111"/>
      <c r="W116" s="111"/>
      <c r="X116" s="111"/>
      <c r="Y116" s="111"/>
      <c r="Z116" s="111"/>
      <c r="AA116" s="111"/>
      <c r="AB116" s="111"/>
      <c r="AC116" s="111"/>
      <c r="AD116" s="111"/>
      <c r="AE116" s="111"/>
      <c r="AF116" s="29"/>
      <c r="AG116" s="102">
        <f t="shared" si="1"/>
        <v>0</v>
      </c>
    </row>
    <row r="117" spans="1:34" x14ac:dyDescent="0.3">
      <c r="A117" s="621" t="s">
        <v>32</v>
      </c>
      <c r="B117" s="622">
        <f>J117+L117+N117+P117+R117+T117+V117+X117+Z117+AB117+AD117+H117</f>
        <v>11760</v>
      </c>
      <c r="C117" s="777">
        <f>H117+J117+L117+N117+P117+R117</f>
        <v>5880</v>
      </c>
      <c r="D117" s="780">
        <f>E117</f>
        <v>3388</v>
      </c>
      <c r="E117" s="777">
        <f>SUM(I117,K117,M117,O117,Q117,S117,U117,W117,Y117,AA117,AC117,AE117)</f>
        <v>3388</v>
      </c>
      <c r="F117" s="622">
        <f>IFERROR(E117/B117*100,0)</f>
        <v>28.809523809523807</v>
      </c>
      <c r="G117" s="622">
        <f>IFERROR(E117/C117*100,0)</f>
        <v>57.619047619047613</v>
      </c>
      <c r="H117" s="519">
        <v>980</v>
      </c>
      <c r="I117" s="519"/>
      <c r="J117" s="519">
        <v>980</v>
      </c>
      <c r="K117" s="519">
        <v>720</v>
      </c>
      <c r="L117" s="519">
        <v>980</v>
      </c>
      <c r="M117" s="519">
        <v>652</v>
      </c>
      <c r="N117" s="519">
        <v>980</v>
      </c>
      <c r="O117" s="519">
        <v>652</v>
      </c>
      <c r="P117" s="519">
        <v>980</v>
      </c>
      <c r="Q117" s="111">
        <v>980</v>
      </c>
      <c r="R117" s="111">
        <v>980</v>
      </c>
      <c r="S117" s="111">
        <v>384</v>
      </c>
      <c r="T117" s="111">
        <v>980</v>
      </c>
      <c r="U117" s="111"/>
      <c r="V117" s="111">
        <v>980</v>
      </c>
      <c r="W117" s="111"/>
      <c r="X117" s="111">
        <v>980</v>
      </c>
      <c r="Y117" s="111"/>
      <c r="Z117" s="111">
        <v>980</v>
      </c>
      <c r="AA117" s="111"/>
      <c r="AB117" s="111">
        <v>980</v>
      </c>
      <c r="AC117" s="111"/>
      <c r="AD117" s="111">
        <v>980</v>
      </c>
      <c r="AE117" s="111"/>
      <c r="AF117" s="29"/>
      <c r="AG117" s="102">
        <f t="shared" si="1"/>
        <v>0</v>
      </c>
      <c r="AH117" s="687">
        <f>C117-E117</f>
        <v>2492</v>
      </c>
    </row>
    <row r="118" spans="1:34" x14ac:dyDescent="0.3">
      <c r="A118" s="621" t="s">
        <v>33</v>
      </c>
      <c r="B118" s="622">
        <f>J118+L118+N118+P118+R118+T118+V118+X118+Z118+AB118+AD118+H118</f>
        <v>0</v>
      </c>
      <c r="C118" s="777">
        <f>SUM(H118)</f>
        <v>0</v>
      </c>
      <c r="D118" s="780">
        <f>E118</f>
        <v>0</v>
      </c>
      <c r="E118" s="777">
        <f>SUM(I118,K118,M118,O118,Q118,S118,U118,W118,Y118,AA118,AC118,AE118)</f>
        <v>0</v>
      </c>
      <c r="F118" s="622">
        <f>IFERROR(E118/B118*100,0)</f>
        <v>0</v>
      </c>
      <c r="G118" s="622">
        <f>IFERROR(E118/C118*100,0)</f>
        <v>0</v>
      </c>
      <c r="H118" s="519"/>
      <c r="I118" s="519"/>
      <c r="J118" s="519"/>
      <c r="K118" s="519"/>
      <c r="L118" s="519"/>
      <c r="M118" s="519"/>
      <c r="N118" s="519"/>
      <c r="O118" s="519"/>
      <c r="P118" s="519"/>
      <c r="Q118" s="111"/>
      <c r="R118" s="111"/>
      <c r="S118" s="111"/>
      <c r="T118" s="111"/>
      <c r="U118" s="111"/>
      <c r="V118" s="111"/>
      <c r="W118" s="111"/>
      <c r="X118" s="111"/>
      <c r="Y118" s="111"/>
      <c r="Z118" s="111"/>
      <c r="AA118" s="111"/>
      <c r="AB118" s="111"/>
      <c r="AC118" s="111"/>
      <c r="AD118" s="111"/>
      <c r="AE118" s="111"/>
      <c r="AF118" s="29"/>
      <c r="AG118" s="102">
        <f t="shared" si="1"/>
        <v>0</v>
      </c>
    </row>
    <row r="119" spans="1:34" x14ac:dyDescent="0.3">
      <c r="A119" s="621" t="s">
        <v>170</v>
      </c>
      <c r="B119" s="622"/>
      <c r="C119" s="777"/>
      <c r="D119" s="780"/>
      <c r="E119" s="777"/>
      <c r="F119" s="622"/>
      <c r="G119" s="622"/>
      <c r="H119" s="519"/>
      <c r="I119" s="519"/>
      <c r="J119" s="519"/>
      <c r="K119" s="519"/>
      <c r="L119" s="519"/>
      <c r="M119" s="519"/>
      <c r="N119" s="519"/>
      <c r="O119" s="519"/>
      <c r="P119" s="519"/>
      <c r="Q119" s="111"/>
      <c r="R119" s="111"/>
      <c r="S119" s="111"/>
      <c r="T119" s="111"/>
      <c r="U119" s="111"/>
      <c r="V119" s="111"/>
      <c r="W119" s="111"/>
      <c r="X119" s="111"/>
      <c r="Y119" s="111"/>
      <c r="Z119" s="111"/>
      <c r="AA119" s="111"/>
      <c r="AB119" s="111"/>
      <c r="AC119" s="111"/>
      <c r="AD119" s="111"/>
      <c r="AE119" s="111"/>
      <c r="AF119" s="29"/>
      <c r="AG119" s="102">
        <f t="shared" si="1"/>
        <v>0</v>
      </c>
    </row>
    <row r="120" spans="1:34" ht="123" customHeight="1" x14ac:dyDescent="0.3">
      <c r="A120" s="778" t="s">
        <v>285</v>
      </c>
      <c r="B120" s="622"/>
      <c r="C120" s="630"/>
      <c r="D120" s="630"/>
      <c r="E120" s="630"/>
      <c r="F120" s="630"/>
      <c r="G120" s="630"/>
      <c r="H120" s="519"/>
      <c r="I120" s="519"/>
      <c r="J120" s="519"/>
      <c r="K120" s="519"/>
      <c r="L120" s="519"/>
      <c r="M120" s="519"/>
      <c r="N120" s="519"/>
      <c r="O120" s="519"/>
      <c r="P120" s="519"/>
      <c r="Q120" s="111"/>
      <c r="R120" s="111"/>
      <c r="S120" s="111"/>
      <c r="T120" s="111"/>
      <c r="U120" s="111"/>
      <c r="V120" s="111"/>
      <c r="W120" s="111"/>
      <c r="X120" s="111"/>
      <c r="Y120" s="111"/>
      <c r="Z120" s="111"/>
      <c r="AA120" s="111"/>
      <c r="AB120" s="111"/>
      <c r="AC120" s="111"/>
      <c r="AD120" s="111"/>
      <c r="AE120" s="111"/>
      <c r="AF120" s="29"/>
      <c r="AG120" s="102">
        <f t="shared" si="1"/>
        <v>0</v>
      </c>
    </row>
    <row r="121" spans="1:34" x14ac:dyDescent="0.3">
      <c r="A121" s="126" t="s">
        <v>31</v>
      </c>
      <c r="B121" s="113">
        <f>B123+B124+B122+B125</f>
        <v>60894.599999999991</v>
      </c>
      <c r="C121" s="113">
        <f>C123+C124+C122+C125</f>
        <v>15859.8</v>
      </c>
      <c r="D121" s="113">
        <f>D123+D124+D122+D125</f>
        <v>15842.470000000001</v>
      </c>
      <c r="E121" s="113">
        <f>E123+E124+E122+E125</f>
        <v>15842.470000000001</v>
      </c>
      <c r="F121" s="113">
        <f>IFERROR(E121/B121*100,0)</f>
        <v>26.016214902470828</v>
      </c>
      <c r="G121" s="113">
        <f>IFERROR(E121/C121*100,0)</f>
        <v>99.890730021816182</v>
      </c>
      <c r="H121" s="113">
        <f t="shared" ref="H121:AE121" si="31">H123+H124+H122+H125</f>
        <v>0</v>
      </c>
      <c r="I121" s="113">
        <f t="shared" si="31"/>
        <v>0</v>
      </c>
      <c r="J121" s="113">
        <f t="shared" si="31"/>
        <v>2974.6</v>
      </c>
      <c r="K121" s="113">
        <f t="shared" si="31"/>
        <v>2974.1</v>
      </c>
      <c r="L121" s="113">
        <f t="shared" si="31"/>
        <v>3148.4</v>
      </c>
      <c r="M121" s="113">
        <f t="shared" si="31"/>
        <v>3148.4</v>
      </c>
      <c r="N121" s="113">
        <f t="shared" si="31"/>
        <v>2989.8</v>
      </c>
      <c r="O121" s="113">
        <f t="shared" si="31"/>
        <v>2989.81</v>
      </c>
      <c r="P121" s="113">
        <f t="shared" si="31"/>
        <v>2989.8</v>
      </c>
      <c r="Q121" s="113">
        <f t="shared" si="31"/>
        <v>2989.8</v>
      </c>
      <c r="R121" s="113">
        <f t="shared" si="31"/>
        <v>3757.2</v>
      </c>
      <c r="S121" s="113">
        <f t="shared" si="31"/>
        <v>3740.36</v>
      </c>
      <c r="T121" s="113">
        <f t="shared" si="31"/>
        <v>0</v>
      </c>
      <c r="U121" s="113">
        <f t="shared" si="31"/>
        <v>0</v>
      </c>
      <c r="V121" s="113">
        <f t="shared" si="31"/>
        <v>0</v>
      </c>
      <c r="W121" s="113">
        <f t="shared" si="31"/>
        <v>0</v>
      </c>
      <c r="X121" s="113">
        <f t="shared" si="31"/>
        <v>0</v>
      </c>
      <c r="Y121" s="113">
        <f t="shared" si="31"/>
        <v>0</v>
      </c>
      <c r="Z121" s="113">
        <f t="shared" si="31"/>
        <v>0</v>
      </c>
      <c r="AA121" s="113">
        <f t="shared" si="31"/>
        <v>0</v>
      </c>
      <c r="AB121" s="113">
        <f t="shared" si="31"/>
        <v>0</v>
      </c>
      <c r="AC121" s="113">
        <f t="shared" si="31"/>
        <v>0</v>
      </c>
      <c r="AD121" s="113">
        <f t="shared" si="31"/>
        <v>45034.799999999996</v>
      </c>
      <c r="AE121" s="113">
        <f t="shared" si="31"/>
        <v>0</v>
      </c>
      <c r="AF121" s="29"/>
      <c r="AG121" s="102">
        <f t="shared" si="1"/>
        <v>0</v>
      </c>
    </row>
    <row r="122" spans="1:34" x14ac:dyDescent="0.3">
      <c r="A122" s="127" t="s">
        <v>169</v>
      </c>
      <c r="B122" s="116"/>
      <c r="C122" s="117"/>
      <c r="D122" s="118"/>
      <c r="E122" s="117"/>
      <c r="F122" s="116"/>
      <c r="G122" s="116"/>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29"/>
      <c r="AG122" s="102">
        <f t="shared" si="1"/>
        <v>0</v>
      </c>
    </row>
    <row r="123" spans="1:34" ht="93.75" x14ac:dyDescent="0.3">
      <c r="A123" s="127" t="s">
        <v>32</v>
      </c>
      <c r="B123" s="116">
        <f>J123+L123+N123+P123+R123+T123+V123+X123+Z123+AB123+AD123+H123</f>
        <v>60894.599999999991</v>
      </c>
      <c r="C123" s="117">
        <f>H123+J123+L123+N123+P123+R123</f>
        <v>15859.8</v>
      </c>
      <c r="D123" s="118">
        <f>E123</f>
        <v>15842.470000000001</v>
      </c>
      <c r="E123" s="117">
        <f>SUM(I123,K123,M123,O123,Q123,S123,U123,W123,Y123,AA123,AC123,AE123)</f>
        <v>15842.470000000001</v>
      </c>
      <c r="F123" s="116">
        <f>IFERROR(E123/B123*100,0)</f>
        <v>26.016214902470828</v>
      </c>
      <c r="G123" s="116">
        <f>IFERROR(E123/C123*100,0)</f>
        <v>99.890730021816182</v>
      </c>
      <c r="H123" s="111"/>
      <c r="I123" s="111"/>
      <c r="J123" s="111">
        <f>3300-325.4</f>
        <v>2974.6</v>
      </c>
      <c r="K123" s="111">
        <v>2974.1</v>
      </c>
      <c r="L123" s="111">
        <v>3148.4</v>
      </c>
      <c r="M123" s="111">
        <v>3148.4</v>
      </c>
      <c r="N123" s="111">
        <f>2664.4+325.4</f>
        <v>2989.8</v>
      </c>
      <c r="O123" s="111">
        <v>2989.81</v>
      </c>
      <c r="P123" s="111">
        <v>2989.8</v>
      </c>
      <c r="Q123" s="111">
        <v>2989.8</v>
      </c>
      <c r="R123" s="111">
        <v>3757.2</v>
      </c>
      <c r="S123" s="111">
        <v>3740.36</v>
      </c>
      <c r="T123" s="111"/>
      <c r="U123" s="111"/>
      <c r="V123" s="111"/>
      <c r="W123" s="111"/>
      <c r="X123" s="111"/>
      <c r="Y123" s="111"/>
      <c r="Z123" s="111"/>
      <c r="AA123" s="111"/>
      <c r="AB123" s="111"/>
      <c r="AC123" s="111"/>
      <c r="AD123" s="111">
        <f>60894.6-3300-3148.4-6224.4+3560-6747</f>
        <v>45034.799999999996</v>
      </c>
      <c r="AE123" s="111"/>
      <c r="AF123" s="688" t="s">
        <v>502</v>
      </c>
      <c r="AG123" s="102">
        <f>B123-H123-J123-L123-N123-P123-R123-T123-V123-X123-Z123-AB123-AD123</f>
        <v>0</v>
      </c>
      <c r="AH123" s="687">
        <f>C123-E123</f>
        <v>17.329999999998108</v>
      </c>
    </row>
    <row r="124" spans="1:34" x14ac:dyDescent="0.3">
      <c r="A124" s="115" t="s">
        <v>33</v>
      </c>
      <c r="B124" s="116">
        <f>J124+L124+N124+P124+R124+T124+V124+X124+Z124+AB124+AD124+H124</f>
        <v>0</v>
      </c>
      <c r="C124" s="117">
        <f>SUM(H124)</f>
        <v>0</v>
      </c>
      <c r="D124" s="118">
        <f>E124</f>
        <v>0</v>
      </c>
      <c r="E124" s="117">
        <f>SUM(I124,K124,M124,O124,Q124,S124,U124,W124,Y124,AA124,AC124,AE124)</f>
        <v>0</v>
      </c>
      <c r="F124" s="116">
        <f>IFERROR(E124/B124*100,0)</f>
        <v>0</v>
      </c>
      <c r="G124" s="116">
        <f>IFERROR(E124/C124*100,0)</f>
        <v>0</v>
      </c>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29"/>
      <c r="AG124" s="102">
        <f t="shared" si="1"/>
        <v>0</v>
      </c>
    </row>
    <row r="125" spans="1:34" x14ac:dyDescent="0.3">
      <c r="A125" s="115" t="s">
        <v>170</v>
      </c>
      <c r="B125" s="116"/>
      <c r="C125" s="117"/>
      <c r="D125" s="118"/>
      <c r="E125" s="117"/>
      <c r="F125" s="116"/>
      <c r="G125" s="116"/>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29"/>
      <c r="AG125" s="102">
        <f t="shared" si="1"/>
        <v>0</v>
      </c>
    </row>
    <row r="126" spans="1:34" ht="43.5" customHeight="1" x14ac:dyDescent="0.3">
      <c r="A126" s="124" t="s">
        <v>286</v>
      </c>
      <c r="B126" s="104"/>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01"/>
      <c r="AG126" s="102">
        <f t="shared" si="1"/>
        <v>0</v>
      </c>
    </row>
    <row r="127" spans="1:34" x14ac:dyDescent="0.3">
      <c r="A127" s="128" t="s">
        <v>31</v>
      </c>
      <c r="B127" s="104">
        <f>B128+B129+B130+B131</f>
        <v>57523.027320000008</v>
      </c>
      <c r="C127" s="104">
        <f>C128+C129+C130</f>
        <v>28799.55732</v>
      </c>
      <c r="D127" s="104">
        <f>D128+D129+D130</f>
        <v>22899.260000000002</v>
      </c>
      <c r="E127" s="104">
        <f>E128+E129+E130</f>
        <v>22899.260000000002</v>
      </c>
      <c r="F127" s="104">
        <f>IFERROR(E127/B127*100,0)</f>
        <v>39.808857542583169</v>
      </c>
      <c r="G127" s="104">
        <f>IFERROR(E127/C127*100,0)</f>
        <v>79.512541618469584</v>
      </c>
      <c r="H127" s="104">
        <f>H128+H129+H130</f>
        <v>9700</v>
      </c>
      <c r="I127" s="104">
        <f t="shared" ref="I127:AE127" si="32">I128+I129+I130</f>
        <v>0</v>
      </c>
      <c r="J127" s="104">
        <f t="shared" si="32"/>
        <v>0</v>
      </c>
      <c r="K127" s="104">
        <f t="shared" si="32"/>
        <v>8394</v>
      </c>
      <c r="L127" s="104">
        <f t="shared" si="32"/>
        <v>1622.5</v>
      </c>
      <c r="M127" s="104">
        <f t="shared" si="32"/>
        <v>1622.5</v>
      </c>
      <c r="N127" s="104">
        <f t="shared" si="32"/>
        <v>2120.8173200000001</v>
      </c>
      <c r="O127" s="104">
        <f t="shared" si="32"/>
        <v>2107.9</v>
      </c>
      <c r="P127" s="104">
        <f t="shared" si="32"/>
        <v>1589.5</v>
      </c>
      <c r="Q127" s="104">
        <f t="shared" si="32"/>
        <v>1589.5</v>
      </c>
      <c r="R127" s="104">
        <f t="shared" si="32"/>
        <v>13766.74</v>
      </c>
      <c r="S127" s="104">
        <f t="shared" si="32"/>
        <v>9185.36</v>
      </c>
      <c r="T127" s="104">
        <f t="shared" si="32"/>
        <v>4244.8999999999996</v>
      </c>
      <c r="U127" s="104">
        <f t="shared" si="32"/>
        <v>0</v>
      </c>
      <c r="V127" s="104">
        <f t="shared" si="32"/>
        <v>1218.5</v>
      </c>
      <c r="W127" s="104">
        <f t="shared" si="32"/>
        <v>0</v>
      </c>
      <c r="X127" s="104">
        <f t="shared" si="32"/>
        <v>138.18</v>
      </c>
      <c r="Y127" s="104">
        <f t="shared" si="32"/>
        <v>0</v>
      </c>
      <c r="Z127" s="104">
        <f t="shared" si="32"/>
        <v>0</v>
      </c>
      <c r="AA127" s="104">
        <f t="shared" si="32"/>
        <v>0</v>
      </c>
      <c r="AB127" s="104">
        <f t="shared" si="32"/>
        <v>0</v>
      </c>
      <c r="AC127" s="104">
        <f t="shared" si="32"/>
        <v>0</v>
      </c>
      <c r="AD127" s="104">
        <f t="shared" si="32"/>
        <v>15140.060000000001</v>
      </c>
      <c r="AE127" s="104">
        <f t="shared" si="32"/>
        <v>0</v>
      </c>
      <c r="AF127" s="101"/>
      <c r="AG127" s="102">
        <f t="shared" si="1"/>
        <v>7981.8300000000054</v>
      </c>
    </row>
    <row r="128" spans="1:34" x14ac:dyDescent="0.3">
      <c r="A128" s="129" t="s">
        <v>169</v>
      </c>
      <c r="B128" s="107">
        <f t="shared" ref="B128:E130" si="33">B134+B141</f>
        <v>0</v>
      </c>
      <c r="C128" s="107">
        <f t="shared" si="33"/>
        <v>0</v>
      </c>
      <c r="D128" s="107">
        <f t="shared" si="33"/>
        <v>0</v>
      </c>
      <c r="E128" s="107">
        <f t="shared" si="33"/>
        <v>0</v>
      </c>
      <c r="F128" s="107">
        <f>IFERROR(E128/B128*100,0)</f>
        <v>0</v>
      </c>
      <c r="G128" s="107">
        <f>IFERROR(E128/C128*100,0)</f>
        <v>0</v>
      </c>
      <c r="H128" s="107">
        <f t="shared" ref="H128:AE128" si="34">H134+H141</f>
        <v>0</v>
      </c>
      <c r="I128" s="107">
        <f t="shared" si="34"/>
        <v>0</v>
      </c>
      <c r="J128" s="107">
        <f t="shared" si="34"/>
        <v>0</v>
      </c>
      <c r="K128" s="107">
        <f t="shared" si="34"/>
        <v>0</v>
      </c>
      <c r="L128" s="107">
        <f t="shared" si="34"/>
        <v>0</v>
      </c>
      <c r="M128" s="107">
        <f t="shared" si="34"/>
        <v>0</v>
      </c>
      <c r="N128" s="107">
        <f t="shared" si="34"/>
        <v>0</v>
      </c>
      <c r="O128" s="107">
        <f t="shared" si="34"/>
        <v>0</v>
      </c>
      <c r="P128" s="107">
        <f t="shared" si="34"/>
        <v>0</v>
      </c>
      <c r="Q128" s="107">
        <f t="shared" si="34"/>
        <v>0</v>
      </c>
      <c r="R128" s="107">
        <f t="shared" si="34"/>
        <v>0</v>
      </c>
      <c r="S128" s="107">
        <f t="shared" si="34"/>
        <v>0</v>
      </c>
      <c r="T128" s="107">
        <f t="shared" si="34"/>
        <v>0</v>
      </c>
      <c r="U128" s="107">
        <f t="shared" si="34"/>
        <v>0</v>
      </c>
      <c r="V128" s="107">
        <f t="shared" si="34"/>
        <v>0</v>
      </c>
      <c r="W128" s="107">
        <f t="shared" si="34"/>
        <v>0</v>
      </c>
      <c r="X128" s="107">
        <f t="shared" si="34"/>
        <v>0</v>
      </c>
      <c r="Y128" s="107">
        <f t="shared" si="34"/>
        <v>0</v>
      </c>
      <c r="Z128" s="107">
        <f t="shared" si="34"/>
        <v>0</v>
      </c>
      <c r="AA128" s="107">
        <f t="shared" si="34"/>
        <v>0</v>
      </c>
      <c r="AB128" s="107">
        <f t="shared" si="34"/>
        <v>0</v>
      </c>
      <c r="AC128" s="107">
        <f t="shared" si="34"/>
        <v>0</v>
      </c>
      <c r="AD128" s="107">
        <f t="shared" si="34"/>
        <v>0</v>
      </c>
      <c r="AE128" s="107">
        <f t="shared" si="34"/>
        <v>0</v>
      </c>
      <c r="AF128" s="101"/>
      <c r="AG128" s="102">
        <f t="shared" si="1"/>
        <v>0</v>
      </c>
    </row>
    <row r="129" spans="1:34" x14ac:dyDescent="0.3">
      <c r="A129" s="129" t="s">
        <v>32</v>
      </c>
      <c r="B129" s="107">
        <f t="shared" si="33"/>
        <v>29396.300000000003</v>
      </c>
      <c r="C129" s="107">
        <f t="shared" si="33"/>
        <v>15737.72</v>
      </c>
      <c r="D129" s="107">
        <f t="shared" si="33"/>
        <v>9985.64</v>
      </c>
      <c r="E129" s="107">
        <f t="shared" si="33"/>
        <v>9985.64</v>
      </c>
      <c r="F129" s="107">
        <f>IFERROR(E129/B129*100,0)</f>
        <v>33.969036919612329</v>
      </c>
      <c r="G129" s="107">
        <f>IFERROR(E129/C129*100,0)</f>
        <v>63.450360026738309</v>
      </c>
      <c r="H129" s="107">
        <f t="shared" ref="H129:AE129" si="35">H135+H142</f>
        <v>9700</v>
      </c>
      <c r="I129" s="107">
        <f t="shared" si="35"/>
        <v>0</v>
      </c>
      <c r="J129" s="107">
        <f t="shared" si="35"/>
        <v>0</v>
      </c>
      <c r="K129" s="107">
        <f t="shared" si="35"/>
        <v>8394</v>
      </c>
      <c r="L129" s="107">
        <f t="shared" si="35"/>
        <v>0</v>
      </c>
      <c r="M129" s="107">
        <f t="shared" si="35"/>
        <v>0</v>
      </c>
      <c r="N129" s="107">
        <f t="shared" si="35"/>
        <v>1587.72</v>
      </c>
      <c r="O129" s="107">
        <f t="shared" si="35"/>
        <v>1574.8</v>
      </c>
      <c r="P129" s="107">
        <f t="shared" si="35"/>
        <v>0</v>
      </c>
      <c r="Q129" s="107">
        <f t="shared" si="35"/>
        <v>0</v>
      </c>
      <c r="R129" s="107">
        <f t="shared" si="35"/>
        <v>4450</v>
      </c>
      <c r="S129" s="107">
        <f t="shared" si="35"/>
        <v>16.84</v>
      </c>
      <c r="T129" s="107">
        <f t="shared" si="35"/>
        <v>3281.9</v>
      </c>
      <c r="U129" s="107">
        <f t="shared" si="35"/>
        <v>0</v>
      </c>
      <c r="V129" s="107">
        <f t="shared" si="35"/>
        <v>0</v>
      </c>
      <c r="W129" s="107">
        <f t="shared" si="35"/>
        <v>0</v>
      </c>
      <c r="X129" s="107">
        <f t="shared" si="35"/>
        <v>0</v>
      </c>
      <c r="Y129" s="107">
        <f t="shared" si="35"/>
        <v>0</v>
      </c>
      <c r="Z129" s="107">
        <f t="shared" si="35"/>
        <v>0</v>
      </c>
      <c r="AA129" s="107">
        <f t="shared" si="35"/>
        <v>0</v>
      </c>
      <c r="AB129" s="107">
        <f t="shared" si="35"/>
        <v>0</v>
      </c>
      <c r="AC129" s="107">
        <f t="shared" si="35"/>
        <v>0</v>
      </c>
      <c r="AD129" s="107">
        <f t="shared" si="35"/>
        <v>10376.68</v>
      </c>
      <c r="AE129" s="107">
        <f t="shared" si="35"/>
        <v>0</v>
      </c>
      <c r="AF129" s="101"/>
      <c r="AG129" s="102">
        <f t="shared" si="1"/>
        <v>0</v>
      </c>
    </row>
    <row r="130" spans="1:34" x14ac:dyDescent="0.3">
      <c r="A130" s="129" t="s">
        <v>33</v>
      </c>
      <c r="B130" s="107">
        <f t="shared" si="33"/>
        <v>20144.89732</v>
      </c>
      <c r="C130" s="107">
        <f t="shared" si="33"/>
        <v>13061.837319999999</v>
      </c>
      <c r="D130" s="107">
        <f t="shared" si="33"/>
        <v>12913.62</v>
      </c>
      <c r="E130" s="107">
        <f t="shared" si="33"/>
        <v>12913.62</v>
      </c>
      <c r="F130" s="107">
        <f>IFERROR(E130/B130*100,0)</f>
        <v>64.103677446790783</v>
      </c>
      <c r="G130" s="107">
        <f>IFERROR(E130/C130*100,0)</f>
        <v>98.865264385332296</v>
      </c>
      <c r="H130" s="107">
        <f t="shared" ref="H130:AE130" si="36">H136+H143</f>
        <v>0</v>
      </c>
      <c r="I130" s="107">
        <f t="shared" si="36"/>
        <v>0</v>
      </c>
      <c r="J130" s="107">
        <f t="shared" si="36"/>
        <v>0</v>
      </c>
      <c r="K130" s="107">
        <f t="shared" si="36"/>
        <v>0</v>
      </c>
      <c r="L130" s="107">
        <f t="shared" si="36"/>
        <v>1622.5</v>
      </c>
      <c r="M130" s="107">
        <f t="shared" si="36"/>
        <v>1622.5</v>
      </c>
      <c r="N130" s="107">
        <f t="shared" si="36"/>
        <v>533.09732000000008</v>
      </c>
      <c r="O130" s="107">
        <f t="shared" si="36"/>
        <v>533.1</v>
      </c>
      <c r="P130" s="107">
        <f t="shared" si="36"/>
        <v>1589.5</v>
      </c>
      <c r="Q130" s="107">
        <f t="shared" si="36"/>
        <v>1589.5</v>
      </c>
      <c r="R130" s="107">
        <f t="shared" si="36"/>
        <v>9316.74</v>
      </c>
      <c r="S130" s="107">
        <f t="shared" si="36"/>
        <v>9168.52</v>
      </c>
      <c r="T130" s="107">
        <f t="shared" si="36"/>
        <v>963</v>
      </c>
      <c r="U130" s="107">
        <f t="shared" si="36"/>
        <v>0</v>
      </c>
      <c r="V130" s="107">
        <f t="shared" si="36"/>
        <v>1218.5</v>
      </c>
      <c r="W130" s="107">
        <f t="shared" si="36"/>
        <v>0</v>
      </c>
      <c r="X130" s="107">
        <f t="shared" si="36"/>
        <v>138.18</v>
      </c>
      <c r="Y130" s="107">
        <f t="shared" si="36"/>
        <v>0</v>
      </c>
      <c r="Z130" s="107">
        <f t="shared" si="36"/>
        <v>0</v>
      </c>
      <c r="AA130" s="107">
        <f t="shared" si="36"/>
        <v>0</v>
      </c>
      <c r="AB130" s="107">
        <f t="shared" si="36"/>
        <v>0</v>
      </c>
      <c r="AC130" s="107">
        <f t="shared" si="36"/>
        <v>0</v>
      </c>
      <c r="AD130" s="107">
        <f t="shared" si="36"/>
        <v>4763.380000000001</v>
      </c>
      <c r="AE130" s="107">
        <f t="shared" si="36"/>
        <v>0</v>
      </c>
      <c r="AF130" s="101"/>
      <c r="AG130" s="102">
        <f t="shared" ref="AG130:AG358" si="37">B130-H130-J130-L130-N130-P130-R130-T130-V130-X130-Z130-AB130-AD130</f>
        <v>0</v>
      </c>
    </row>
    <row r="131" spans="1:34" x14ac:dyDescent="0.3">
      <c r="A131" s="129" t="s">
        <v>170</v>
      </c>
      <c r="B131" s="107">
        <f>B138+B144</f>
        <v>7981.83</v>
      </c>
      <c r="C131" s="107">
        <f>C138+C144</f>
        <v>7981.83</v>
      </c>
      <c r="D131" s="107">
        <f>D138+D144</f>
        <v>7981.83</v>
      </c>
      <c r="E131" s="107">
        <f>E138+E144</f>
        <v>7981.83</v>
      </c>
      <c r="F131" s="107">
        <f>IFERROR(E131/B131*100,0)</f>
        <v>100</v>
      </c>
      <c r="G131" s="107">
        <f>IFERROR(E131/C131*100,0)</f>
        <v>100</v>
      </c>
      <c r="H131" s="107">
        <f t="shared" ref="H131:AE131" si="38">H138+H144</f>
        <v>0</v>
      </c>
      <c r="I131" s="107">
        <f t="shared" si="38"/>
        <v>0</v>
      </c>
      <c r="J131" s="107">
        <f t="shared" si="38"/>
        <v>0</v>
      </c>
      <c r="K131" s="107">
        <f t="shared" si="38"/>
        <v>0</v>
      </c>
      <c r="L131" s="107">
        <f t="shared" si="38"/>
        <v>0</v>
      </c>
      <c r="M131" s="107">
        <f t="shared" si="38"/>
        <v>0</v>
      </c>
      <c r="N131" s="107">
        <f t="shared" si="38"/>
        <v>0</v>
      </c>
      <c r="O131" s="107">
        <f t="shared" si="38"/>
        <v>0</v>
      </c>
      <c r="P131" s="107">
        <f t="shared" si="38"/>
        <v>5700</v>
      </c>
      <c r="Q131" s="107">
        <f t="shared" si="38"/>
        <v>5700</v>
      </c>
      <c r="R131" s="107">
        <f t="shared" si="38"/>
        <v>2281.83</v>
      </c>
      <c r="S131" s="107">
        <f t="shared" si="38"/>
        <v>2281.83</v>
      </c>
      <c r="T131" s="107">
        <f t="shared" si="38"/>
        <v>0</v>
      </c>
      <c r="U131" s="107">
        <f t="shared" si="38"/>
        <v>0</v>
      </c>
      <c r="V131" s="107">
        <f t="shared" si="38"/>
        <v>0</v>
      </c>
      <c r="W131" s="107">
        <f t="shared" si="38"/>
        <v>0</v>
      </c>
      <c r="X131" s="107">
        <f t="shared" si="38"/>
        <v>0</v>
      </c>
      <c r="Y131" s="107">
        <f t="shared" si="38"/>
        <v>0</v>
      </c>
      <c r="Z131" s="107">
        <f t="shared" si="38"/>
        <v>0</v>
      </c>
      <c r="AA131" s="107">
        <f t="shared" si="38"/>
        <v>0</v>
      </c>
      <c r="AB131" s="107">
        <f t="shared" si="38"/>
        <v>0</v>
      </c>
      <c r="AC131" s="107">
        <f t="shared" si="38"/>
        <v>0</v>
      </c>
      <c r="AD131" s="107">
        <f t="shared" si="38"/>
        <v>0</v>
      </c>
      <c r="AE131" s="107">
        <f t="shared" si="38"/>
        <v>0</v>
      </c>
      <c r="AF131" s="101"/>
      <c r="AG131" s="102">
        <f t="shared" si="37"/>
        <v>0</v>
      </c>
    </row>
    <row r="132" spans="1:34" ht="243.75" x14ac:dyDescent="0.3">
      <c r="A132" s="790" t="s">
        <v>523</v>
      </c>
      <c r="B132" s="619"/>
      <c r="C132" s="131"/>
      <c r="D132" s="131"/>
      <c r="E132" s="131"/>
      <c r="F132" s="131"/>
      <c r="G132" s="13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29"/>
      <c r="AG132" s="102">
        <f t="shared" si="37"/>
        <v>0</v>
      </c>
    </row>
    <row r="133" spans="1:34" s="617" customFormat="1" x14ac:dyDescent="0.3">
      <c r="A133" s="618" t="s">
        <v>31</v>
      </c>
      <c r="B133" s="619">
        <f>B135+B136+B134+B138</f>
        <v>55351.030000000006</v>
      </c>
      <c r="C133" s="619">
        <f>C135+C136+C134+C138</f>
        <v>35493.870000000003</v>
      </c>
      <c r="D133" s="619">
        <f>D135+D136+D134+D138</f>
        <v>29740.57</v>
      </c>
      <c r="E133" s="619">
        <f>E135+E136+E134+E138</f>
        <v>29740.57</v>
      </c>
      <c r="F133" s="619">
        <f>IFERROR(E133/B133*100,0)</f>
        <v>53.730833915827759</v>
      </c>
      <c r="G133" s="619">
        <f>IFERROR(E133/C133*100,0)</f>
        <v>83.790722172589227</v>
      </c>
      <c r="H133" s="619">
        <f t="shared" ref="H133:AE133" si="39">H135+H136+H134+H138</f>
        <v>9700</v>
      </c>
      <c r="I133" s="619">
        <f t="shared" si="39"/>
        <v>0</v>
      </c>
      <c r="J133" s="619">
        <f t="shared" si="39"/>
        <v>0</v>
      </c>
      <c r="K133" s="619">
        <f t="shared" si="39"/>
        <v>8394</v>
      </c>
      <c r="L133" s="619">
        <f>L135+L136+L134+L138</f>
        <v>1622.5</v>
      </c>
      <c r="M133" s="619">
        <f t="shared" si="39"/>
        <v>1622.5</v>
      </c>
      <c r="N133" s="783">
        <f>N135+N136+N134+N138</f>
        <v>2116.92</v>
      </c>
      <c r="O133" s="783">
        <f t="shared" si="39"/>
        <v>2104</v>
      </c>
      <c r="P133" s="783">
        <f t="shared" si="39"/>
        <v>6635.7</v>
      </c>
      <c r="Q133" s="783">
        <f t="shared" si="39"/>
        <v>6635.7</v>
      </c>
      <c r="R133" s="783">
        <f t="shared" si="39"/>
        <v>15418.75</v>
      </c>
      <c r="S133" s="783">
        <f t="shared" si="39"/>
        <v>10984.37</v>
      </c>
      <c r="T133" s="783">
        <f t="shared" si="39"/>
        <v>3921.4</v>
      </c>
      <c r="U133" s="783">
        <f t="shared" si="39"/>
        <v>0</v>
      </c>
      <c r="V133" s="783">
        <f t="shared" si="39"/>
        <v>795.7</v>
      </c>
      <c r="W133" s="783">
        <f t="shared" si="39"/>
        <v>0</v>
      </c>
      <c r="X133" s="783">
        <f t="shared" si="39"/>
        <v>0</v>
      </c>
      <c r="Y133" s="619">
        <f t="shared" si="39"/>
        <v>0</v>
      </c>
      <c r="Z133" s="619">
        <f t="shared" si="39"/>
        <v>0</v>
      </c>
      <c r="AA133" s="619">
        <f t="shared" si="39"/>
        <v>0</v>
      </c>
      <c r="AB133" s="619">
        <f t="shared" si="39"/>
        <v>0</v>
      </c>
      <c r="AC133" s="619">
        <f t="shared" si="39"/>
        <v>0</v>
      </c>
      <c r="AD133" s="625">
        <f t="shared" si="39"/>
        <v>15140.060000000001</v>
      </c>
      <c r="AE133" s="619">
        <f t="shared" si="39"/>
        <v>0</v>
      </c>
      <c r="AF133" s="615"/>
      <c r="AG133" s="616">
        <f t="shared" si="37"/>
        <v>0</v>
      </c>
    </row>
    <row r="134" spans="1:34" s="617" customFormat="1" x14ac:dyDescent="0.3">
      <c r="A134" s="621" t="s">
        <v>169</v>
      </c>
      <c r="B134" s="622"/>
      <c r="C134" s="777"/>
      <c r="D134" s="780"/>
      <c r="E134" s="777"/>
      <c r="F134" s="622"/>
      <c r="G134" s="622"/>
      <c r="H134" s="519"/>
      <c r="I134" s="519"/>
      <c r="J134" s="519"/>
      <c r="K134" s="519"/>
      <c r="L134" s="519"/>
      <c r="M134" s="519"/>
      <c r="N134" s="519"/>
      <c r="O134" s="519"/>
      <c r="P134" s="519"/>
      <c r="Q134" s="519"/>
      <c r="R134" s="519"/>
      <c r="S134" s="519"/>
      <c r="T134" s="519"/>
      <c r="U134" s="519"/>
      <c r="V134" s="519"/>
      <c r="W134" s="519"/>
      <c r="X134" s="519"/>
      <c r="Y134" s="519"/>
      <c r="Z134" s="519"/>
      <c r="AA134" s="519"/>
      <c r="AB134" s="519"/>
      <c r="AC134" s="519"/>
      <c r="AD134" s="519"/>
      <c r="AE134" s="519"/>
      <c r="AF134" s="615"/>
      <c r="AG134" s="616">
        <f t="shared" si="37"/>
        <v>0</v>
      </c>
    </row>
    <row r="135" spans="1:34" s="617" customFormat="1" ht="93.75" x14ac:dyDescent="0.3">
      <c r="A135" s="621" t="s">
        <v>32</v>
      </c>
      <c r="B135" s="622">
        <f>J135+L135+N135+P135+R135+T135+V135+X135+Z135+AB135+AD135+H135</f>
        <v>29396.300000000003</v>
      </c>
      <c r="C135" s="777">
        <f>H135+J135+L135+N135+P135+R135</f>
        <v>15737.72</v>
      </c>
      <c r="D135" s="780">
        <f>E135</f>
        <v>9985.64</v>
      </c>
      <c r="E135" s="777">
        <f>SUM(I135,K135,M135,O135,Q135,S135,U135,W135,Y135,AA135,AC135,AE135)</f>
        <v>9985.64</v>
      </c>
      <c r="F135" s="622">
        <f>IFERROR(E135/B135*100,0)</f>
        <v>33.969036919612329</v>
      </c>
      <c r="G135" s="622">
        <f>IFERROR(E135/C135*100,0)</f>
        <v>63.450360026738309</v>
      </c>
      <c r="H135" s="519">
        <v>9700</v>
      </c>
      <c r="I135" s="519"/>
      <c r="J135" s="519"/>
      <c r="K135" s="519">
        <v>8394</v>
      </c>
      <c r="L135" s="519"/>
      <c r="M135" s="519"/>
      <c r="N135" s="519">
        <v>1587.72</v>
      </c>
      <c r="O135" s="519">
        <v>1574.8</v>
      </c>
      <c r="P135" s="519"/>
      <c r="Q135" s="519"/>
      <c r="R135" s="519">
        <v>4450</v>
      </c>
      <c r="S135" s="519">
        <v>16.84</v>
      </c>
      <c r="T135" s="519">
        <v>3281.9</v>
      </c>
      <c r="U135" s="519"/>
      <c r="V135" s="519"/>
      <c r="W135" s="519"/>
      <c r="X135" s="519"/>
      <c r="Y135" s="519"/>
      <c r="Z135" s="519"/>
      <c r="AA135" s="519"/>
      <c r="AB135" s="519"/>
      <c r="AC135" s="519"/>
      <c r="AD135" s="519">
        <f>12972.3-1587.72-1007.9</f>
        <v>10376.68</v>
      </c>
      <c r="AE135" s="519"/>
      <c r="AF135" s="781" t="s">
        <v>504</v>
      </c>
      <c r="AG135" s="616">
        <f t="shared" si="37"/>
        <v>0</v>
      </c>
      <c r="AH135" s="782">
        <f>C135-E135</f>
        <v>5752.08</v>
      </c>
    </row>
    <row r="136" spans="1:34" s="617" customFormat="1" x14ac:dyDescent="0.3">
      <c r="A136" s="621" t="s">
        <v>33</v>
      </c>
      <c r="B136" s="622">
        <f>J136+L136+N136+P136+R136+T136+V136+X136+Z136+AB136+AD136+H136</f>
        <v>17972.900000000001</v>
      </c>
      <c r="C136" s="777">
        <f>SUM(H136+J136+L136+N136+P136+R136)</f>
        <v>11774.32</v>
      </c>
      <c r="D136" s="780">
        <f>E136</f>
        <v>11773.1</v>
      </c>
      <c r="E136" s="777">
        <f>SUM(I136,K136,M136,O136,Q136,S136,U136,W136,Y136,AA136,AC136,AE136)</f>
        <v>11773.1</v>
      </c>
      <c r="F136" s="622">
        <f>IFERROR(E136/B136*100,0)</f>
        <v>65.504732124476291</v>
      </c>
      <c r="G136" s="622">
        <f>IFERROR(E136/C136*100,0)</f>
        <v>99.989638467444408</v>
      </c>
      <c r="H136" s="519"/>
      <c r="I136" s="519"/>
      <c r="J136" s="519"/>
      <c r="K136" s="519"/>
      <c r="L136" s="519">
        <f>1500+122.5</f>
        <v>1622.5</v>
      </c>
      <c r="M136" s="519">
        <v>1622.5</v>
      </c>
      <c r="N136" s="519">
        <v>529.20000000000005</v>
      </c>
      <c r="O136" s="519">
        <v>529.20000000000005</v>
      </c>
      <c r="P136" s="519">
        <f>888.9+46.8</f>
        <v>935.69999999999993</v>
      </c>
      <c r="Q136" s="519">
        <v>935.7</v>
      </c>
      <c r="R136" s="519">
        <f>5656.62+3030.3</f>
        <v>8686.92</v>
      </c>
      <c r="S136" s="519">
        <f>8686.92-1.22</f>
        <v>8685.7000000000007</v>
      </c>
      <c r="T136" s="519">
        <f>639.5</f>
        <v>639.5</v>
      </c>
      <c r="U136" s="519"/>
      <c r="V136" s="519">
        <f>422.8+611.2-238.3</f>
        <v>795.7</v>
      </c>
      <c r="W136" s="519"/>
      <c r="X136" s="519"/>
      <c r="Y136" s="519"/>
      <c r="Z136" s="519"/>
      <c r="AA136" s="519"/>
      <c r="AB136" s="519"/>
      <c r="AC136" s="519"/>
      <c r="AD136" s="519">
        <f>15635.4-2015.8-122.5-5656.62-3077.1</f>
        <v>4763.380000000001</v>
      </c>
      <c r="AE136" s="519"/>
      <c r="AF136" s="615"/>
      <c r="AG136" s="616">
        <f t="shared" si="37"/>
        <v>0</v>
      </c>
    </row>
    <row r="137" spans="1:34" s="617" customFormat="1" x14ac:dyDescent="0.3">
      <c r="A137" s="847" t="s">
        <v>503</v>
      </c>
      <c r="B137" s="622">
        <f>J137+L137+N137+P137+R137+T137+V137+X137+Z137+AB137+AD137+H137</f>
        <v>4327</v>
      </c>
      <c r="C137" s="777">
        <f>SUM(H137+J137+L137+N137)</f>
        <v>529.20000000000005</v>
      </c>
      <c r="D137" s="780">
        <f>E137</f>
        <v>529.20000000000005</v>
      </c>
      <c r="E137" s="777">
        <f>SUM(I137,K137,M137,O137,Q137,S137,U137,W137,Y137,AA137,AC137,AE137)</f>
        <v>529.20000000000005</v>
      </c>
      <c r="F137" s="622">
        <f>IFERROR(E137/B137*100,0)</f>
        <v>12.230182574532011</v>
      </c>
      <c r="G137" s="622">
        <f>IFERROR(E137/C137*100,0)</f>
        <v>100</v>
      </c>
      <c r="H137" s="519"/>
      <c r="I137" s="519"/>
      <c r="J137" s="519"/>
      <c r="K137" s="519"/>
      <c r="L137" s="519"/>
      <c r="M137" s="519"/>
      <c r="N137" s="519">
        <v>529.20000000000005</v>
      </c>
      <c r="O137" s="519">
        <v>529.20000000000005</v>
      </c>
      <c r="P137" s="519"/>
      <c r="Q137" s="519"/>
      <c r="R137" s="519">
        <v>192</v>
      </c>
      <c r="S137" s="519"/>
      <c r="T137" s="519"/>
      <c r="U137" s="519"/>
      <c r="V137" s="519"/>
      <c r="W137" s="519"/>
      <c r="X137" s="519"/>
      <c r="Y137" s="519"/>
      <c r="Z137" s="519"/>
      <c r="AA137" s="519"/>
      <c r="AB137" s="519"/>
      <c r="AC137" s="519"/>
      <c r="AD137" s="519">
        <v>3605.8</v>
      </c>
      <c r="AE137" s="519"/>
      <c r="AF137" s="615"/>
      <c r="AG137" s="616"/>
    </row>
    <row r="138" spans="1:34" s="617" customFormat="1" x14ac:dyDescent="0.3">
      <c r="A138" s="778" t="s">
        <v>170</v>
      </c>
      <c r="B138" s="622">
        <f>J138+L138+N138+P138+R138+T138+V138+X138+Z138+AB138+AD138+H138</f>
        <v>7981.83</v>
      </c>
      <c r="C138" s="777">
        <f>SUM(H138+J138+L138+N138+P138+R138)</f>
        <v>7981.83</v>
      </c>
      <c r="D138" s="780">
        <f>E138</f>
        <v>7981.83</v>
      </c>
      <c r="E138" s="777">
        <f>SUM(I138,K138,M138,O138,Q138,S138,U138,W138,Y138,AA138,AC138,AE138)</f>
        <v>7981.83</v>
      </c>
      <c r="F138" s="622">
        <f>IFERROR(E138/B138*100,0)</f>
        <v>100</v>
      </c>
      <c r="G138" s="622">
        <f>IFERROR(E138/C138*100,0)</f>
        <v>100</v>
      </c>
      <c r="H138" s="519"/>
      <c r="I138" s="519"/>
      <c r="J138" s="519"/>
      <c r="K138" s="519"/>
      <c r="L138" s="519"/>
      <c r="M138" s="519"/>
      <c r="N138" s="519"/>
      <c r="O138" s="519"/>
      <c r="P138" s="519">
        <v>5700</v>
      </c>
      <c r="Q138" s="519">
        <v>5700</v>
      </c>
      <c r="R138" s="519">
        <f>1970.48+311.35</f>
        <v>2281.83</v>
      </c>
      <c r="S138" s="519">
        <f>1970.48+311.35</f>
        <v>2281.83</v>
      </c>
      <c r="T138" s="519"/>
      <c r="U138" s="519"/>
      <c r="V138" s="519"/>
      <c r="W138" s="519"/>
      <c r="X138" s="519"/>
      <c r="Y138" s="519"/>
      <c r="Z138" s="519"/>
      <c r="AA138" s="519"/>
      <c r="AB138" s="519"/>
      <c r="AC138" s="519"/>
      <c r="AD138" s="519"/>
      <c r="AE138" s="519"/>
      <c r="AF138" s="615"/>
      <c r="AG138" s="616">
        <f t="shared" si="37"/>
        <v>0</v>
      </c>
    </row>
    <row r="139" spans="1:34" s="617" customFormat="1" ht="131.25" x14ac:dyDescent="0.3">
      <c r="A139" s="778" t="s">
        <v>581</v>
      </c>
      <c r="B139" s="619"/>
      <c r="C139" s="625"/>
      <c r="D139" s="625"/>
      <c r="E139" s="625"/>
      <c r="F139" s="625"/>
      <c r="G139" s="625"/>
      <c r="H139" s="519"/>
      <c r="I139" s="519"/>
      <c r="J139" s="519"/>
      <c r="K139" s="519"/>
      <c r="L139" s="519"/>
      <c r="M139" s="519"/>
      <c r="N139" s="519"/>
      <c r="O139" s="519"/>
      <c r="P139" s="519"/>
      <c r="Q139" s="519"/>
      <c r="R139" s="834"/>
      <c r="S139" s="519"/>
      <c r="T139" s="519"/>
      <c r="U139" s="519"/>
      <c r="V139" s="519"/>
      <c r="W139" s="519"/>
      <c r="X139" s="519"/>
      <c r="Y139" s="519"/>
      <c r="Z139" s="519"/>
      <c r="AA139" s="519"/>
      <c r="AB139" s="519"/>
      <c r="AC139" s="519"/>
      <c r="AD139" s="519"/>
      <c r="AE139" s="519"/>
      <c r="AF139" s="615"/>
      <c r="AG139" s="616">
        <f t="shared" si="37"/>
        <v>0</v>
      </c>
    </row>
    <row r="140" spans="1:34" s="617" customFormat="1" x14ac:dyDescent="0.3">
      <c r="A140" s="618" t="s">
        <v>31</v>
      </c>
      <c r="B140" s="619">
        <f>B142+B143+B141+B144</f>
        <v>2171.9973199999999</v>
      </c>
      <c r="C140" s="619">
        <f>C142+C143+C141+C144</f>
        <v>1287.5173199999999</v>
      </c>
      <c r="D140" s="619">
        <f>D142+D143+D141+D144</f>
        <v>1140.52</v>
      </c>
      <c r="E140" s="619">
        <f>E142+E143+E141+E144</f>
        <v>1140.52</v>
      </c>
      <c r="F140" s="619">
        <f>IFERROR(E140/B140*100,0)</f>
        <v>52.51019370502722</v>
      </c>
      <c r="G140" s="619">
        <f>IFERROR(E140/C140*100,0)</f>
        <v>88.582886015079012</v>
      </c>
      <c r="H140" s="619">
        <f t="shared" ref="H140:AE140" si="40">H142+H143+H141+H144</f>
        <v>0</v>
      </c>
      <c r="I140" s="619">
        <f t="shared" si="40"/>
        <v>0</v>
      </c>
      <c r="J140" s="619">
        <f t="shared" si="40"/>
        <v>0</v>
      </c>
      <c r="K140" s="619">
        <f t="shared" si="40"/>
        <v>0</v>
      </c>
      <c r="L140" s="619">
        <f t="shared" si="40"/>
        <v>0</v>
      </c>
      <c r="M140" s="619">
        <f t="shared" si="40"/>
        <v>0</v>
      </c>
      <c r="N140" s="619">
        <f t="shared" si="40"/>
        <v>3.8973200000000001</v>
      </c>
      <c r="O140" s="619">
        <f t="shared" si="40"/>
        <v>3.9</v>
      </c>
      <c r="P140" s="619">
        <f t="shared" si="40"/>
        <v>653.79999999999995</v>
      </c>
      <c r="Q140" s="619">
        <f t="shared" si="40"/>
        <v>653.79999999999995</v>
      </c>
      <c r="R140" s="619">
        <f t="shared" si="40"/>
        <v>629.82000000000005</v>
      </c>
      <c r="S140" s="619">
        <f t="shared" si="40"/>
        <v>482.82</v>
      </c>
      <c r="T140" s="619">
        <f t="shared" si="40"/>
        <v>323.5</v>
      </c>
      <c r="U140" s="619">
        <f t="shared" si="40"/>
        <v>0</v>
      </c>
      <c r="V140" s="619">
        <f t="shared" si="40"/>
        <v>422.8</v>
      </c>
      <c r="W140" s="619">
        <f t="shared" si="40"/>
        <v>0</v>
      </c>
      <c r="X140" s="619">
        <f t="shared" si="40"/>
        <v>138.18</v>
      </c>
      <c r="Y140" s="619">
        <f t="shared" si="40"/>
        <v>0</v>
      </c>
      <c r="Z140" s="619">
        <f t="shared" si="40"/>
        <v>0</v>
      </c>
      <c r="AA140" s="619">
        <f t="shared" si="40"/>
        <v>0</v>
      </c>
      <c r="AB140" s="619">
        <f t="shared" si="40"/>
        <v>0</v>
      </c>
      <c r="AC140" s="619">
        <f t="shared" si="40"/>
        <v>0</v>
      </c>
      <c r="AD140" s="619">
        <f t="shared" si="40"/>
        <v>0</v>
      </c>
      <c r="AE140" s="619">
        <f t="shared" si="40"/>
        <v>0</v>
      </c>
      <c r="AF140" s="615"/>
      <c r="AG140" s="616">
        <f t="shared" si="37"/>
        <v>-1.1368683772161603E-13</v>
      </c>
    </row>
    <row r="141" spans="1:34" x14ac:dyDescent="0.3">
      <c r="A141" s="621" t="s">
        <v>169</v>
      </c>
      <c r="B141" s="622"/>
      <c r="C141" s="117"/>
      <c r="D141" s="118"/>
      <c r="E141" s="117"/>
      <c r="F141" s="116"/>
      <c r="G141" s="116"/>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29"/>
      <c r="AG141" s="102">
        <f t="shared" si="37"/>
        <v>0</v>
      </c>
    </row>
    <row r="142" spans="1:34" x14ac:dyDescent="0.3">
      <c r="A142" s="621" t="s">
        <v>32</v>
      </c>
      <c r="B142" s="622"/>
      <c r="C142" s="117"/>
      <c r="D142" s="118"/>
      <c r="E142" s="117"/>
      <c r="F142" s="116"/>
      <c r="G142" s="116"/>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29"/>
      <c r="AG142" s="102">
        <f t="shared" si="37"/>
        <v>0</v>
      </c>
    </row>
    <row r="143" spans="1:34" x14ac:dyDescent="0.3">
      <c r="A143" s="115" t="s">
        <v>33</v>
      </c>
      <c r="B143" s="116">
        <f>J143+L143+N143+P143+R143+T143+V143+X143+Z143+AB143+AD143+H143</f>
        <v>2171.9973199999999</v>
      </c>
      <c r="C143" s="117">
        <f>H143+J143+L143+N143+P143+R143</f>
        <v>1287.5173199999999</v>
      </c>
      <c r="D143" s="118">
        <f>E143</f>
        <v>1140.52</v>
      </c>
      <c r="E143" s="117">
        <f>I143+K143+M143+O143+Q143+S143</f>
        <v>1140.52</v>
      </c>
      <c r="F143" s="116">
        <f>IFERROR(E143/B143*100,0)</f>
        <v>52.51019370502722</v>
      </c>
      <c r="G143" s="116">
        <f>IFERROR(E143/C143*100,0)</f>
        <v>88.582886015079012</v>
      </c>
      <c r="H143" s="111"/>
      <c r="I143" s="111"/>
      <c r="J143" s="111"/>
      <c r="K143" s="111"/>
      <c r="L143" s="111"/>
      <c r="M143" s="111"/>
      <c r="N143" s="111">
        <v>3.8973200000000001</v>
      </c>
      <c r="O143" s="111">
        <v>3.9</v>
      </c>
      <c r="P143" s="111">
        <v>653.79999999999995</v>
      </c>
      <c r="Q143" s="111">
        <v>653.79999999999995</v>
      </c>
      <c r="R143" s="111">
        <f>565.6+64.22</f>
        <v>629.82000000000005</v>
      </c>
      <c r="S143" s="111">
        <v>482.82</v>
      </c>
      <c r="T143" s="111">
        <v>323.5</v>
      </c>
      <c r="U143" s="111"/>
      <c r="V143" s="111">
        <v>422.8</v>
      </c>
      <c r="W143" s="111"/>
      <c r="X143" s="111">
        <f>194-62.22+6.4</f>
        <v>138.18</v>
      </c>
      <c r="Y143" s="111"/>
      <c r="Z143" s="111"/>
      <c r="AA143" s="111"/>
      <c r="AB143" s="111"/>
      <c r="AC143" s="111"/>
      <c r="AD143" s="111"/>
      <c r="AE143" s="111"/>
      <c r="AF143" s="29"/>
      <c r="AG143" s="102">
        <f t="shared" si="37"/>
        <v>-1.1368683772161603E-13</v>
      </c>
    </row>
    <row r="144" spans="1:34" x14ac:dyDescent="0.3">
      <c r="A144" s="122" t="s">
        <v>170</v>
      </c>
      <c r="B144" s="116"/>
      <c r="C144" s="117"/>
      <c r="D144" s="118"/>
      <c r="E144" s="117"/>
      <c r="F144" s="116"/>
      <c r="G144" s="116"/>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29"/>
      <c r="AG144" s="102">
        <f t="shared" si="37"/>
        <v>0</v>
      </c>
    </row>
    <row r="145" spans="1:33" x14ac:dyDescent="0.3">
      <c r="A145" s="1058" t="s">
        <v>287</v>
      </c>
      <c r="B145" s="1059"/>
      <c r="C145" s="1059"/>
      <c r="D145" s="1059"/>
      <c r="E145" s="1059"/>
      <c r="F145" s="1059"/>
      <c r="G145" s="1059"/>
      <c r="H145" s="1059"/>
      <c r="I145" s="1059"/>
      <c r="J145" s="1059"/>
      <c r="K145" s="1059"/>
      <c r="L145" s="1059"/>
      <c r="M145" s="1059"/>
      <c r="N145" s="1059"/>
      <c r="O145" s="1059"/>
      <c r="P145" s="1059"/>
      <c r="Q145" s="1059"/>
      <c r="R145" s="1059"/>
      <c r="S145" s="1059"/>
      <c r="T145" s="1059"/>
      <c r="U145" s="1059"/>
      <c r="V145" s="1059"/>
      <c r="W145" s="1059"/>
      <c r="X145" s="1059"/>
      <c r="Y145" s="1059"/>
      <c r="Z145" s="1059"/>
      <c r="AA145" s="1059"/>
      <c r="AB145" s="1059"/>
      <c r="AC145" s="1059"/>
      <c r="AD145" s="1059"/>
      <c r="AE145" s="1059"/>
      <c r="AF145" s="1060"/>
      <c r="AG145" s="102">
        <f t="shared" si="37"/>
        <v>0</v>
      </c>
    </row>
    <row r="146" spans="1:33" x14ac:dyDescent="0.3">
      <c r="A146" s="1058" t="s">
        <v>54</v>
      </c>
      <c r="B146" s="1059"/>
      <c r="C146" s="1059"/>
      <c r="D146" s="1059"/>
      <c r="E146" s="1059"/>
      <c r="F146" s="1059"/>
      <c r="G146" s="1059"/>
      <c r="H146" s="1059"/>
      <c r="I146" s="1059"/>
      <c r="J146" s="1059"/>
      <c r="K146" s="1059"/>
      <c r="L146" s="1059"/>
      <c r="M146" s="1059"/>
      <c r="N146" s="1059"/>
      <c r="O146" s="1059"/>
      <c r="P146" s="1059"/>
      <c r="Q146" s="1059"/>
      <c r="R146" s="1059"/>
      <c r="S146" s="1059"/>
      <c r="T146" s="1059"/>
      <c r="U146" s="1059"/>
      <c r="V146" s="1059"/>
      <c r="W146" s="1059"/>
      <c r="X146" s="1059"/>
      <c r="Y146" s="1059"/>
      <c r="Z146" s="1059"/>
      <c r="AA146" s="1059"/>
      <c r="AB146" s="1059"/>
      <c r="AC146" s="1059"/>
      <c r="AD146" s="1059"/>
      <c r="AE146" s="1059"/>
      <c r="AF146" s="1060"/>
      <c r="AG146" s="102">
        <f t="shared" si="37"/>
        <v>0</v>
      </c>
    </row>
    <row r="147" spans="1:33" ht="120.75" customHeight="1" x14ac:dyDescent="0.3">
      <c r="A147" s="124" t="s">
        <v>288</v>
      </c>
      <c r="B147" s="132"/>
      <c r="C147" s="133"/>
      <c r="D147" s="133"/>
      <c r="E147" s="133"/>
      <c r="F147" s="133"/>
      <c r="G147" s="133"/>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01"/>
      <c r="AG147" s="102">
        <f t="shared" si="37"/>
        <v>0</v>
      </c>
    </row>
    <row r="148" spans="1:33" x14ac:dyDescent="0.3">
      <c r="A148" s="103" t="s">
        <v>31</v>
      </c>
      <c r="B148" s="104">
        <f>B149+B150+B151</f>
        <v>0</v>
      </c>
      <c r="C148" s="104">
        <f>C149+C150+C151</f>
        <v>0</v>
      </c>
      <c r="D148" s="104">
        <f>D149+D150+D151</f>
        <v>0</v>
      </c>
      <c r="E148" s="104">
        <f>E149+E150+E151</f>
        <v>0</v>
      </c>
      <c r="F148" s="107">
        <f>IFERROR(E148/B148*100,0)</f>
        <v>0</v>
      </c>
      <c r="G148" s="107">
        <f>IFERROR(E148/C148*100,0)</f>
        <v>0</v>
      </c>
      <c r="H148" s="104">
        <f t="shared" ref="H148:AE148" si="41">H149+H150+H151</f>
        <v>0</v>
      </c>
      <c r="I148" s="104">
        <f t="shared" si="41"/>
        <v>0</v>
      </c>
      <c r="J148" s="104">
        <f t="shared" si="41"/>
        <v>0</v>
      </c>
      <c r="K148" s="104">
        <f t="shared" si="41"/>
        <v>0</v>
      </c>
      <c r="L148" s="104">
        <f t="shared" si="41"/>
        <v>0</v>
      </c>
      <c r="M148" s="104">
        <f t="shared" si="41"/>
        <v>0</v>
      </c>
      <c r="N148" s="104">
        <f t="shared" si="41"/>
        <v>0</v>
      </c>
      <c r="O148" s="104">
        <f t="shared" si="41"/>
        <v>0</v>
      </c>
      <c r="P148" s="104">
        <f t="shared" si="41"/>
        <v>0</v>
      </c>
      <c r="Q148" s="104">
        <f t="shared" si="41"/>
        <v>0</v>
      </c>
      <c r="R148" s="104">
        <f t="shared" si="41"/>
        <v>0</v>
      </c>
      <c r="S148" s="104">
        <f t="shared" si="41"/>
        <v>0</v>
      </c>
      <c r="T148" s="104">
        <f t="shared" si="41"/>
        <v>0</v>
      </c>
      <c r="U148" s="104">
        <f t="shared" si="41"/>
        <v>0</v>
      </c>
      <c r="V148" s="104">
        <f t="shared" si="41"/>
        <v>0</v>
      </c>
      <c r="W148" s="104">
        <f t="shared" si="41"/>
        <v>0</v>
      </c>
      <c r="X148" s="104">
        <f t="shared" si="41"/>
        <v>0</v>
      </c>
      <c r="Y148" s="104">
        <f t="shared" si="41"/>
        <v>0</v>
      </c>
      <c r="Z148" s="104">
        <f t="shared" si="41"/>
        <v>0</v>
      </c>
      <c r="AA148" s="104">
        <f t="shared" si="41"/>
        <v>0</v>
      </c>
      <c r="AB148" s="104">
        <f t="shared" si="41"/>
        <v>0</v>
      </c>
      <c r="AC148" s="104">
        <f t="shared" si="41"/>
        <v>0</v>
      </c>
      <c r="AD148" s="104">
        <f t="shared" si="41"/>
        <v>0</v>
      </c>
      <c r="AE148" s="104">
        <f t="shared" si="41"/>
        <v>0</v>
      </c>
      <c r="AF148" s="101"/>
      <c r="AG148" s="102">
        <f t="shared" si="37"/>
        <v>0</v>
      </c>
    </row>
    <row r="149" spans="1:33" x14ac:dyDescent="0.3">
      <c r="A149" s="106" t="s">
        <v>169</v>
      </c>
      <c r="B149" s="107">
        <f>B155</f>
        <v>0</v>
      </c>
      <c r="C149" s="107">
        <f>C155</f>
        <v>0</v>
      </c>
      <c r="D149" s="107">
        <f>D155</f>
        <v>0</v>
      </c>
      <c r="E149" s="107">
        <f>E155</f>
        <v>0</v>
      </c>
      <c r="F149" s="107">
        <f>IFERROR(E149/B149*100,0)</f>
        <v>0</v>
      </c>
      <c r="G149" s="107">
        <f>IFERROR(E149/C149*100,0)</f>
        <v>0</v>
      </c>
      <c r="H149" s="107">
        <f t="shared" ref="H149:AE152" si="42">H155</f>
        <v>0</v>
      </c>
      <c r="I149" s="107">
        <f t="shared" si="42"/>
        <v>0</v>
      </c>
      <c r="J149" s="107">
        <f t="shared" si="42"/>
        <v>0</v>
      </c>
      <c r="K149" s="107">
        <f t="shared" si="42"/>
        <v>0</v>
      </c>
      <c r="L149" s="107">
        <f t="shared" si="42"/>
        <v>0</v>
      </c>
      <c r="M149" s="107">
        <f t="shared" si="42"/>
        <v>0</v>
      </c>
      <c r="N149" s="107">
        <f t="shared" si="42"/>
        <v>0</v>
      </c>
      <c r="O149" s="107">
        <f t="shared" si="42"/>
        <v>0</v>
      </c>
      <c r="P149" s="107">
        <f t="shared" si="42"/>
        <v>0</v>
      </c>
      <c r="Q149" s="107">
        <f t="shared" si="42"/>
        <v>0</v>
      </c>
      <c r="R149" s="107">
        <f t="shared" si="42"/>
        <v>0</v>
      </c>
      <c r="S149" s="107">
        <f t="shared" si="42"/>
        <v>0</v>
      </c>
      <c r="T149" s="107">
        <f t="shared" si="42"/>
        <v>0</v>
      </c>
      <c r="U149" s="107">
        <f t="shared" si="42"/>
        <v>0</v>
      </c>
      <c r="V149" s="107">
        <f t="shared" si="42"/>
        <v>0</v>
      </c>
      <c r="W149" s="107">
        <f t="shared" si="42"/>
        <v>0</v>
      </c>
      <c r="X149" s="107">
        <f t="shared" si="42"/>
        <v>0</v>
      </c>
      <c r="Y149" s="107">
        <f t="shared" si="42"/>
        <v>0</v>
      </c>
      <c r="Z149" s="107">
        <f t="shared" si="42"/>
        <v>0</v>
      </c>
      <c r="AA149" s="107">
        <f t="shared" si="42"/>
        <v>0</v>
      </c>
      <c r="AB149" s="107">
        <f t="shared" si="42"/>
        <v>0</v>
      </c>
      <c r="AC149" s="107">
        <f t="shared" si="42"/>
        <v>0</v>
      </c>
      <c r="AD149" s="107">
        <f t="shared" si="42"/>
        <v>0</v>
      </c>
      <c r="AE149" s="107">
        <f t="shared" si="42"/>
        <v>0</v>
      </c>
      <c r="AF149" s="101"/>
      <c r="AG149" s="102">
        <f t="shared" si="37"/>
        <v>0</v>
      </c>
    </row>
    <row r="150" spans="1:33" x14ac:dyDescent="0.3">
      <c r="A150" s="106" t="s">
        <v>32</v>
      </c>
      <c r="B150" s="107">
        <f t="shared" ref="B150:E152" si="43">B156</f>
        <v>0</v>
      </c>
      <c r="C150" s="107">
        <f t="shared" si="43"/>
        <v>0</v>
      </c>
      <c r="D150" s="107">
        <f t="shared" si="43"/>
        <v>0</v>
      </c>
      <c r="E150" s="107">
        <f t="shared" si="43"/>
        <v>0</v>
      </c>
      <c r="F150" s="107"/>
      <c r="G150" s="107"/>
      <c r="H150" s="107">
        <f t="shared" si="42"/>
        <v>0</v>
      </c>
      <c r="I150" s="107">
        <f t="shared" si="42"/>
        <v>0</v>
      </c>
      <c r="J150" s="107">
        <f t="shared" si="42"/>
        <v>0</v>
      </c>
      <c r="K150" s="107">
        <f t="shared" si="42"/>
        <v>0</v>
      </c>
      <c r="L150" s="107">
        <f t="shared" si="42"/>
        <v>0</v>
      </c>
      <c r="M150" s="107">
        <f t="shared" si="42"/>
        <v>0</v>
      </c>
      <c r="N150" s="107">
        <f t="shared" si="42"/>
        <v>0</v>
      </c>
      <c r="O150" s="107">
        <f t="shared" si="42"/>
        <v>0</v>
      </c>
      <c r="P150" s="107">
        <f t="shared" si="42"/>
        <v>0</v>
      </c>
      <c r="Q150" s="107">
        <f t="shared" si="42"/>
        <v>0</v>
      </c>
      <c r="R150" s="107">
        <f t="shared" si="42"/>
        <v>0</v>
      </c>
      <c r="S150" s="107">
        <f t="shared" si="42"/>
        <v>0</v>
      </c>
      <c r="T150" s="107">
        <f t="shared" si="42"/>
        <v>0</v>
      </c>
      <c r="U150" s="107">
        <f t="shared" si="42"/>
        <v>0</v>
      </c>
      <c r="V150" s="107">
        <f t="shared" si="42"/>
        <v>0</v>
      </c>
      <c r="W150" s="107">
        <f t="shared" si="42"/>
        <v>0</v>
      </c>
      <c r="X150" s="107">
        <f t="shared" si="42"/>
        <v>0</v>
      </c>
      <c r="Y150" s="107">
        <f t="shared" si="42"/>
        <v>0</v>
      </c>
      <c r="Z150" s="107">
        <f t="shared" si="42"/>
        <v>0</v>
      </c>
      <c r="AA150" s="107">
        <f t="shared" si="42"/>
        <v>0</v>
      </c>
      <c r="AB150" s="107">
        <f t="shared" si="42"/>
        <v>0</v>
      </c>
      <c r="AC150" s="107">
        <f t="shared" si="42"/>
        <v>0</v>
      </c>
      <c r="AD150" s="107">
        <f t="shared" si="42"/>
        <v>0</v>
      </c>
      <c r="AE150" s="107">
        <f t="shared" si="42"/>
        <v>0</v>
      </c>
      <c r="AF150" s="101"/>
      <c r="AG150" s="102">
        <f t="shared" si="37"/>
        <v>0</v>
      </c>
    </row>
    <row r="151" spans="1:33" x14ac:dyDescent="0.3">
      <c r="A151" s="106" t="s">
        <v>33</v>
      </c>
      <c r="B151" s="107">
        <f t="shared" si="43"/>
        <v>0</v>
      </c>
      <c r="C151" s="107">
        <f t="shared" si="43"/>
        <v>0</v>
      </c>
      <c r="D151" s="107">
        <f t="shared" si="43"/>
        <v>0</v>
      </c>
      <c r="E151" s="107">
        <f t="shared" si="43"/>
        <v>0</v>
      </c>
      <c r="F151" s="107">
        <f>IFERROR(E151/B151*100,0)</f>
        <v>0</v>
      </c>
      <c r="G151" s="107">
        <f>IFERROR(E151/C151*100,0)</f>
        <v>0</v>
      </c>
      <c r="H151" s="107">
        <f t="shared" si="42"/>
        <v>0</v>
      </c>
      <c r="I151" s="107">
        <f t="shared" si="42"/>
        <v>0</v>
      </c>
      <c r="J151" s="107">
        <f t="shared" si="42"/>
        <v>0</v>
      </c>
      <c r="K151" s="107">
        <f t="shared" si="42"/>
        <v>0</v>
      </c>
      <c r="L151" s="107">
        <f t="shared" si="42"/>
        <v>0</v>
      </c>
      <c r="M151" s="107">
        <f t="shared" si="42"/>
        <v>0</v>
      </c>
      <c r="N151" s="107">
        <f t="shared" si="42"/>
        <v>0</v>
      </c>
      <c r="O151" s="107">
        <f t="shared" si="42"/>
        <v>0</v>
      </c>
      <c r="P151" s="107">
        <f t="shared" si="42"/>
        <v>0</v>
      </c>
      <c r="Q151" s="107">
        <f t="shared" si="42"/>
        <v>0</v>
      </c>
      <c r="R151" s="107">
        <f t="shared" si="42"/>
        <v>0</v>
      </c>
      <c r="S151" s="107">
        <f t="shared" si="42"/>
        <v>0</v>
      </c>
      <c r="T151" s="107">
        <f t="shared" si="42"/>
        <v>0</v>
      </c>
      <c r="U151" s="107">
        <f t="shared" si="42"/>
        <v>0</v>
      </c>
      <c r="V151" s="107">
        <f t="shared" si="42"/>
        <v>0</v>
      </c>
      <c r="W151" s="107">
        <f t="shared" si="42"/>
        <v>0</v>
      </c>
      <c r="X151" s="107">
        <f t="shared" si="42"/>
        <v>0</v>
      </c>
      <c r="Y151" s="107">
        <f t="shared" si="42"/>
        <v>0</v>
      </c>
      <c r="Z151" s="107">
        <f t="shared" si="42"/>
        <v>0</v>
      </c>
      <c r="AA151" s="107">
        <f t="shared" si="42"/>
        <v>0</v>
      </c>
      <c r="AB151" s="107">
        <f t="shared" si="42"/>
        <v>0</v>
      </c>
      <c r="AC151" s="107">
        <f t="shared" si="42"/>
        <v>0</v>
      </c>
      <c r="AD151" s="107">
        <f t="shared" si="42"/>
        <v>0</v>
      </c>
      <c r="AE151" s="107">
        <f t="shared" si="42"/>
        <v>0</v>
      </c>
      <c r="AF151" s="101"/>
      <c r="AG151" s="102">
        <f t="shared" si="37"/>
        <v>0</v>
      </c>
    </row>
    <row r="152" spans="1:33" x14ac:dyDescent="0.3">
      <c r="A152" s="106" t="s">
        <v>170</v>
      </c>
      <c r="B152" s="107">
        <f t="shared" si="43"/>
        <v>0</v>
      </c>
      <c r="C152" s="107">
        <f t="shared" si="43"/>
        <v>0</v>
      </c>
      <c r="D152" s="107">
        <f t="shared" si="43"/>
        <v>0</v>
      </c>
      <c r="E152" s="107">
        <f t="shared" si="43"/>
        <v>0</v>
      </c>
      <c r="F152" s="107">
        <f>IFERROR(E152/B152*100,0)</f>
        <v>0</v>
      </c>
      <c r="G152" s="107">
        <f>IFERROR(E152/C152*100,0)</f>
        <v>0</v>
      </c>
      <c r="H152" s="107">
        <f t="shared" si="42"/>
        <v>0</v>
      </c>
      <c r="I152" s="107">
        <f t="shared" si="42"/>
        <v>0</v>
      </c>
      <c r="J152" s="107">
        <f t="shared" si="42"/>
        <v>0</v>
      </c>
      <c r="K152" s="107">
        <f t="shared" si="42"/>
        <v>0</v>
      </c>
      <c r="L152" s="107">
        <f t="shared" si="42"/>
        <v>0</v>
      </c>
      <c r="M152" s="107">
        <f t="shared" si="42"/>
        <v>0</v>
      </c>
      <c r="N152" s="107">
        <f t="shared" si="42"/>
        <v>0</v>
      </c>
      <c r="O152" s="107">
        <f t="shared" si="42"/>
        <v>0</v>
      </c>
      <c r="P152" s="107">
        <f t="shared" si="42"/>
        <v>0</v>
      </c>
      <c r="Q152" s="107">
        <f t="shared" si="42"/>
        <v>0</v>
      </c>
      <c r="R152" s="107">
        <f t="shared" si="42"/>
        <v>0</v>
      </c>
      <c r="S152" s="107">
        <f t="shared" si="42"/>
        <v>0</v>
      </c>
      <c r="T152" s="107">
        <f t="shared" si="42"/>
        <v>0</v>
      </c>
      <c r="U152" s="107">
        <f t="shared" si="42"/>
        <v>0</v>
      </c>
      <c r="V152" s="107">
        <f t="shared" si="42"/>
        <v>0</v>
      </c>
      <c r="W152" s="107">
        <f t="shared" si="42"/>
        <v>0</v>
      </c>
      <c r="X152" s="107">
        <f t="shared" si="42"/>
        <v>0</v>
      </c>
      <c r="Y152" s="107">
        <f t="shared" si="42"/>
        <v>0</v>
      </c>
      <c r="Z152" s="107">
        <f t="shared" si="42"/>
        <v>0</v>
      </c>
      <c r="AA152" s="107">
        <f t="shared" si="42"/>
        <v>0</v>
      </c>
      <c r="AB152" s="107">
        <f t="shared" si="42"/>
        <v>0</v>
      </c>
      <c r="AC152" s="107">
        <f t="shared" si="42"/>
        <v>0</v>
      </c>
      <c r="AD152" s="107">
        <f t="shared" si="42"/>
        <v>0</v>
      </c>
      <c r="AE152" s="107">
        <f t="shared" si="42"/>
        <v>0</v>
      </c>
      <c r="AF152" s="101"/>
      <c r="AG152" s="102">
        <f t="shared" si="37"/>
        <v>0</v>
      </c>
    </row>
    <row r="153" spans="1:33" ht="37.5" x14ac:dyDescent="0.3">
      <c r="A153" s="108" t="s">
        <v>289</v>
      </c>
      <c r="B153" s="130"/>
      <c r="C153" s="131"/>
      <c r="D153" s="131"/>
      <c r="E153" s="131"/>
      <c r="F153" s="131"/>
      <c r="G153" s="13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29"/>
      <c r="AG153" s="102">
        <f t="shared" si="37"/>
        <v>0</v>
      </c>
    </row>
    <row r="154" spans="1:33" x14ac:dyDescent="0.3">
      <c r="A154" s="112" t="s">
        <v>31</v>
      </c>
      <c r="B154" s="113">
        <f>B156+B157+B155+B158</f>
        <v>0</v>
      </c>
      <c r="C154" s="113">
        <f>C156+C157+C155+C158</f>
        <v>0</v>
      </c>
      <c r="D154" s="113">
        <f>D156+D157+D155+D158</f>
        <v>0</v>
      </c>
      <c r="E154" s="113">
        <f>E156+E157+E155+E158</f>
        <v>0</v>
      </c>
      <c r="F154" s="113">
        <f>IFERROR(E154/B154*100,0)</f>
        <v>0</v>
      </c>
      <c r="G154" s="113">
        <f>IFERROR(E154/C154*100,0)</f>
        <v>0</v>
      </c>
      <c r="H154" s="113">
        <f t="shared" ref="H154:AE154" si="44">H156+H157+H155+H158</f>
        <v>0</v>
      </c>
      <c r="I154" s="113">
        <f t="shared" si="44"/>
        <v>0</v>
      </c>
      <c r="J154" s="113">
        <f t="shared" si="44"/>
        <v>0</v>
      </c>
      <c r="K154" s="113">
        <f t="shared" si="44"/>
        <v>0</v>
      </c>
      <c r="L154" s="113">
        <f t="shared" si="44"/>
        <v>0</v>
      </c>
      <c r="M154" s="113">
        <f t="shared" si="44"/>
        <v>0</v>
      </c>
      <c r="N154" s="113">
        <f t="shared" si="44"/>
        <v>0</v>
      </c>
      <c r="O154" s="113">
        <f t="shared" si="44"/>
        <v>0</v>
      </c>
      <c r="P154" s="113">
        <f t="shared" si="44"/>
        <v>0</v>
      </c>
      <c r="Q154" s="113">
        <f t="shared" si="44"/>
        <v>0</v>
      </c>
      <c r="R154" s="113">
        <f t="shared" si="44"/>
        <v>0</v>
      </c>
      <c r="S154" s="113">
        <f t="shared" si="44"/>
        <v>0</v>
      </c>
      <c r="T154" s="113">
        <f t="shared" si="44"/>
        <v>0</v>
      </c>
      <c r="U154" s="113">
        <f t="shared" si="44"/>
        <v>0</v>
      </c>
      <c r="V154" s="113">
        <f t="shared" si="44"/>
        <v>0</v>
      </c>
      <c r="W154" s="113">
        <f t="shared" si="44"/>
        <v>0</v>
      </c>
      <c r="X154" s="113">
        <f t="shared" si="44"/>
        <v>0</v>
      </c>
      <c r="Y154" s="113">
        <f t="shared" si="44"/>
        <v>0</v>
      </c>
      <c r="Z154" s="113">
        <f t="shared" si="44"/>
        <v>0</v>
      </c>
      <c r="AA154" s="113">
        <f t="shared" si="44"/>
        <v>0</v>
      </c>
      <c r="AB154" s="113">
        <f t="shared" si="44"/>
        <v>0</v>
      </c>
      <c r="AC154" s="113">
        <f t="shared" si="44"/>
        <v>0</v>
      </c>
      <c r="AD154" s="113">
        <f t="shared" si="44"/>
        <v>0</v>
      </c>
      <c r="AE154" s="113">
        <f t="shared" si="44"/>
        <v>0</v>
      </c>
      <c r="AF154" s="29"/>
      <c r="AG154" s="102">
        <f t="shared" si="37"/>
        <v>0</v>
      </c>
    </row>
    <row r="155" spans="1:33" x14ac:dyDescent="0.3">
      <c r="A155" s="115" t="s">
        <v>169</v>
      </c>
      <c r="B155" s="116"/>
      <c r="C155" s="117"/>
      <c r="D155" s="118"/>
      <c r="E155" s="117"/>
      <c r="F155" s="116"/>
      <c r="G155" s="116"/>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29"/>
      <c r="AG155" s="102">
        <f t="shared" si="37"/>
        <v>0</v>
      </c>
    </row>
    <row r="156" spans="1:33" x14ac:dyDescent="0.3">
      <c r="A156" s="115" t="s">
        <v>32</v>
      </c>
      <c r="B156" s="116"/>
      <c r="C156" s="117"/>
      <c r="D156" s="118"/>
      <c r="E156" s="117"/>
      <c r="F156" s="116"/>
      <c r="G156" s="116"/>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29"/>
      <c r="AG156" s="102">
        <f t="shared" si="37"/>
        <v>0</v>
      </c>
    </row>
    <row r="157" spans="1:33" x14ac:dyDescent="0.3">
      <c r="A157" s="115" t="s">
        <v>33</v>
      </c>
      <c r="B157" s="116">
        <f>J157+L157+N157+P157+R157+T157+V157+X157+Z157+AB157+AD157+H157</f>
        <v>0</v>
      </c>
      <c r="C157" s="117">
        <f>SUM(H157)</f>
        <v>0</v>
      </c>
      <c r="D157" s="118">
        <f>E157</f>
        <v>0</v>
      </c>
      <c r="E157" s="117">
        <f>SUM(I157,K157,M157,O157,Q157,S157,U157,W157,Y157,AA157,AC157,AE157)</f>
        <v>0</v>
      </c>
      <c r="F157" s="116">
        <f>IFERROR(E157/B157*100,0)</f>
        <v>0</v>
      </c>
      <c r="G157" s="116">
        <f>IFERROR(E157/C157*100,0)</f>
        <v>0</v>
      </c>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29"/>
      <c r="AG157" s="102">
        <f t="shared" si="37"/>
        <v>0</v>
      </c>
    </row>
    <row r="158" spans="1:33" x14ac:dyDescent="0.3">
      <c r="A158" s="122" t="s">
        <v>170</v>
      </c>
      <c r="B158" s="116"/>
      <c r="C158" s="117"/>
      <c r="D158" s="118"/>
      <c r="E158" s="117"/>
      <c r="F158" s="116"/>
      <c r="G158" s="116"/>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29"/>
      <c r="AG158" s="102">
        <f t="shared" si="37"/>
        <v>0</v>
      </c>
    </row>
    <row r="159" spans="1:33" x14ac:dyDescent="0.3">
      <c r="A159" s="1058" t="s">
        <v>290</v>
      </c>
      <c r="B159" s="1059"/>
      <c r="C159" s="1059"/>
      <c r="D159" s="1059"/>
      <c r="E159" s="1059"/>
      <c r="F159" s="1059"/>
      <c r="G159" s="1059"/>
      <c r="H159" s="1059"/>
      <c r="I159" s="1059"/>
      <c r="J159" s="1059"/>
      <c r="K159" s="1059"/>
      <c r="L159" s="1059"/>
      <c r="M159" s="1059"/>
      <c r="N159" s="1059"/>
      <c r="O159" s="1059"/>
      <c r="P159" s="1059"/>
      <c r="Q159" s="1059"/>
      <c r="R159" s="1059"/>
      <c r="S159" s="1059"/>
      <c r="T159" s="1059"/>
      <c r="U159" s="1059"/>
      <c r="V159" s="1059"/>
      <c r="W159" s="1059"/>
      <c r="X159" s="1059"/>
      <c r="Y159" s="1059"/>
      <c r="Z159" s="1059"/>
      <c r="AA159" s="1059"/>
      <c r="AB159" s="1059"/>
      <c r="AC159" s="1059"/>
      <c r="AD159" s="1059"/>
      <c r="AE159" s="1059"/>
      <c r="AF159" s="1060"/>
      <c r="AG159" s="102">
        <f t="shared" si="37"/>
        <v>0</v>
      </c>
    </row>
    <row r="160" spans="1:33" s="97" customFormat="1" x14ac:dyDescent="0.3">
      <c r="A160" s="1058" t="s">
        <v>167</v>
      </c>
      <c r="B160" s="1059"/>
      <c r="C160" s="1059"/>
      <c r="D160" s="1059"/>
      <c r="E160" s="1059"/>
      <c r="F160" s="1059"/>
      <c r="G160" s="1059"/>
      <c r="H160" s="1059"/>
      <c r="I160" s="1059"/>
      <c r="J160" s="1059"/>
      <c r="K160" s="1059"/>
      <c r="L160" s="1059"/>
      <c r="M160" s="1059"/>
      <c r="N160" s="1059"/>
      <c r="O160" s="1059"/>
      <c r="P160" s="1059"/>
      <c r="Q160" s="1059"/>
      <c r="R160" s="1059"/>
      <c r="S160" s="1059"/>
      <c r="T160" s="1059"/>
      <c r="U160" s="1059"/>
      <c r="V160" s="1059"/>
      <c r="W160" s="1059"/>
      <c r="X160" s="1059"/>
      <c r="Y160" s="1059"/>
      <c r="Z160" s="1059"/>
      <c r="AA160" s="1059"/>
      <c r="AB160" s="1059"/>
      <c r="AC160" s="1059"/>
      <c r="AD160" s="1059"/>
      <c r="AE160" s="1059"/>
      <c r="AF160" s="1060"/>
    </row>
    <row r="161" spans="1:33" ht="56.25" customHeight="1" x14ac:dyDescent="0.3">
      <c r="A161" s="98" t="s">
        <v>291</v>
      </c>
      <c r="B161" s="99"/>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1"/>
      <c r="AG161" s="102">
        <f>B161-H161-J161-L161-N161-P161-R161-T161-V161-X161-Z161-AB161-AD161</f>
        <v>0</v>
      </c>
    </row>
    <row r="162" spans="1:33" x14ac:dyDescent="0.3">
      <c r="A162" s="103" t="s">
        <v>31</v>
      </c>
      <c r="B162" s="104">
        <f>B163+B164+B165+B166</f>
        <v>11</v>
      </c>
      <c r="C162" s="104">
        <f>C163+C164+C165+C166</f>
        <v>11</v>
      </c>
      <c r="D162" s="104">
        <f>D163+D164+D165+D166</f>
        <v>11</v>
      </c>
      <c r="E162" s="104">
        <f>E163+E164+E165+E166</f>
        <v>11</v>
      </c>
      <c r="F162" s="105">
        <f>IFERROR(E162/B162*100,0)</f>
        <v>100</v>
      </c>
      <c r="G162" s="105">
        <f>IFERROR(E162/C162*100,0)</f>
        <v>100</v>
      </c>
      <c r="H162" s="104">
        <f>H163+H164+H165+H166</f>
        <v>2</v>
      </c>
      <c r="I162" s="104">
        <f t="shared" ref="I162:AE162" si="45">I163+I164+I165+I166</f>
        <v>2</v>
      </c>
      <c r="J162" s="104">
        <f t="shared" si="45"/>
        <v>1</v>
      </c>
      <c r="K162" s="104">
        <f t="shared" si="45"/>
        <v>1</v>
      </c>
      <c r="L162" s="104">
        <f t="shared" si="45"/>
        <v>8</v>
      </c>
      <c r="M162" s="104">
        <f t="shared" si="45"/>
        <v>8</v>
      </c>
      <c r="N162" s="104">
        <f t="shared" si="45"/>
        <v>0</v>
      </c>
      <c r="O162" s="104">
        <f t="shared" si="45"/>
        <v>0</v>
      </c>
      <c r="P162" s="104">
        <f t="shared" si="45"/>
        <v>0</v>
      </c>
      <c r="Q162" s="104">
        <f t="shared" si="45"/>
        <v>0</v>
      </c>
      <c r="R162" s="104">
        <f t="shared" si="45"/>
        <v>0</v>
      </c>
      <c r="S162" s="104">
        <f t="shared" si="45"/>
        <v>0</v>
      </c>
      <c r="T162" s="104">
        <f t="shared" si="45"/>
        <v>0</v>
      </c>
      <c r="U162" s="104">
        <f t="shared" si="45"/>
        <v>0</v>
      </c>
      <c r="V162" s="104">
        <f t="shared" si="45"/>
        <v>0</v>
      </c>
      <c r="W162" s="104">
        <f t="shared" si="45"/>
        <v>0</v>
      </c>
      <c r="X162" s="104">
        <f t="shared" si="45"/>
        <v>0</v>
      </c>
      <c r="Y162" s="104">
        <f t="shared" si="45"/>
        <v>0</v>
      </c>
      <c r="Z162" s="104">
        <f t="shared" si="45"/>
        <v>0</v>
      </c>
      <c r="AA162" s="104">
        <f t="shared" si="45"/>
        <v>0</v>
      </c>
      <c r="AB162" s="104">
        <f t="shared" si="45"/>
        <v>0</v>
      </c>
      <c r="AC162" s="104">
        <f t="shared" si="45"/>
        <v>0</v>
      </c>
      <c r="AD162" s="104">
        <f t="shared" si="45"/>
        <v>0</v>
      </c>
      <c r="AE162" s="104">
        <f t="shared" si="45"/>
        <v>0</v>
      </c>
      <c r="AF162" s="101"/>
      <c r="AG162" s="102">
        <f t="shared" ref="AG162:AG172" si="46">B162-H162-J162-L162-N162-P162-R162-T162-V162-X162-Z162-AB162-AD162</f>
        <v>0</v>
      </c>
    </row>
    <row r="163" spans="1:33" x14ac:dyDescent="0.3">
      <c r="A163" s="106" t="s">
        <v>169</v>
      </c>
      <c r="B163" s="107">
        <f>B169</f>
        <v>0</v>
      </c>
      <c r="C163" s="107">
        <f>C169</f>
        <v>0</v>
      </c>
      <c r="D163" s="107">
        <f>D169</f>
        <v>0</v>
      </c>
      <c r="E163" s="107">
        <f>E169</f>
        <v>0</v>
      </c>
      <c r="F163" s="107">
        <f>IFERROR(E163/B163*100,0)</f>
        <v>0</v>
      </c>
      <c r="G163" s="107">
        <f>IFERROR(E163/C163*100,0)</f>
        <v>0</v>
      </c>
      <c r="H163" s="107">
        <f t="shared" ref="H163:AE166" si="47">H169</f>
        <v>0</v>
      </c>
      <c r="I163" s="107">
        <f t="shared" si="47"/>
        <v>0</v>
      </c>
      <c r="J163" s="107">
        <f t="shared" si="47"/>
        <v>0</v>
      </c>
      <c r="K163" s="107">
        <f t="shared" si="47"/>
        <v>0</v>
      </c>
      <c r="L163" s="107">
        <f t="shared" si="47"/>
        <v>0</v>
      </c>
      <c r="M163" s="107">
        <f t="shared" si="47"/>
        <v>0</v>
      </c>
      <c r="N163" s="107">
        <f t="shared" si="47"/>
        <v>0</v>
      </c>
      <c r="O163" s="107">
        <f t="shared" si="47"/>
        <v>0</v>
      </c>
      <c r="P163" s="107">
        <f t="shared" si="47"/>
        <v>0</v>
      </c>
      <c r="Q163" s="107">
        <f t="shared" si="47"/>
        <v>0</v>
      </c>
      <c r="R163" s="107">
        <f t="shared" si="47"/>
        <v>0</v>
      </c>
      <c r="S163" s="107">
        <f t="shared" si="47"/>
        <v>0</v>
      </c>
      <c r="T163" s="107">
        <f t="shared" si="47"/>
        <v>0</v>
      </c>
      <c r="U163" s="107">
        <f t="shared" si="47"/>
        <v>0</v>
      </c>
      <c r="V163" s="107">
        <f t="shared" si="47"/>
        <v>0</v>
      </c>
      <c r="W163" s="107">
        <f t="shared" si="47"/>
        <v>0</v>
      </c>
      <c r="X163" s="107">
        <f t="shared" si="47"/>
        <v>0</v>
      </c>
      <c r="Y163" s="107">
        <f t="shared" si="47"/>
        <v>0</v>
      </c>
      <c r="Z163" s="107">
        <f t="shared" si="47"/>
        <v>0</v>
      </c>
      <c r="AA163" s="107">
        <f t="shared" si="47"/>
        <v>0</v>
      </c>
      <c r="AB163" s="107">
        <f t="shared" si="47"/>
        <v>0</v>
      </c>
      <c r="AC163" s="107">
        <f t="shared" si="47"/>
        <v>0</v>
      </c>
      <c r="AD163" s="107">
        <f t="shared" si="47"/>
        <v>0</v>
      </c>
      <c r="AE163" s="107">
        <f t="shared" si="47"/>
        <v>0</v>
      </c>
      <c r="AF163" s="101"/>
      <c r="AG163" s="102">
        <f t="shared" si="46"/>
        <v>0</v>
      </c>
    </row>
    <row r="164" spans="1:33" x14ac:dyDescent="0.3">
      <c r="A164" s="106" t="s">
        <v>32</v>
      </c>
      <c r="B164" s="107">
        <f t="shared" ref="B164:E166" si="48">B170</f>
        <v>0</v>
      </c>
      <c r="C164" s="107">
        <f t="shared" si="48"/>
        <v>0</v>
      </c>
      <c r="D164" s="107">
        <f t="shared" si="48"/>
        <v>0</v>
      </c>
      <c r="E164" s="107">
        <f t="shared" si="48"/>
        <v>0</v>
      </c>
      <c r="F164" s="107">
        <f>IFERROR(E164/B164*100,0)</f>
        <v>0</v>
      </c>
      <c r="G164" s="107">
        <f>IFERROR(E164/C164*100,0)</f>
        <v>0</v>
      </c>
      <c r="H164" s="107">
        <f t="shared" si="47"/>
        <v>0</v>
      </c>
      <c r="I164" s="107">
        <f t="shared" si="47"/>
        <v>0</v>
      </c>
      <c r="J164" s="107">
        <f t="shared" si="47"/>
        <v>0</v>
      </c>
      <c r="K164" s="107">
        <f t="shared" si="47"/>
        <v>0</v>
      </c>
      <c r="L164" s="107">
        <f t="shared" si="47"/>
        <v>0</v>
      </c>
      <c r="M164" s="107">
        <f t="shared" si="47"/>
        <v>0</v>
      </c>
      <c r="N164" s="107">
        <f t="shared" si="47"/>
        <v>0</v>
      </c>
      <c r="O164" s="107">
        <f t="shared" si="47"/>
        <v>0</v>
      </c>
      <c r="P164" s="107">
        <f t="shared" si="47"/>
        <v>0</v>
      </c>
      <c r="Q164" s="107">
        <f t="shared" si="47"/>
        <v>0</v>
      </c>
      <c r="R164" s="107">
        <f t="shared" si="47"/>
        <v>0</v>
      </c>
      <c r="S164" s="107">
        <f t="shared" si="47"/>
        <v>0</v>
      </c>
      <c r="T164" s="107">
        <f t="shared" si="47"/>
        <v>0</v>
      </c>
      <c r="U164" s="107">
        <f t="shared" si="47"/>
        <v>0</v>
      </c>
      <c r="V164" s="107">
        <f t="shared" si="47"/>
        <v>0</v>
      </c>
      <c r="W164" s="107">
        <f t="shared" si="47"/>
        <v>0</v>
      </c>
      <c r="X164" s="107">
        <f t="shared" si="47"/>
        <v>0</v>
      </c>
      <c r="Y164" s="107">
        <f t="shared" si="47"/>
        <v>0</v>
      </c>
      <c r="Z164" s="107">
        <f t="shared" si="47"/>
        <v>0</v>
      </c>
      <c r="AA164" s="107">
        <f t="shared" si="47"/>
        <v>0</v>
      </c>
      <c r="AB164" s="107">
        <f t="shared" si="47"/>
        <v>0</v>
      </c>
      <c r="AC164" s="107">
        <f t="shared" si="47"/>
        <v>0</v>
      </c>
      <c r="AD164" s="107">
        <f t="shared" si="47"/>
        <v>0</v>
      </c>
      <c r="AE164" s="107">
        <f t="shared" si="47"/>
        <v>0</v>
      </c>
      <c r="AF164" s="101"/>
      <c r="AG164" s="102">
        <f t="shared" si="46"/>
        <v>0</v>
      </c>
    </row>
    <row r="165" spans="1:33" x14ac:dyDescent="0.3">
      <c r="A165" s="106" t="s">
        <v>33</v>
      </c>
      <c r="B165" s="622">
        <f t="shared" si="48"/>
        <v>11</v>
      </c>
      <c r="C165" s="107">
        <f t="shared" si="48"/>
        <v>11</v>
      </c>
      <c r="D165" s="107">
        <f t="shared" si="48"/>
        <v>11</v>
      </c>
      <c r="E165" s="107">
        <f t="shared" si="48"/>
        <v>11</v>
      </c>
      <c r="F165" s="107">
        <f>IFERROR(E165/B165*100,0)</f>
        <v>100</v>
      </c>
      <c r="G165" s="107">
        <f>IFERROR(E165/C165*100,0)</f>
        <v>100</v>
      </c>
      <c r="H165" s="107">
        <f t="shared" si="47"/>
        <v>2</v>
      </c>
      <c r="I165" s="107">
        <f t="shared" si="47"/>
        <v>2</v>
      </c>
      <c r="J165" s="107">
        <f t="shared" si="47"/>
        <v>1</v>
      </c>
      <c r="K165" s="107">
        <f t="shared" si="47"/>
        <v>1</v>
      </c>
      <c r="L165" s="107">
        <f t="shared" si="47"/>
        <v>8</v>
      </c>
      <c r="M165" s="107">
        <f t="shared" si="47"/>
        <v>8</v>
      </c>
      <c r="N165" s="107">
        <f t="shared" si="47"/>
        <v>0</v>
      </c>
      <c r="O165" s="107">
        <f t="shared" si="47"/>
        <v>0</v>
      </c>
      <c r="P165" s="107">
        <f t="shared" si="47"/>
        <v>0</v>
      </c>
      <c r="Q165" s="107">
        <f t="shared" si="47"/>
        <v>0</v>
      </c>
      <c r="R165" s="107">
        <f t="shared" si="47"/>
        <v>0</v>
      </c>
      <c r="S165" s="107">
        <f t="shared" si="47"/>
        <v>0</v>
      </c>
      <c r="T165" s="107">
        <f t="shared" si="47"/>
        <v>0</v>
      </c>
      <c r="U165" s="107">
        <f t="shared" si="47"/>
        <v>0</v>
      </c>
      <c r="V165" s="107">
        <f t="shared" si="47"/>
        <v>0</v>
      </c>
      <c r="W165" s="107">
        <f t="shared" si="47"/>
        <v>0</v>
      </c>
      <c r="X165" s="107">
        <f t="shared" si="47"/>
        <v>0</v>
      </c>
      <c r="Y165" s="107">
        <f t="shared" si="47"/>
        <v>0</v>
      </c>
      <c r="Z165" s="107">
        <f t="shared" si="47"/>
        <v>0</v>
      </c>
      <c r="AA165" s="107">
        <f t="shared" si="47"/>
        <v>0</v>
      </c>
      <c r="AB165" s="107">
        <f t="shared" si="47"/>
        <v>0</v>
      </c>
      <c r="AC165" s="107">
        <f t="shared" si="47"/>
        <v>0</v>
      </c>
      <c r="AD165" s="107">
        <f t="shared" si="47"/>
        <v>0</v>
      </c>
      <c r="AE165" s="107">
        <f t="shared" si="47"/>
        <v>0</v>
      </c>
      <c r="AF165" s="101"/>
      <c r="AG165" s="102">
        <f t="shared" si="46"/>
        <v>0</v>
      </c>
    </row>
    <row r="166" spans="1:33" x14ac:dyDescent="0.3">
      <c r="A166" s="106" t="s">
        <v>170</v>
      </c>
      <c r="B166" s="107">
        <f t="shared" si="48"/>
        <v>0</v>
      </c>
      <c r="C166" s="107">
        <f t="shared" si="48"/>
        <v>0</v>
      </c>
      <c r="D166" s="107">
        <f t="shared" si="48"/>
        <v>0</v>
      </c>
      <c r="E166" s="107">
        <f t="shared" si="48"/>
        <v>0</v>
      </c>
      <c r="F166" s="107">
        <f>IFERROR(E166/B166*100,0)</f>
        <v>0</v>
      </c>
      <c r="G166" s="107">
        <f>IFERROR(E166/C166*100,0)</f>
        <v>0</v>
      </c>
      <c r="H166" s="107">
        <f t="shared" si="47"/>
        <v>0</v>
      </c>
      <c r="I166" s="107">
        <f t="shared" si="47"/>
        <v>0</v>
      </c>
      <c r="J166" s="107">
        <f t="shared" si="47"/>
        <v>0</v>
      </c>
      <c r="K166" s="107">
        <f t="shared" si="47"/>
        <v>0</v>
      </c>
      <c r="L166" s="107">
        <f t="shared" si="47"/>
        <v>0</v>
      </c>
      <c r="M166" s="107">
        <f t="shared" si="47"/>
        <v>0</v>
      </c>
      <c r="N166" s="107">
        <f t="shared" si="47"/>
        <v>0</v>
      </c>
      <c r="O166" s="107">
        <f t="shared" si="47"/>
        <v>0</v>
      </c>
      <c r="P166" s="107">
        <f t="shared" si="47"/>
        <v>0</v>
      </c>
      <c r="Q166" s="107">
        <f t="shared" si="47"/>
        <v>0</v>
      </c>
      <c r="R166" s="107">
        <f t="shared" si="47"/>
        <v>0</v>
      </c>
      <c r="S166" s="107">
        <f t="shared" si="47"/>
        <v>0</v>
      </c>
      <c r="T166" s="107">
        <f t="shared" si="47"/>
        <v>0</v>
      </c>
      <c r="U166" s="107">
        <f t="shared" si="47"/>
        <v>0</v>
      </c>
      <c r="V166" s="107">
        <f t="shared" si="47"/>
        <v>0</v>
      </c>
      <c r="W166" s="107">
        <f t="shared" si="47"/>
        <v>0</v>
      </c>
      <c r="X166" s="107">
        <f t="shared" si="47"/>
        <v>0</v>
      </c>
      <c r="Y166" s="107">
        <f t="shared" si="47"/>
        <v>0</v>
      </c>
      <c r="Z166" s="107">
        <f t="shared" si="47"/>
        <v>0</v>
      </c>
      <c r="AA166" s="107">
        <f t="shared" si="47"/>
        <v>0</v>
      </c>
      <c r="AB166" s="107">
        <f t="shared" si="47"/>
        <v>0</v>
      </c>
      <c r="AC166" s="107">
        <f t="shared" si="47"/>
        <v>0</v>
      </c>
      <c r="AD166" s="107">
        <f t="shared" si="47"/>
        <v>0</v>
      </c>
      <c r="AE166" s="107">
        <f t="shared" si="47"/>
        <v>0</v>
      </c>
      <c r="AF166" s="101"/>
      <c r="AG166" s="102">
        <f t="shared" si="46"/>
        <v>0</v>
      </c>
    </row>
    <row r="167" spans="1:33" ht="60.75" customHeight="1" x14ac:dyDescent="0.3">
      <c r="A167" s="778" t="s">
        <v>292</v>
      </c>
      <c r="B167" s="109"/>
      <c r="C167" s="110"/>
      <c r="D167" s="110"/>
      <c r="E167" s="110"/>
      <c r="F167" s="110"/>
      <c r="G167" s="110"/>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29"/>
      <c r="AG167" s="102">
        <f t="shared" si="46"/>
        <v>0</v>
      </c>
    </row>
    <row r="168" spans="1:33" x14ac:dyDescent="0.3">
      <c r="A168" s="112" t="s">
        <v>31</v>
      </c>
      <c r="B168" s="619">
        <f>B170+B171+B169+B172</f>
        <v>11</v>
      </c>
      <c r="C168" s="619">
        <f>C170+C171+C169+C172</f>
        <v>11</v>
      </c>
      <c r="D168" s="114">
        <f>D170+D171+D169+D172</f>
        <v>11</v>
      </c>
      <c r="E168" s="113">
        <f>E170+E171+E169+E172</f>
        <v>11</v>
      </c>
      <c r="F168" s="113">
        <f>IFERROR(E168/B168*100,0)</f>
        <v>100</v>
      </c>
      <c r="G168" s="113">
        <f>IFERROR(E168/C168*100,0)</f>
        <v>100</v>
      </c>
      <c r="H168" s="113">
        <f t="shared" ref="H168:AE168" si="49">H170+H171+H169+H172</f>
        <v>2</v>
      </c>
      <c r="I168" s="113">
        <f t="shared" si="49"/>
        <v>2</v>
      </c>
      <c r="J168" s="113">
        <f t="shared" si="49"/>
        <v>1</v>
      </c>
      <c r="K168" s="113">
        <f t="shared" si="49"/>
        <v>1</v>
      </c>
      <c r="L168" s="113">
        <f t="shared" si="49"/>
        <v>8</v>
      </c>
      <c r="M168" s="113">
        <f t="shared" si="49"/>
        <v>8</v>
      </c>
      <c r="N168" s="113">
        <f t="shared" si="49"/>
        <v>0</v>
      </c>
      <c r="O168" s="113">
        <f t="shared" si="49"/>
        <v>0</v>
      </c>
      <c r="P168" s="113">
        <f t="shared" si="49"/>
        <v>0</v>
      </c>
      <c r="Q168" s="113">
        <f t="shared" si="49"/>
        <v>0</v>
      </c>
      <c r="R168" s="113">
        <f t="shared" si="49"/>
        <v>0</v>
      </c>
      <c r="S168" s="113">
        <f t="shared" si="49"/>
        <v>0</v>
      </c>
      <c r="T168" s="113">
        <f t="shared" si="49"/>
        <v>0</v>
      </c>
      <c r="U168" s="113">
        <f t="shared" si="49"/>
        <v>0</v>
      </c>
      <c r="V168" s="113">
        <f t="shared" si="49"/>
        <v>0</v>
      </c>
      <c r="W168" s="113">
        <f t="shared" si="49"/>
        <v>0</v>
      </c>
      <c r="X168" s="113">
        <f t="shared" si="49"/>
        <v>0</v>
      </c>
      <c r="Y168" s="113">
        <f t="shared" si="49"/>
        <v>0</v>
      </c>
      <c r="Z168" s="113">
        <f t="shared" si="49"/>
        <v>0</v>
      </c>
      <c r="AA168" s="113">
        <f t="shared" si="49"/>
        <v>0</v>
      </c>
      <c r="AB168" s="113">
        <f t="shared" si="49"/>
        <v>0</v>
      </c>
      <c r="AC168" s="113">
        <f t="shared" si="49"/>
        <v>0</v>
      </c>
      <c r="AD168" s="113">
        <f t="shared" si="49"/>
        <v>0</v>
      </c>
      <c r="AE168" s="113">
        <f t="shared" si="49"/>
        <v>0</v>
      </c>
      <c r="AF168" s="29"/>
      <c r="AG168" s="102">
        <f t="shared" si="46"/>
        <v>0</v>
      </c>
    </row>
    <row r="169" spans="1:33" x14ac:dyDescent="0.3">
      <c r="A169" s="115" t="s">
        <v>169</v>
      </c>
      <c r="B169" s="116">
        <f>J169+L169+N169+P169+R169+T169+V169+X169+Z169+AB169+AD169+H169</f>
        <v>0</v>
      </c>
      <c r="C169" s="117">
        <f>SUM(H169)</f>
        <v>0</v>
      </c>
      <c r="D169" s="118">
        <f>E169</f>
        <v>0</v>
      </c>
      <c r="E169" s="117">
        <f>SUM(I169,K169,M169,O169,Q169,S169,U169,W169,Y169,AA169,AC169,AE169)</f>
        <v>0</v>
      </c>
      <c r="F169" s="116">
        <f>IFERROR(E169/B169*100,0)</f>
        <v>0</v>
      </c>
      <c r="G169" s="116">
        <f>IFERROR(E169/C169*100,0)</f>
        <v>0</v>
      </c>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29"/>
      <c r="AG169" s="102">
        <f t="shared" si="46"/>
        <v>0</v>
      </c>
    </row>
    <row r="170" spans="1:33" x14ac:dyDescent="0.3">
      <c r="A170" s="115" t="s">
        <v>32</v>
      </c>
      <c r="B170" s="116">
        <f>J170+L170+N170+P170+R170+T170+V170+X170+Z170+AB170+AD170+H170</f>
        <v>0</v>
      </c>
      <c r="C170" s="117">
        <f>SUM(H170)</f>
        <v>0</v>
      </c>
      <c r="D170" s="118">
        <f>E170</f>
        <v>0</v>
      </c>
      <c r="E170" s="117">
        <f>SUM(I170,K170,M170,O170,Q170,S170,U170,W170,Y170,AA170,AC170,AE170)</f>
        <v>0</v>
      </c>
      <c r="F170" s="116">
        <f>IFERROR(E170/B170*100,0)</f>
        <v>0</v>
      </c>
      <c r="G170" s="116">
        <f>IFERROR(E170/C170*100,0)</f>
        <v>0</v>
      </c>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29"/>
      <c r="AG170" s="102">
        <f t="shared" si="46"/>
        <v>0</v>
      </c>
    </row>
    <row r="171" spans="1:33" x14ac:dyDescent="0.3">
      <c r="A171" s="115" t="s">
        <v>33</v>
      </c>
      <c r="B171" s="622">
        <f>J171+L171+N171+P171+R171+T171+V171+X171+Z171+AB171+AD171+H171</f>
        <v>11</v>
      </c>
      <c r="C171" s="117">
        <f>H171+J171+L171</f>
        <v>11</v>
      </c>
      <c r="D171" s="118">
        <f>E171</f>
        <v>11</v>
      </c>
      <c r="E171" s="117">
        <f>H171+J171+L171</f>
        <v>11</v>
      </c>
      <c r="F171" s="116">
        <f>IFERROR(E171/B171*100,0)</f>
        <v>100</v>
      </c>
      <c r="G171" s="116">
        <f>IFERROR(E171/C171*100,0)</f>
        <v>100</v>
      </c>
      <c r="H171" s="111">
        <v>2</v>
      </c>
      <c r="I171" s="111">
        <v>2</v>
      </c>
      <c r="J171" s="111">
        <v>1</v>
      </c>
      <c r="K171" s="111">
        <v>1</v>
      </c>
      <c r="L171" s="111">
        <v>8</v>
      </c>
      <c r="M171" s="111">
        <v>8</v>
      </c>
      <c r="N171" s="111"/>
      <c r="O171" s="111"/>
      <c r="P171" s="111"/>
      <c r="Q171" s="111"/>
      <c r="R171" s="111"/>
      <c r="S171" s="111"/>
      <c r="T171" s="111"/>
      <c r="U171" s="111"/>
      <c r="V171" s="111"/>
      <c r="W171" s="111"/>
      <c r="X171" s="111"/>
      <c r="Y171" s="111"/>
      <c r="Z171" s="111"/>
      <c r="AA171" s="111"/>
      <c r="AB171" s="111"/>
      <c r="AC171" s="111"/>
      <c r="AD171" s="111"/>
      <c r="AE171" s="111"/>
      <c r="AF171" s="29"/>
      <c r="AG171" s="102">
        <f t="shared" si="46"/>
        <v>0</v>
      </c>
    </row>
    <row r="172" spans="1:33" x14ac:dyDescent="0.3">
      <c r="A172" s="115" t="s">
        <v>170</v>
      </c>
      <c r="B172" s="116"/>
      <c r="C172" s="117"/>
      <c r="D172" s="118"/>
      <c r="E172" s="117"/>
      <c r="F172" s="116"/>
      <c r="G172" s="116"/>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29"/>
      <c r="AG172" s="102">
        <f t="shared" si="46"/>
        <v>0</v>
      </c>
    </row>
    <row r="173" spans="1:33" ht="84" customHeight="1" x14ac:dyDescent="0.3">
      <c r="A173" s="98" t="s">
        <v>293</v>
      </c>
      <c r="B173" s="99"/>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1"/>
      <c r="AG173" s="102">
        <f>B173-H173-J173-L173-N173-P173-R173-T173-V173-X173-Z173-AB173-AD173</f>
        <v>0</v>
      </c>
    </row>
    <row r="174" spans="1:33" x14ac:dyDescent="0.3">
      <c r="A174" s="103" t="s">
        <v>31</v>
      </c>
      <c r="B174" s="104">
        <f>B175+B176+B177+B178</f>
        <v>1178.59834</v>
      </c>
      <c r="C174" s="104">
        <f>C175+C176+C177+C178</f>
        <v>769.16462999999987</v>
      </c>
      <c r="D174" s="104">
        <f>D175+D176+D177+D178</f>
        <v>768.62462999999991</v>
      </c>
      <c r="E174" s="104">
        <f>E175+E176+E177+E178</f>
        <v>716.61800000000005</v>
      </c>
      <c r="F174" s="105">
        <f>IFERROR(E174/B174*100,0)</f>
        <v>60.802563153109489</v>
      </c>
      <c r="G174" s="105">
        <f>IFERROR(E174/C174*100,0)</f>
        <v>93.168350707962247</v>
      </c>
      <c r="H174" s="104">
        <f>H175+H176+H177+H178</f>
        <v>0</v>
      </c>
      <c r="I174" s="104">
        <f t="shared" ref="I174:AE174" si="50">I175+I176+I177+I178</f>
        <v>0</v>
      </c>
      <c r="J174" s="104">
        <f t="shared" si="50"/>
        <v>123.75</v>
      </c>
      <c r="K174" s="104">
        <f t="shared" si="50"/>
        <v>123.8</v>
      </c>
      <c r="L174" s="104">
        <f t="shared" si="50"/>
        <v>170.89000000000001</v>
      </c>
      <c r="M174" s="104">
        <f t="shared" si="50"/>
        <v>170.05799999999999</v>
      </c>
      <c r="N174" s="104">
        <f t="shared" si="50"/>
        <v>92.240000000000009</v>
      </c>
      <c r="O174" s="104">
        <f t="shared" si="50"/>
        <v>24.48</v>
      </c>
      <c r="P174" s="104">
        <f t="shared" si="50"/>
        <v>176.8364</v>
      </c>
      <c r="Q174" s="104">
        <f t="shared" si="50"/>
        <v>176.83</v>
      </c>
      <c r="R174" s="104">
        <f t="shared" si="50"/>
        <v>205.44823000000002</v>
      </c>
      <c r="S174" s="104">
        <f t="shared" si="50"/>
        <v>221.45000000000002</v>
      </c>
      <c r="T174" s="104">
        <f t="shared" si="50"/>
        <v>0.55500000000000005</v>
      </c>
      <c r="U174" s="104">
        <f t="shared" si="50"/>
        <v>0</v>
      </c>
      <c r="V174" s="104">
        <f t="shared" si="50"/>
        <v>33.122</v>
      </c>
      <c r="W174" s="104">
        <f t="shared" si="50"/>
        <v>0</v>
      </c>
      <c r="X174" s="104">
        <f t="shared" si="50"/>
        <v>75.910229999999999</v>
      </c>
      <c r="Y174" s="104">
        <f t="shared" si="50"/>
        <v>0</v>
      </c>
      <c r="Z174" s="104">
        <f t="shared" si="50"/>
        <v>113.52023</v>
      </c>
      <c r="AA174" s="104">
        <f t="shared" si="50"/>
        <v>0</v>
      </c>
      <c r="AB174" s="104">
        <f t="shared" si="50"/>
        <v>97.43225000000001</v>
      </c>
      <c r="AC174" s="104">
        <f t="shared" si="50"/>
        <v>0</v>
      </c>
      <c r="AD174" s="104">
        <f t="shared" si="50"/>
        <v>88.894000000000005</v>
      </c>
      <c r="AE174" s="104">
        <f t="shared" si="50"/>
        <v>0</v>
      </c>
      <c r="AF174" s="101"/>
      <c r="AG174" s="102">
        <f t="shared" ref="AG174:AG184" si="51">B174-H174-J174-L174-N174-P174-R174-T174-V174-X174-Z174-AB174-AD174</f>
        <v>0</v>
      </c>
    </row>
    <row r="175" spans="1:33" x14ac:dyDescent="0.3">
      <c r="A175" s="106" t="s">
        <v>169</v>
      </c>
      <c r="B175" s="107">
        <f>B181</f>
        <v>455.10403000000002</v>
      </c>
      <c r="C175" s="107">
        <f>C181</f>
        <v>296.99200999999999</v>
      </c>
      <c r="D175" s="107">
        <f>D181</f>
        <v>296.99200999999999</v>
      </c>
      <c r="E175" s="107">
        <f>E181</f>
        <v>276.69</v>
      </c>
      <c r="F175" s="107">
        <f>IFERROR(E175/B175*100,0)</f>
        <v>60.797088525012619</v>
      </c>
      <c r="G175" s="107">
        <f>IFERROR(E175/C175*100,0)</f>
        <v>93.164122496090044</v>
      </c>
      <c r="H175" s="107">
        <f t="shared" ref="H175:AE178" si="52">H181</f>
        <v>0</v>
      </c>
      <c r="I175" s="107">
        <f t="shared" si="52"/>
        <v>0</v>
      </c>
      <c r="J175" s="107">
        <f t="shared" si="52"/>
        <v>47.78</v>
      </c>
      <c r="K175" s="107">
        <f t="shared" si="52"/>
        <v>47.9</v>
      </c>
      <c r="L175" s="107">
        <f t="shared" si="52"/>
        <v>65.98</v>
      </c>
      <c r="M175" s="107">
        <f t="shared" si="52"/>
        <v>65.86</v>
      </c>
      <c r="N175" s="107">
        <f t="shared" si="52"/>
        <v>35.630000000000003</v>
      </c>
      <c r="O175" s="107">
        <f t="shared" si="52"/>
        <v>9.15</v>
      </c>
      <c r="P175" s="107">
        <f t="shared" si="52"/>
        <v>68.342010000000002</v>
      </c>
      <c r="Q175" s="107">
        <f t="shared" si="52"/>
        <v>68.34</v>
      </c>
      <c r="R175" s="107">
        <f t="shared" si="52"/>
        <v>79.260000000000005</v>
      </c>
      <c r="S175" s="107">
        <f t="shared" si="52"/>
        <v>85.44</v>
      </c>
      <c r="T175" s="107">
        <f t="shared" si="52"/>
        <v>0</v>
      </c>
      <c r="U175" s="107">
        <f t="shared" si="52"/>
        <v>0</v>
      </c>
      <c r="V175" s="107">
        <f t="shared" si="52"/>
        <v>32.28</v>
      </c>
      <c r="W175" s="107">
        <f t="shared" si="52"/>
        <v>0</v>
      </c>
      <c r="X175" s="107">
        <f t="shared" si="52"/>
        <v>15.489999999999998</v>
      </c>
      <c r="Y175" s="107">
        <f t="shared" si="52"/>
        <v>0</v>
      </c>
      <c r="Z175" s="107">
        <f t="shared" si="52"/>
        <v>38.03</v>
      </c>
      <c r="AA175" s="107">
        <f t="shared" si="52"/>
        <v>0</v>
      </c>
      <c r="AB175" s="107">
        <f t="shared" si="52"/>
        <v>38.002020000000002</v>
      </c>
      <c r="AC175" s="107">
        <f t="shared" si="52"/>
        <v>0</v>
      </c>
      <c r="AD175" s="107">
        <f t="shared" si="52"/>
        <v>34.31</v>
      </c>
      <c r="AE175" s="107">
        <f t="shared" si="52"/>
        <v>0</v>
      </c>
      <c r="AF175" s="101"/>
      <c r="AG175" s="102">
        <f t="shared" si="51"/>
        <v>0</v>
      </c>
    </row>
    <row r="176" spans="1:33" x14ac:dyDescent="0.3">
      <c r="A176" s="106" t="s">
        <v>32</v>
      </c>
      <c r="B176" s="107">
        <f t="shared" ref="B176:E178" si="53">B182</f>
        <v>711.69531000000006</v>
      </c>
      <c r="C176" s="107">
        <f t="shared" si="53"/>
        <v>464.46461999999997</v>
      </c>
      <c r="D176" s="107">
        <f t="shared" si="53"/>
        <v>464.46461999999997</v>
      </c>
      <c r="E176" s="107">
        <f t="shared" si="53"/>
        <v>432.76</v>
      </c>
      <c r="F176" s="107">
        <f>IFERROR(E176/B176*100,0)</f>
        <v>60.806920309760081</v>
      </c>
      <c r="G176" s="107">
        <f>IFERROR(E176/C176*100,0)</f>
        <v>93.173942936708514</v>
      </c>
      <c r="H176" s="107">
        <f t="shared" si="52"/>
        <v>0</v>
      </c>
      <c r="I176" s="107">
        <f t="shared" si="52"/>
        <v>0</v>
      </c>
      <c r="J176" s="107">
        <f t="shared" si="52"/>
        <v>74.73</v>
      </c>
      <c r="K176" s="107">
        <f t="shared" si="52"/>
        <v>74.7</v>
      </c>
      <c r="L176" s="107">
        <f t="shared" si="52"/>
        <v>103.2</v>
      </c>
      <c r="M176" s="107">
        <f t="shared" si="52"/>
        <v>103.21</v>
      </c>
      <c r="N176" s="107">
        <f t="shared" si="52"/>
        <v>55.68</v>
      </c>
      <c r="O176" s="107">
        <f t="shared" si="52"/>
        <v>14.34</v>
      </c>
      <c r="P176" s="107">
        <f t="shared" si="52"/>
        <v>106.77439</v>
      </c>
      <c r="Q176" s="107">
        <f t="shared" si="52"/>
        <v>106.77</v>
      </c>
      <c r="R176" s="107">
        <f t="shared" si="52"/>
        <v>124.08023</v>
      </c>
      <c r="S176" s="107">
        <f t="shared" si="52"/>
        <v>133.74</v>
      </c>
      <c r="T176" s="107">
        <f t="shared" si="52"/>
        <v>0</v>
      </c>
      <c r="U176" s="107">
        <f t="shared" si="52"/>
        <v>0</v>
      </c>
      <c r="V176" s="107">
        <f t="shared" si="52"/>
        <v>0.1</v>
      </c>
      <c r="W176" s="107">
        <f t="shared" si="52"/>
        <v>0</v>
      </c>
      <c r="X176" s="107">
        <f t="shared" si="52"/>
        <v>59.430230000000002</v>
      </c>
      <c r="Y176" s="107">
        <f t="shared" si="52"/>
        <v>0</v>
      </c>
      <c r="Z176" s="107">
        <f t="shared" si="52"/>
        <v>74.490229999999997</v>
      </c>
      <c r="AA176" s="107">
        <f t="shared" si="52"/>
        <v>0</v>
      </c>
      <c r="AB176" s="107">
        <f t="shared" si="52"/>
        <v>59.430230000000002</v>
      </c>
      <c r="AC176" s="107">
        <f t="shared" si="52"/>
        <v>0</v>
      </c>
      <c r="AD176" s="107">
        <f t="shared" si="52"/>
        <v>53.78</v>
      </c>
      <c r="AE176" s="107">
        <f t="shared" si="52"/>
        <v>0</v>
      </c>
      <c r="AF176" s="101"/>
      <c r="AG176" s="102">
        <f t="shared" si="51"/>
        <v>0</v>
      </c>
    </row>
    <row r="177" spans="1:33" x14ac:dyDescent="0.3">
      <c r="A177" s="106" t="s">
        <v>33</v>
      </c>
      <c r="B177" s="622">
        <f t="shared" si="53"/>
        <v>11.798999999999999</v>
      </c>
      <c r="C177" s="107">
        <f t="shared" si="53"/>
        <v>7.7080000000000002</v>
      </c>
      <c r="D177" s="107">
        <f t="shared" si="53"/>
        <v>7.1679999999999993</v>
      </c>
      <c r="E177" s="107">
        <f t="shared" si="53"/>
        <v>7.1679999999999993</v>
      </c>
      <c r="F177" s="107">
        <f>IFERROR(E177/B177*100,0)</f>
        <v>60.750911094160521</v>
      </c>
      <c r="G177" s="107">
        <f>IFERROR(E177/C177*100,0)</f>
        <v>92.9942916450441</v>
      </c>
      <c r="H177" s="107">
        <f t="shared" si="52"/>
        <v>0</v>
      </c>
      <c r="I177" s="107">
        <f t="shared" si="52"/>
        <v>0</v>
      </c>
      <c r="J177" s="107">
        <f t="shared" si="52"/>
        <v>1.24</v>
      </c>
      <c r="K177" s="107">
        <f t="shared" si="52"/>
        <v>1.2</v>
      </c>
      <c r="L177" s="107">
        <f t="shared" si="52"/>
        <v>1.71</v>
      </c>
      <c r="M177" s="107">
        <f t="shared" si="52"/>
        <v>0.98799999999999999</v>
      </c>
      <c r="N177" s="107">
        <f t="shared" si="52"/>
        <v>0.93</v>
      </c>
      <c r="O177" s="107">
        <f t="shared" si="52"/>
        <v>0.99</v>
      </c>
      <c r="P177" s="107">
        <f t="shared" si="52"/>
        <v>1.72</v>
      </c>
      <c r="Q177" s="107">
        <f t="shared" si="52"/>
        <v>1.72</v>
      </c>
      <c r="R177" s="107">
        <f t="shared" si="52"/>
        <v>2.1079999999999997</v>
      </c>
      <c r="S177" s="107">
        <f t="shared" si="52"/>
        <v>2.27</v>
      </c>
      <c r="T177" s="107">
        <f t="shared" si="52"/>
        <v>0.55500000000000005</v>
      </c>
      <c r="U177" s="107">
        <f t="shared" si="52"/>
        <v>0</v>
      </c>
      <c r="V177" s="107">
        <f t="shared" si="52"/>
        <v>0.74199999999999999</v>
      </c>
      <c r="W177" s="107">
        <f t="shared" si="52"/>
        <v>0</v>
      </c>
      <c r="X177" s="107">
        <f t="shared" si="52"/>
        <v>0.99</v>
      </c>
      <c r="Y177" s="107">
        <f t="shared" si="52"/>
        <v>0</v>
      </c>
      <c r="Z177" s="107">
        <f t="shared" si="52"/>
        <v>1</v>
      </c>
      <c r="AA177" s="107">
        <f t="shared" si="52"/>
        <v>0</v>
      </c>
      <c r="AB177" s="107">
        <f t="shared" si="52"/>
        <v>0</v>
      </c>
      <c r="AC177" s="107">
        <f t="shared" si="52"/>
        <v>0</v>
      </c>
      <c r="AD177" s="107">
        <f t="shared" si="52"/>
        <v>0.80400000000000005</v>
      </c>
      <c r="AE177" s="107">
        <f t="shared" si="52"/>
        <v>0</v>
      </c>
      <c r="AF177" s="101"/>
      <c r="AG177" s="102">
        <f t="shared" si="51"/>
        <v>8.8817841970012523E-16</v>
      </c>
    </row>
    <row r="178" spans="1:33" x14ac:dyDescent="0.3">
      <c r="A178" s="106" t="s">
        <v>170</v>
      </c>
      <c r="B178" s="107">
        <f>B184</f>
        <v>0</v>
      </c>
      <c r="C178" s="107">
        <f t="shared" si="53"/>
        <v>0</v>
      </c>
      <c r="D178" s="107">
        <f t="shared" si="53"/>
        <v>0</v>
      </c>
      <c r="E178" s="107">
        <f t="shared" si="53"/>
        <v>0</v>
      </c>
      <c r="F178" s="107">
        <f>IFERROR(E178/B178*100,0)</f>
        <v>0</v>
      </c>
      <c r="G178" s="107">
        <f>IFERROR(E178/C178*100,0)</f>
        <v>0</v>
      </c>
      <c r="H178" s="107">
        <f t="shared" si="52"/>
        <v>0</v>
      </c>
      <c r="I178" s="107">
        <f t="shared" si="52"/>
        <v>0</v>
      </c>
      <c r="J178" s="107">
        <f t="shared" si="52"/>
        <v>0</v>
      </c>
      <c r="K178" s="107">
        <f t="shared" si="52"/>
        <v>0</v>
      </c>
      <c r="L178" s="107">
        <f t="shared" si="52"/>
        <v>0</v>
      </c>
      <c r="M178" s="107">
        <f t="shared" si="52"/>
        <v>0</v>
      </c>
      <c r="N178" s="107">
        <f t="shared" si="52"/>
        <v>0</v>
      </c>
      <c r="O178" s="107">
        <f t="shared" si="52"/>
        <v>0</v>
      </c>
      <c r="P178" s="107">
        <f t="shared" si="52"/>
        <v>0</v>
      </c>
      <c r="Q178" s="107">
        <f t="shared" si="52"/>
        <v>0</v>
      </c>
      <c r="R178" s="107">
        <f t="shared" si="52"/>
        <v>0</v>
      </c>
      <c r="S178" s="107">
        <f t="shared" si="52"/>
        <v>0</v>
      </c>
      <c r="T178" s="107">
        <f t="shared" si="52"/>
        <v>0</v>
      </c>
      <c r="U178" s="107">
        <f t="shared" si="52"/>
        <v>0</v>
      </c>
      <c r="V178" s="107">
        <f t="shared" si="52"/>
        <v>0</v>
      </c>
      <c r="W178" s="107">
        <f t="shared" si="52"/>
        <v>0</v>
      </c>
      <c r="X178" s="107">
        <f t="shared" si="52"/>
        <v>0</v>
      </c>
      <c r="Y178" s="107">
        <f t="shared" si="52"/>
        <v>0</v>
      </c>
      <c r="Z178" s="107">
        <f t="shared" si="52"/>
        <v>0</v>
      </c>
      <c r="AA178" s="107">
        <f t="shared" si="52"/>
        <v>0</v>
      </c>
      <c r="AB178" s="107">
        <f t="shared" si="52"/>
        <v>0</v>
      </c>
      <c r="AC178" s="107">
        <f t="shared" si="52"/>
        <v>0</v>
      </c>
      <c r="AD178" s="107">
        <f t="shared" si="52"/>
        <v>0</v>
      </c>
      <c r="AE178" s="107">
        <f t="shared" si="52"/>
        <v>0</v>
      </c>
      <c r="AF178" s="101"/>
      <c r="AG178" s="102">
        <f t="shared" si="51"/>
        <v>0</v>
      </c>
    </row>
    <row r="179" spans="1:33" ht="102.75" customHeight="1" x14ac:dyDescent="0.3">
      <c r="A179" s="778" t="s">
        <v>597</v>
      </c>
      <c r="B179" s="109"/>
      <c r="C179" s="110"/>
      <c r="D179" s="110"/>
      <c r="E179" s="110"/>
      <c r="F179" s="110"/>
      <c r="G179" s="110"/>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952" t="s">
        <v>598</v>
      </c>
      <c r="AG179" s="102">
        <f t="shared" si="51"/>
        <v>0</v>
      </c>
    </row>
    <row r="180" spans="1:33" x14ac:dyDescent="0.3">
      <c r="A180" s="112" t="s">
        <v>31</v>
      </c>
      <c r="B180" s="619">
        <f>B182+B183+B181+B184</f>
        <v>1178.59834</v>
      </c>
      <c r="C180" s="113">
        <f>C182+C183+C181+C184</f>
        <v>769.16462999999999</v>
      </c>
      <c r="D180" s="114">
        <f>D182+D183+D181+D184</f>
        <v>768.62463000000002</v>
      </c>
      <c r="E180" s="113">
        <f>E182+E183+E181+E184</f>
        <v>716.61799999999994</v>
      </c>
      <c r="F180" s="113">
        <f>IFERROR(E180/B180*100,0)</f>
        <v>60.802563153109482</v>
      </c>
      <c r="G180" s="113">
        <f>IFERROR(E180/C180*100,0)</f>
        <v>93.168350707962205</v>
      </c>
      <c r="H180" s="113">
        <f t="shared" ref="H180:AE180" si="54">H182+H183+H181+H184</f>
        <v>0</v>
      </c>
      <c r="I180" s="113">
        <f t="shared" si="54"/>
        <v>0</v>
      </c>
      <c r="J180" s="113">
        <f t="shared" si="54"/>
        <v>123.75</v>
      </c>
      <c r="K180" s="113">
        <f t="shared" si="54"/>
        <v>123.80000000000001</v>
      </c>
      <c r="L180" s="113">
        <f t="shared" si="54"/>
        <v>170.89</v>
      </c>
      <c r="M180" s="113">
        <f t="shared" si="54"/>
        <v>170.05799999999999</v>
      </c>
      <c r="N180" s="113">
        <f t="shared" si="54"/>
        <v>92.240000000000009</v>
      </c>
      <c r="O180" s="113">
        <f t="shared" si="54"/>
        <v>24.48</v>
      </c>
      <c r="P180" s="113">
        <f t="shared" si="54"/>
        <v>176.8364</v>
      </c>
      <c r="Q180" s="113">
        <f t="shared" si="54"/>
        <v>176.82999999999998</v>
      </c>
      <c r="R180" s="113">
        <f t="shared" si="54"/>
        <v>205.44823000000002</v>
      </c>
      <c r="S180" s="113">
        <f t="shared" si="54"/>
        <v>221.45000000000002</v>
      </c>
      <c r="T180" s="113">
        <f t="shared" si="54"/>
        <v>0.55500000000000005</v>
      </c>
      <c r="U180" s="113">
        <f t="shared" si="54"/>
        <v>0</v>
      </c>
      <c r="V180" s="113">
        <f t="shared" si="54"/>
        <v>33.122</v>
      </c>
      <c r="W180" s="113">
        <f t="shared" si="54"/>
        <v>0</v>
      </c>
      <c r="X180" s="113">
        <f t="shared" si="54"/>
        <v>75.910229999999999</v>
      </c>
      <c r="Y180" s="113">
        <f t="shared" si="54"/>
        <v>0</v>
      </c>
      <c r="Z180" s="113">
        <f t="shared" si="54"/>
        <v>113.52023</v>
      </c>
      <c r="AA180" s="113">
        <f t="shared" si="54"/>
        <v>0</v>
      </c>
      <c r="AB180" s="113">
        <f t="shared" si="54"/>
        <v>97.43225000000001</v>
      </c>
      <c r="AC180" s="113">
        <f t="shared" si="54"/>
        <v>0</v>
      </c>
      <c r="AD180" s="113">
        <f t="shared" si="54"/>
        <v>88.894000000000005</v>
      </c>
      <c r="AE180" s="113">
        <f t="shared" si="54"/>
        <v>0</v>
      </c>
      <c r="AF180" s="29"/>
      <c r="AG180" s="102">
        <f t="shared" si="51"/>
        <v>0</v>
      </c>
    </row>
    <row r="181" spans="1:33" x14ac:dyDescent="0.3">
      <c r="A181" s="115" t="s">
        <v>169</v>
      </c>
      <c r="B181" s="784">
        <f>J181+L181+N181+P181+R181+T181+V181+X181+Z181+AB181+AD181+H181</f>
        <v>455.10403000000002</v>
      </c>
      <c r="C181" s="785">
        <f>H181+J181+L181+N181+P181+R181</f>
        <v>296.99200999999999</v>
      </c>
      <c r="D181" s="786">
        <f>C181</f>
        <v>296.99200999999999</v>
      </c>
      <c r="E181" s="785">
        <f>SUM(I181,K181,M181,O181,Q181,S181,U181,W181,Y181,AA181,AC181,AE181)</f>
        <v>276.69</v>
      </c>
      <c r="F181" s="784">
        <f>IFERROR(E181/B181*100,0)</f>
        <v>60.797088525012619</v>
      </c>
      <c r="G181" s="784">
        <f>IFERROR(E181/C181*100,0)</f>
        <v>93.164122496090044</v>
      </c>
      <c r="H181" s="519">
        <v>0</v>
      </c>
      <c r="I181" s="519"/>
      <c r="J181" s="519">
        <v>47.78</v>
      </c>
      <c r="K181" s="519">
        <v>47.9</v>
      </c>
      <c r="L181" s="519">
        <v>65.98</v>
      </c>
      <c r="M181" s="519">
        <v>65.86</v>
      </c>
      <c r="N181" s="519">
        <v>35.630000000000003</v>
      </c>
      <c r="O181" s="519">
        <v>9.15</v>
      </c>
      <c r="P181" s="519">
        <v>68.342010000000002</v>
      </c>
      <c r="Q181" s="519">
        <v>68.34</v>
      </c>
      <c r="R181" s="519">
        <f>38+18.75+22.51</f>
        <v>79.260000000000005</v>
      </c>
      <c r="S181" s="519">
        <v>85.44</v>
      </c>
      <c r="T181" s="519"/>
      <c r="U181" s="111"/>
      <c r="V181" s="111">
        <f>28.52-18.75+22.51</f>
        <v>32.28</v>
      </c>
      <c r="W181" s="111"/>
      <c r="X181" s="111">
        <f>38-22.51</f>
        <v>15.489999999999998</v>
      </c>
      <c r="Y181" s="111"/>
      <c r="Z181" s="111">
        <v>38.03</v>
      </c>
      <c r="AA181" s="111"/>
      <c r="AB181" s="111">
        <v>38.002020000000002</v>
      </c>
      <c r="AC181" s="111"/>
      <c r="AD181" s="111">
        <v>34.31</v>
      </c>
      <c r="AE181" s="111"/>
      <c r="AF181" s="29"/>
      <c r="AG181" s="102">
        <f t="shared" si="51"/>
        <v>0</v>
      </c>
    </row>
    <row r="182" spans="1:33" x14ac:dyDescent="0.3">
      <c r="A182" s="115" t="s">
        <v>32</v>
      </c>
      <c r="B182" s="784">
        <f>J182+L182+N182+P182+R182+T182+V182+X182+Z182+AB182+AD182+H182</f>
        <v>711.69531000000006</v>
      </c>
      <c r="C182" s="785">
        <f>H182+J182+L182+N182+P182+R182</f>
        <v>464.46461999999997</v>
      </c>
      <c r="D182" s="786">
        <f>C182</f>
        <v>464.46461999999997</v>
      </c>
      <c r="E182" s="785">
        <f>SUM(I182,K182,M182,O182,Q182,S182,U182,W182,Y182,AA182,AC182,AE182)</f>
        <v>432.76</v>
      </c>
      <c r="F182" s="784">
        <f>IFERROR(E182/B182*100,0)</f>
        <v>60.806920309760081</v>
      </c>
      <c r="G182" s="784">
        <f>IFERROR(E182/C182*100,0)</f>
        <v>93.173942936708514</v>
      </c>
      <c r="H182" s="519">
        <v>0</v>
      </c>
      <c r="I182" s="519"/>
      <c r="J182" s="519">
        <v>74.73</v>
      </c>
      <c r="K182" s="519">
        <v>74.7</v>
      </c>
      <c r="L182" s="519">
        <v>103.2</v>
      </c>
      <c r="M182" s="519">
        <v>103.21</v>
      </c>
      <c r="N182" s="519">
        <v>55.68</v>
      </c>
      <c r="O182" s="519">
        <v>14.34</v>
      </c>
      <c r="P182" s="519">
        <v>106.77439</v>
      </c>
      <c r="Q182" s="519">
        <v>106.77</v>
      </c>
      <c r="R182" s="519">
        <f>64.65+59.43023</f>
        <v>124.08023</v>
      </c>
      <c r="S182" s="519">
        <v>133.74</v>
      </c>
      <c r="T182" s="519"/>
      <c r="U182" s="111"/>
      <c r="V182" s="111">
        <v>0.1</v>
      </c>
      <c r="W182" s="111"/>
      <c r="X182" s="111">
        <v>59.430230000000002</v>
      </c>
      <c r="Y182" s="111"/>
      <c r="Z182" s="111">
        <f>59.43023+15.06</f>
        <v>74.490229999999997</v>
      </c>
      <c r="AA182" s="111"/>
      <c r="AB182" s="111">
        <v>59.430230000000002</v>
      </c>
      <c r="AC182" s="111"/>
      <c r="AD182" s="708">
        <v>53.78</v>
      </c>
      <c r="AE182" s="111"/>
      <c r="AF182" s="29"/>
      <c r="AG182" s="102">
        <f t="shared" si="51"/>
        <v>0</v>
      </c>
    </row>
    <row r="183" spans="1:33" x14ac:dyDescent="0.3">
      <c r="A183" s="115" t="s">
        <v>33</v>
      </c>
      <c r="B183" s="784">
        <f>J183+L183+N183+P183+R183+T183+V183+X183+Z183+AB183+AD183+H183</f>
        <v>11.798999999999999</v>
      </c>
      <c r="C183" s="785">
        <f>H183+J183+L183+N183+P183+R183</f>
        <v>7.7080000000000002</v>
      </c>
      <c r="D183" s="786">
        <f>E183</f>
        <v>7.1679999999999993</v>
      </c>
      <c r="E183" s="785">
        <f>SUM(I183,K183,M183,O183,Q183,S183,U183,W183,Y183,AA183,AC183,AE183)</f>
        <v>7.1679999999999993</v>
      </c>
      <c r="F183" s="784">
        <f>IFERROR(E183/B183*100,0)</f>
        <v>60.750911094160521</v>
      </c>
      <c r="G183" s="784">
        <f>IFERROR(E183/C183*100,0)</f>
        <v>92.9942916450441</v>
      </c>
      <c r="H183" s="519"/>
      <c r="I183" s="519"/>
      <c r="J183" s="519">
        <v>1.24</v>
      </c>
      <c r="K183" s="519">
        <v>1.2</v>
      </c>
      <c r="L183" s="519">
        <v>1.71</v>
      </c>
      <c r="M183" s="519">
        <v>0.98799999999999999</v>
      </c>
      <c r="N183" s="519">
        <v>0.93</v>
      </c>
      <c r="O183" s="519">
        <v>0.99</v>
      </c>
      <c r="P183" s="519">
        <v>1.72</v>
      </c>
      <c r="Q183" s="519">
        <v>1.72</v>
      </c>
      <c r="R183" s="519">
        <f>1.11+0.988+0.01</f>
        <v>2.1079999999999997</v>
      </c>
      <c r="S183" s="519">
        <v>2.27</v>
      </c>
      <c r="T183" s="519">
        <v>0.55500000000000005</v>
      </c>
      <c r="U183" s="111"/>
      <c r="V183" s="111">
        <v>0.74199999999999999</v>
      </c>
      <c r="W183" s="111"/>
      <c r="X183" s="111">
        <f>1-0.01</f>
        <v>0.99</v>
      </c>
      <c r="Y183" s="111"/>
      <c r="Z183" s="111">
        <v>1</v>
      </c>
      <c r="AA183" s="111"/>
      <c r="AB183" s="111">
        <v>0</v>
      </c>
      <c r="AC183" s="111"/>
      <c r="AD183" s="111">
        <f>0.914-0.11</f>
        <v>0.80400000000000005</v>
      </c>
      <c r="AE183" s="111"/>
      <c r="AF183" s="29"/>
      <c r="AG183" s="102">
        <f t="shared" si="51"/>
        <v>8.8817841970012523E-16</v>
      </c>
    </row>
    <row r="184" spans="1:33" x14ac:dyDescent="0.3">
      <c r="A184" s="115" t="s">
        <v>170</v>
      </c>
      <c r="B184" s="116"/>
      <c r="C184" s="117"/>
      <c r="D184" s="118"/>
      <c r="E184" s="117"/>
      <c r="F184" s="116"/>
      <c r="G184" s="116"/>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29"/>
      <c r="AG184" s="102">
        <f t="shared" si="51"/>
        <v>0</v>
      </c>
    </row>
    <row r="185" spans="1:33" x14ac:dyDescent="0.3">
      <c r="A185" s="1058" t="s">
        <v>54</v>
      </c>
      <c r="B185" s="1059"/>
      <c r="C185" s="1059"/>
      <c r="D185" s="1059"/>
      <c r="E185" s="1059"/>
      <c r="F185" s="1059"/>
      <c r="G185" s="1059"/>
      <c r="H185" s="1059"/>
      <c r="I185" s="1059"/>
      <c r="J185" s="1059"/>
      <c r="K185" s="1059"/>
      <c r="L185" s="1059"/>
      <c r="M185" s="1059"/>
      <c r="N185" s="1059"/>
      <c r="O185" s="1059"/>
      <c r="P185" s="1059"/>
      <c r="Q185" s="1059"/>
      <c r="R185" s="1059"/>
      <c r="S185" s="1059"/>
      <c r="T185" s="1059"/>
      <c r="U185" s="1059"/>
      <c r="V185" s="1059"/>
      <c r="W185" s="1059"/>
      <c r="X185" s="1059"/>
      <c r="Y185" s="1059"/>
      <c r="Z185" s="1059"/>
      <c r="AA185" s="1059"/>
      <c r="AB185" s="1059"/>
      <c r="AC185" s="1059"/>
      <c r="AD185" s="1059"/>
      <c r="AE185" s="1059"/>
      <c r="AF185" s="1060"/>
      <c r="AG185" s="102">
        <f t="shared" si="37"/>
        <v>0</v>
      </c>
    </row>
    <row r="186" spans="1:33" ht="75" x14ac:dyDescent="0.3">
      <c r="A186" s="138" t="s">
        <v>294</v>
      </c>
      <c r="B186" s="139"/>
      <c r="C186" s="140"/>
      <c r="D186" s="140"/>
      <c r="E186" s="140"/>
      <c r="F186" s="140"/>
      <c r="G186" s="140"/>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01"/>
      <c r="AG186" s="102">
        <f t="shared" si="37"/>
        <v>0</v>
      </c>
    </row>
    <row r="187" spans="1:33" x14ac:dyDescent="0.3">
      <c r="A187" s="103" t="s">
        <v>31</v>
      </c>
      <c r="B187" s="104">
        <f>B188+B189+B190+B191</f>
        <v>1903.7</v>
      </c>
      <c r="C187" s="104">
        <f>C188+C189+C190+C191</f>
        <v>1290.7</v>
      </c>
      <c r="D187" s="104">
        <f>D188+D189+D190+D191</f>
        <v>1290.6999999999998</v>
      </c>
      <c r="E187" s="104">
        <f>E188+E189+E190+E191</f>
        <v>1290.6999999999998</v>
      </c>
      <c r="F187" s="107">
        <f>IFERROR(E187/B187*100,0)</f>
        <v>67.799548248148341</v>
      </c>
      <c r="G187" s="107">
        <f>IFERROR(E187/C187*100,0)</f>
        <v>99.999999999999972</v>
      </c>
      <c r="H187" s="104">
        <f>H188+H189+H190+H191</f>
        <v>100</v>
      </c>
      <c r="I187" s="104">
        <f t="shared" ref="I187:AE187" si="55">I188+I189+I190+I191</f>
        <v>100</v>
      </c>
      <c r="J187" s="104">
        <f t="shared" si="55"/>
        <v>383.5</v>
      </c>
      <c r="K187" s="104">
        <f t="shared" si="55"/>
        <v>0</v>
      </c>
      <c r="L187" s="104">
        <f t="shared" si="55"/>
        <v>487.2</v>
      </c>
      <c r="M187" s="104">
        <f t="shared" si="55"/>
        <v>0</v>
      </c>
      <c r="N187" s="104">
        <f t="shared" si="55"/>
        <v>108.2</v>
      </c>
      <c r="O187" s="104">
        <f t="shared" si="55"/>
        <v>978.9</v>
      </c>
      <c r="P187" s="104">
        <f t="shared" si="55"/>
        <v>100.2</v>
      </c>
      <c r="Q187" s="104">
        <f t="shared" si="55"/>
        <v>100.2</v>
      </c>
      <c r="R187" s="104">
        <f t="shared" si="55"/>
        <v>111.6</v>
      </c>
      <c r="S187" s="104">
        <f t="shared" si="55"/>
        <v>111.6</v>
      </c>
      <c r="T187" s="104">
        <f t="shared" si="55"/>
        <v>0</v>
      </c>
      <c r="U187" s="104">
        <f t="shared" si="55"/>
        <v>0</v>
      </c>
      <c r="V187" s="104">
        <f t="shared" si="55"/>
        <v>13.6</v>
      </c>
      <c r="W187" s="104">
        <f t="shared" si="55"/>
        <v>0</v>
      </c>
      <c r="X187" s="104">
        <f t="shared" si="55"/>
        <v>19.399999999999999</v>
      </c>
      <c r="Y187" s="104">
        <f t="shared" si="55"/>
        <v>0</v>
      </c>
      <c r="Z187" s="104">
        <f t="shared" si="55"/>
        <v>0</v>
      </c>
      <c r="AA187" s="104">
        <f t="shared" si="55"/>
        <v>0</v>
      </c>
      <c r="AB187" s="104">
        <f t="shared" si="55"/>
        <v>0</v>
      </c>
      <c r="AC187" s="104">
        <f t="shared" si="55"/>
        <v>0</v>
      </c>
      <c r="AD187" s="104">
        <f t="shared" si="55"/>
        <v>580</v>
      </c>
      <c r="AE187" s="104">
        <f t="shared" si="55"/>
        <v>0</v>
      </c>
      <c r="AF187" s="101"/>
      <c r="AG187" s="102">
        <f t="shared" si="37"/>
        <v>0</v>
      </c>
    </row>
    <row r="188" spans="1:33" x14ac:dyDescent="0.3">
      <c r="A188" s="106" t="s">
        <v>169</v>
      </c>
      <c r="B188" s="107">
        <f>B194+B200</f>
        <v>0</v>
      </c>
      <c r="C188" s="107">
        <f>C194+C200</f>
        <v>0</v>
      </c>
      <c r="D188" s="107">
        <f>D194+D200</f>
        <v>0</v>
      </c>
      <c r="E188" s="107">
        <f>E194+E200</f>
        <v>0</v>
      </c>
      <c r="F188" s="107"/>
      <c r="G188" s="107"/>
      <c r="H188" s="107">
        <f t="shared" ref="H188:AE191" si="56">H194+H200</f>
        <v>0</v>
      </c>
      <c r="I188" s="107">
        <f t="shared" si="56"/>
        <v>0</v>
      </c>
      <c r="J188" s="107">
        <f t="shared" si="56"/>
        <v>0</v>
      </c>
      <c r="K188" s="107">
        <f t="shared" si="56"/>
        <v>0</v>
      </c>
      <c r="L188" s="107">
        <f t="shared" si="56"/>
        <v>0</v>
      </c>
      <c r="M188" s="107">
        <f t="shared" si="56"/>
        <v>0</v>
      </c>
      <c r="N188" s="107">
        <f t="shared" si="56"/>
        <v>0</v>
      </c>
      <c r="O188" s="107">
        <f t="shared" si="56"/>
        <v>0</v>
      </c>
      <c r="P188" s="107">
        <f t="shared" si="56"/>
        <v>0</v>
      </c>
      <c r="Q188" s="107">
        <f t="shared" si="56"/>
        <v>0</v>
      </c>
      <c r="R188" s="107">
        <f t="shared" si="56"/>
        <v>0</v>
      </c>
      <c r="S188" s="107">
        <f t="shared" si="56"/>
        <v>0</v>
      </c>
      <c r="T188" s="107">
        <f t="shared" si="56"/>
        <v>0</v>
      </c>
      <c r="U188" s="107">
        <f t="shared" si="56"/>
        <v>0</v>
      </c>
      <c r="V188" s="107">
        <f t="shared" si="56"/>
        <v>0</v>
      </c>
      <c r="W188" s="107">
        <f t="shared" si="56"/>
        <v>0</v>
      </c>
      <c r="X188" s="107">
        <f t="shared" si="56"/>
        <v>0</v>
      </c>
      <c r="Y188" s="107">
        <f t="shared" si="56"/>
        <v>0</v>
      </c>
      <c r="Z188" s="107">
        <f t="shared" si="56"/>
        <v>0</v>
      </c>
      <c r="AA188" s="107">
        <f t="shared" si="56"/>
        <v>0</v>
      </c>
      <c r="AB188" s="107">
        <f t="shared" si="56"/>
        <v>0</v>
      </c>
      <c r="AC188" s="107">
        <f t="shared" si="56"/>
        <v>0</v>
      </c>
      <c r="AD188" s="107">
        <f t="shared" si="56"/>
        <v>0</v>
      </c>
      <c r="AE188" s="107">
        <f t="shared" si="56"/>
        <v>0</v>
      </c>
      <c r="AF188" s="101"/>
      <c r="AG188" s="102">
        <f t="shared" si="37"/>
        <v>0</v>
      </c>
    </row>
    <row r="189" spans="1:33" x14ac:dyDescent="0.3">
      <c r="A189" s="106" t="s">
        <v>32</v>
      </c>
      <c r="B189" s="107">
        <f t="shared" ref="B189:E191" si="57">B195+B201</f>
        <v>0</v>
      </c>
      <c r="C189" s="107">
        <f t="shared" si="57"/>
        <v>0</v>
      </c>
      <c r="D189" s="107">
        <f t="shared" si="57"/>
        <v>0</v>
      </c>
      <c r="E189" s="107">
        <f t="shared" si="57"/>
        <v>0</v>
      </c>
      <c r="F189" s="107"/>
      <c r="G189" s="107"/>
      <c r="H189" s="107">
        <f t="shared" si="56"/>
        <v>0</v>
      </c>
      <c r="I189" s="107">
        <f t="shared" si="56"/>
        <v>0</v>
      </c>
      <c r="J189" s="107">
        <f t="shared" si="56"/>
        <v>0</v>
      </c>
      <c r="K189" s="107">
        <f t="shared" si="56"/>
        <v>0</v>
      </c>
      <c r="L189" s="107">
        <f t="shared" si="56"/>
        <v>0</v>
      </c>
      <c r="M189" s="107">
        <f t="shared" si="56"/>
        <v>0</v>
      </c>
      <c r="N189" s="107">
        <f t="shared" si="56"/>
        <v>0</v>
      </c>
      <c r="O189" s="107">
        <f t="shared" si="56"/>
        <v>0</v>
      </c>
      <c r="P189" s="107">
        <f t="shared" si="56"/>
        <v>0</v>
      </c>
      <c r="Q189" s="107">
        <f t="shared" si="56"/>
        <v>0</v>
      </c>
      <c r="R189" s="107">
        <f t="shared" si="56"/>
        <v>0</v>
      </c>
      <c r="S189" s="107">
        <f t="shared" si="56"/>
        <v>0</v>
      </c>
      <c r="T189" s="107">
        <f t="shared" si="56"/>
        <v>0</v>
      </c>
      <c r="U189" s="107">
        <f t="shared" si="56"/>
        <v>0</v>
      </c>
      <c r="V189" s="107">
        <f t="shared" si="56"/>
        <v>0</v>
      </c>
      <c r="W189" s="107">
        <f t="shared" si="56"/>
        <v>0</v>
      </c>
      <c r="X189" s="107">
        <f t="shared" si="56"/>
        <v>0</v>
      </c>
      <c r="Y189" s="107">
        <f t="shared" si="56"/>
        <v>0</v>
      </c>
      <c r="Z189" s="107">
        <f t="shared" si="56"/>
        <v>0</v>
      </c>
      <c r="AA189" s="107">
        <f t="shared" si="56"/>
        <v>0</v>
      </c>
      <c r="AB189" s="107">
        <f t="shared" si="56"/>
        <v>0</v>
      </c>
      <c r="AC189" s="107">
        <f t="shared" si="56"/>
        <v>0</v>
      </c>
      <c r="AD189" s="107">
        <f t="shared" si="56"/>
        <v>0</v>
      </c>
      <c r="AE189" s="107">
        <f t="shared" si="56"/>
        <v>0</v>
      </c>
      <c r="AF189" s="101"/>
      <c r="AG189" s="102">
        <f t="shared" si="37"/>
        <v>0</v>
      </c>
    </row>
    <row r="190" spans="1:33" x14ac:dyDescent="0.3">
      <c r="A190" s="106" t="s">
        <v>33</v>
      </c>
      <c r="B190" s="107">
        <f t="shared" si="57"/>
        <v>1903.7</v>
      </c>
      <c r="C190" s="107">
        <f>C196+C202</f>
        <v>1290.7</v>
      </c>
      <c r="D190" s="107">
        <f t="shared" si="57"/>
        <v>1290.6999999999998</v>
      </c>
      <c r="E190" s="107">
        <f t="shared" si="57"/>
        <v>1290.6999999999998</v>
      </c>
      <c r="F190" s="107">
        <f>IFERROR(E190/B190*100,0)</f>
        <v>67.799548248148341</v>
      </c>
      <c r="G190" s="107">
        <f>IFERROR(E190/C190*100,0)</f>
        <v>99.999999999999972</v>
      </c>
      <c r="H190" s="107">
        <f t="shared" si="56"/>
        <v>100</v>
      </c>
      <c r="I190" s="107">
        <f t="shared" si="56"/>
        <v>100</v>
      </c>
      <c r="J190" s="107">
        <f t="shared" si="56"/>
        <v>383.5</v>
      </c>
      <c r="K190" s="107">
        <f t="shared" si="56"/>
        <v>0</v>
      </c>
      <c r="L190" s="107">
        <f t="shared" si="56"/>
        <v>487.2</v>
      </c>
      <c r="M190" s="107">
        <f t="shared" si="56"/>
        <v>0</v>
      </c>
      <c r="N190" s="107">
        <f t="shared" si="56"/>
        <v>108.2</v>
      </c>
      <c r="O190" s="107">
        <f t="shared" si="56"/>
        <v>978.9</v>
      </c>
      <c r="P190" s="107">
        <f t="shared" si="56"/>
        <v>100.2</v>
      </c>
      <c r="Q190" s="107">
        <f t="shared" si="56"/>
        <v>100.2</v>
      </c>
      <c r="R190" s="107">
        <f t="shared" si="56"/>
        <v>111.6</v>
      </c>
      <c r="S190" s="107">
        <f t="shared" si="56"/>
        <v>111.6</v>
      </c>
      <c r="T190" s="107">
        <f t="shared" si="56"/>
        <v>0</v>
      </c>
      <c r="U190" s="107">
        <f t="shared" si="56"/>
        <v>0</v>
      </c>
      <c r="V190" s="107">
        <f t="shared" si="56"/>
        <v>13.6</v>
      </c>
      <c r="W190" s="107">
        <f t="shared" si="56"/>
        <v>0</v>
      </c>
      <c r="X190" s="107">
        <f t="shared" si="56"/>
        <v>19.399999999999999</v>
      </c>
      <c r="Y190" s="107">
        <f t="shared" si="56"/>
        <v>0</v>
      </c>
      <c r="Z190" s="107">
        <f t="shared" si="56"/>
        <v>0</v>
      </c>
      <c r="AA190" s="107">
        <f t="shared" si="56"/>
        <v>0</v>
      </c>
      <c r="AB190" s="107">
        <f t="shared" si="56"/>
        <v>0</v>
      </c>
      <c r="AC190" s="107">
        <f t="shared" si="56"/>
        <v>0</v>
      </c>
      <c r="AD190" s="107">
        <f t="shared" si="56"/>
        <v>580</v>
      </c>
      <c r="AE190" s="107">
        <f t="shared" si="56"/>
        <v>0</v>
      </c>
      <c r="AF190" s="101"/>
      <c r="AG190" s="102">
        <f t="shared" si="37"/>
        <v>0</v>
      </c>
    </row>
    <row r="191" spans="1:33" x14ac:dyDescent="0.3">
      <c r="A191" s="106" t="s">
        <v>170</v>
      </c>
      <c r="B191" s="107">
        <f t="shared" si="57"/>
        <v>0</v>
      </c>
      <c r="C191" s="107">
        <f t="shared" si="57"/>
        <v>0</v>
      </c>
      <c r="D191" s="107">
        <f t="shared" si="57"/>
        <v>0</v>
      </c>
      <c r="E191" s="107">
        <f t="shared" si="57"/>
        <v>0</v>
      </c>
      <c r="F191" s="107"/>
      <c r="G191" s="107"/>
      <c r="H191" s="107">
        <f t="shared" si="56"/>
        <v>0</v>
      </c>
      <c r="I191" s="107">
        <f t="shared" si="56"/>
        <v>0</v>
      </c>
      <c r="J191" s="107">
        <f t="shared" si="56"/>
        <v>0</v>
      </c>
      <c r="K191" s="107">
        <f t="shared" si="56"/>
        <v>0</v>
      </c>
      <c r="L191" s="107">
        <f t="shared" si="56"/>
        <v>0</v>
      </c>
      <c r="M191" s="107">
        <f t="shared" si="56"/>
        <v>0</v>
      </c>
      <c r="N191" s="107">
        <f t="shared" si="56"/>
        <v>0</v>
      </c>
      <c r="O191" s="107">
        <f t="shared" si="56"/>
        <v>0</v>
      </c>
      <c r="P191" s="107">
        <f t="shared" si="56"/>
        <v>0</v>
      </c>
      <c r="Q191" s="107">
        <f t="shared" si="56"/>
        <v>0</v>
      </c>
      <c r="R191" s="107">
        <f t="shared" si="56"/>
        <v>0</v>
      </c>
      <c r="S191" s="107">
        <f t="shared" si="56"/>
        <v>0</v>
      </c>
      <c r="T191" s="107">
        <f t="shared" si="56"/>
        <v>0</v>
      </c>
      <c r="U191" s="107">
        <f t="shared" si="56"/>
        <v>0</v>
      </c>
      <c r="V191" s="107">
        <f t="shared" si="56"/>
        <v>0</v>
      </c>
      <c r="W191" s="107">
        <f t="shared" si="56"/>
        <v>0</v>
      </c>
      <c r="X191" s="107">
        <f t="shared" si="56"/>
        <v>0</v>
      </c>
      <c r="Y191" s="107">
        <f t="shared" si="56"/>
        <v>0</v>
      </c>
      <c r="Z191" s="107">
        <f t="shared" si="56"/>
        <v>0</v>
      </c>
      <c r="AA191" s="107">
        <f t="shared" si="56"/>
        <v>0</v>
      </c>
      <c r="AB191" s="107">
        <f t="shared" si="56"/>
        <v>0</v>
      </c>
      <c r="AC191" s="107">
        <f t="shared" si="56"/>
        <v>0</v>
      </c>
      <c r="AD191" s="107">
        <f t="shared" si="56"/>
        <v>0</v>
      </c>
      <c r="AE191" s="107">
        <f t="shared" si="56"/>
        <v>0</v>
      </c>
      <c r="AF191" s="101"/>
      <c r="AG191" s="102">
        <f t="shared" si="37"/>
        <v>0</v>
      </c>
    </row>
    <row r="192" spans="1:33" ht="80.25" customHeight="1" x14ac:dyDescent="0.3">
      <c r="A192" s="778" t="s">
        <v>530</v>
      </c>
      <c r="B192" s="622"/>
      <c r="C192" s="110"/>
      <c r="D192" s="110"/>
      <c r="E192" s="110"/>
      <c r="F192" s="110"/>
      <c r="G192" s="110"/>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f t="shared" si="37"/>
        <v>0</v>
      </c>
    </row>
    <row r="193" spans="1:33" x14ac:dyDescent="0.3">
      <c r="A193" s="618" t="s">
        <v>31</v>
      </c>
      <c r="B193" s="619">
        <f>B195+B196+B194+B197</f>
        <v>1803.7</v>
      </c>
      <c r="C193" s="113">
        <f>C195+C196+C194+C197</f>
        <v>1190.7</v>
      </c>
      <c r="D193" s="114">
        <f>D195+D196+D194+D197</f>
        <v>1190.6999999999998</v>
      </c>
      <c r="E193" s="113">
        <f>E195+E196+E194+E197</f>
        <v>1190.6999999999998</v>
      </c>
      <c r="F193" s="113">
        <f>IFERROR(E193/B193*100,0)</f>
        <v>66.014303930808879</v>
      </c>
      <c r="G193" s="113">
        <f>IFERROR(E193/C193*100,0)</f>
        <v>99.999999999999972</v>
      </c>
      <c r="H193" s="113">
        <f t="shared" ref="H193:AE193" si="58">H195+H196+H194+H197</f>
        <v>0</v>
      </c>
      <c r="I193" s="113">
        <f t="shared" si="58"/>
        <v>0</v>
      </c>
      <c r="J193" s="113">
        <f t="shared" si="58"/>
        <v>383.5</v>
      </c>
      <c r="K193" s="113">
        <f t="shared" si="58"/>
        <v>0</v>
      </c>
      <c r="L193" s="113">
        <f t="shared" si="58"/>
        <v>487.2</v>
      </c>
      <c r="M193" s="113">
        <f t="shared" si="58"/>
        <v>0</v>
      </c>
      <c r="N193" s="113">
        <f t="shared" si="58"/>
        <v>108.2</v>
      </c>
      <c r="O193" s="113">
        <f t="shared" si="58"/>
        <v>978.9</v>
      </c>
      <c r="P193" s="113">
        <f t="shared" si="58"/>
        <v>100.2</v>
      </c>
      <c r="Q193" s="113">
        <f t="shared" si="58"/>
        <v>100.2</v>
      </c>
      <c r="R193" s="113">
        <f t="shared" si="58"/>
        <v>111.6</v>
      </c>
      <c r="S193" s="113">
        <f t="shared" si="58"/>
        <v>111.6</v>
      </c>
      <c r="T193" s="113">
        <f t="shared" si="58"/>
        <v>0</v>
      </c>
      <c r="U193" s="113">
        <f t="shared" si="58"/>
        <v>0</v>
      </c>
      <c r="V193" s="113">
        <f t="shared" si="58"/>
        <v>13.6</v>
      </c>
      <c r="W193" s="113">
        <f t="shared" si="58"/>
        <v>0</v>
      </c>
      <c r="X193" s="113">
        <f t="shared" si="58"/>
        <v>19.399999999999999</v>
      </c>
      <c r="Y193" s="113">
        <f t="shared" si="58"/>
        <v>0</v>
      </c>
      <c r="Z193" s="113">
        <f t="shared" si="58"/>
        <v>0</v>
      </c>
      <c r="AA193" s="113">
        <f t="shared" si="58"/>
        <v>0</v>
      </c>
      <c r="AB193" s="113">
        <f t="shared" si="58"/>
        <v>0</v>
      </c>
      <c r="AC193" s="113">
        <f t="shared" si="58"/>
        <v>0</v>
      </c>
      <c r="AD193" s="113">
        <f t="shared" si="58"/>
        <v>580</v>
      </c>
      <c r="AE193" s="113">
        <f t="shared" si="58"/>
        <v>0</v>
      </c>
      <c r="AF193" s="29"/>
      <c r="AG193" s="102">
        <f t="shared" si="37"/>
        <v>0</v>
      </c>
    </row>
    <row r="194" spans="1:33" x14ac:dyDescent="0.3">
      <c r="A194" s="621" t="s">
        <v>169</v>
      </c>
      <c r="B194" s="622">
        <f>J194+L194+N194+P194+R194+T194+V194+X194+Z194+AB194+AD194+H194</f>
        <v>0</v>
      </c>
      <c r="C194" s="117">
        <f>SUM(H194)</f>
        <v>0</v>
      </c>
      <c r="D194" s="118">
        <f>E194</f>
        <v>0</v>
      </c>
      <c r="E194" s="117">
        <f>SUM(I194,K194,M194,O194,Q194,S194,U194,W194,Y194,AA194,AC194,AE194)</f>
        <v>0</v>
      </c>
      <c r="F194" s="116">
        <f>IFERROR(E194/B194*100,0)</f>
        <v>0</v>
      </c>
      <c r="G194" s="116">
        <f>IFERROR(E194/C194*100,0)</f>
        <v>0</v>
      </c>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29"/>
      <c r="AG194" s="102">
        <f t="shared" si="37"/>
        <v>0</v>
      </c>
    </row>
    <row r="195" spans="1:33" x14ac:dyDescent="0.3">
      <c r="A195" s="621" t="s">
        <v>32</v>
      </c>
      <c r="B195" s="622">
        <f>J195+L195+N195+P195+R195+T195+V195+X195+Z195+AB195+AD195+H195</f>
        <v>0</v>
      </c>
      <c r="C195" s="117">
        <f>SUM(H195)</f>
        <v>0</v>
      </c>
      <c r="D195" s="118">
        <f>E195</f>
        <v>0</v>
      </c>
      <c r="E195" s="117">
        <f>SUM(I195,K195,M195,O195,Q195,S195,U195,W195,Y195,AA195,AC195,AE195)</f>
        <v>0</v>
      </c>
      <c r="F195" s="116">
        <f>IFERROR(E195/B195*100,0)</f>
        <v>0</v>
      </c>
      <c r="G195" s="116">
        <f>IFERROR(E195/C195*100,0)</f>
        <v>0</v>
      </c>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f t="shared" si="37"/>
        <v>0</v>
      </c>
    </row>
    <row r="196" spans="1:33" x14ac:dyDescent="0.3">
      <c r="A196" s="621" t="s">
        <v>33</v>
      </c>
      <c r="B196" s="622">
        <f>J196+L196+N196+P196+R196+T196+V196+X196+Z196+AB196+AD196+H196</f>
        <v>1803.7</v>
      </c>
      <c r="C196" s="117">
        <f>H196+J196+L196+N196+P196+R196</f>
        <v>1190.7</v>
      </c>
      <c r="D196" s="118">
        <f>E196</f>
        <v>1190.6999999999998</v>
      </c>
      <c r="E196" s="117">
        <f>SUM(I196,K196,M196,O196,Q196,S196,U196,W196,Y196,AA196,AC196,AE196)</f>
        <v>1190.6999999999998</v>
      </c>
      <c r="F196" s="116">
        <f>IFERROR(E196/B196*100,0)</f>
        <v>66.014303930808879</v>
      </c>
      <c r="G196" s="116">
        <f>IFERROR(E196/C196*100,0)</f>
        <v>99.999999999999972</v>
      </c>
      <c r="H196" s="111"/>
      <c r="I196" s="111"/>
      <c r="J196" s="111">
        <v>383.5</v>
      </c>
      <c r="K196" s="111"/>
      <c r="L196" s="111">
        <v>487.2</v>
      </c>
      <c r="M196" s="111"/>
      <c r="N196" s="111">
        <v>108.2</v>
      </c>
      <c r="O196" s="111">
        <v>978.9</v>
      </c>
      <c r="P196" s="111">
        <v>100.2</v>
      </c>
      <c r="Q196" s="111">
        <v>100.2</v>
      </c>
      <c r="R196" s="111">
        <v>111.6</v>
      </c>
      <c r="S196" s="111">
        <v>111.6</v>
      </c>
      <c r="T196" s="111"/>
      <c r="U196" s="111"/>
      <c r="V196" s="111">
        <v>13.6</v>
      </c>
      <c r="W196" s="111"/>
      <c r="X196" s="111">
        <v>19.399999999999999</v>
      </c>
      <c r="Y196" s="111"/>
      <c r="Z196" s="111"/>
      <c r="AA196" s="111"/>
      <c r="AB196" s="111"/>
      <c r="AC196" s="111"/>
      <c r="AD196" s="111">
        <v>580</v>
      </c>
      <c r="AE196" s="111"/>
      <c r="AF196" s="29"/>
      <c r="AG196" s="102">
        <f t="shared" si="37"/>
        <v>0</v>
      </c>
    </row>
    <row r="197" spans="1:33" x14ac:dyDescent="0.3">
      <c r="A197" s="621" t="s">
        <v>170</v>
      </c>
      <c r="B197" s="622"/>
      <c r="C197" s="117"/>
      <c r="D197" s="118"/>
      <c r="E197" s="117"/>
      <c r="F197" s="116"/>
      <c r="G197" s="116"/>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29"/>
      <c r="AG197" s="102">
        <f t="shared" si="37"/>
        <v>0</v>
      </c>
    </row>
    <row r="198" spans="1:33" ht="80.25" customHeight="1" x14ac:dyDescent="0.3">
      <c r="A198" s="778" t="s">
        <v>529</v>
      </c>
      <c r="B198" s="622"/>
      <c r="C198" s="110"/>
      <c r="D198" s="110"/>
      <c r="E198" s="110"/>
      <c r="F198" s="110"/>
      <c r="G198" s="110"/>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29"/>
      <c r="AG198" s="102">
        <f t="shared" si="37"/>
        <v>0</v>
      </c>
    </row>
    <row r="199" spans="1:33" x14ac:dyDescent="0.3">
      <c r="A199" s="618" t="s">
        <v>31</v>
      </c>
      <c r="B199" s="619">
        <f>B201+B202+B200+B203</f>
        <v>100</v>
      </c>
      <c r="C199" s="113">
        <f>C201+C202+C200+C203</f>
        <v>100</v>
      </c>
      <c r="D199" s="114">
        <f>D201+D202+D200+D203</f>
        <v>100</v>
      </c>
      <c r="E199" s="113">
        <f>E201+E202+E200+E203</f>
        <v>100</v>
      </c>
      <c r="F199" s="113">
        <f>IFERROR(E199/B199*100,0)</f>
        <v>100</v>
      </c>
      <c r="G199" s="113">
        <f>IFERROR(E199/C199*100,0)</f>
        <v>100</v>
      </c>
      <c r="H199" s="113">
        <f t="shared" ref="H199:AE199" si="59">H201+H202+H200+H203</f>
        <v>100</v>
      </c>
      <c r="I199" s="113">
        <f t="shared" si="59"/>
        <v>100</v>
      </c>
      <c r="J199" s="113">
        <f t="shared" si="59"/>
        <v>0</v>
      </c>
      <c r="K199" s="113">
        <f t="shared" si="59"/>
        <v>0</v>
      </c>
      <c r="L199" s="113">
        <f t="shared" si="59"/>
        <v>0</v>
      </c>
      <c r="M199" s="113">
        <f t="shared" si="59"/>
        <v>0</v>
      </c>
      <c r="N199" s="113">
        <f t="shared" si="59"/>
        <v>0</v>
      </c>
      <c r="O199" s="113">
        <f t="shared" si="59"/>
        <v>0</v>
      </c>
      <c r="P199" s="113">
        <f t="shared" si="59"/>
        <v>0</v>
      </c>
      <c r="Q199" s="113">
        <f t="shared" si="59"/>
        <v>0</v>
      </c>
      <c r="R199" s="113">
        <f t="shared" si="59"/>
        <v>0</v>
      </c>
      <c r="S199" s="113">
        <f t="shared" si="59"/>
        <v>0</v>
      </c>
      <c r="T199" s="113">
        <f t="shared" si="59"/>
        <v>0</v>
      </c>
      <c r="U199" s="113">
        <f t="shared" si="59"/>
        <v>0</v>
      </c>
      <c r="V199" s="113">
        <f t="shared" si="59"/>
        <v>0</v>
      </c>
      <c r="W199" s="113">
        <f t="shared" si="59"/>
        <v>0</v>
      </c>
      <c r="X199" s="113">
        <f t="shared" si="59"/>
        <v>0</v>
      </c>
      <c r="Y199" s="113">
        <f t="shared" si="59"/>
        <v>0</v>
      </c>
      <c r="Z199" s="113">
        <f t="shared" si="59"/>
        <v>0</v>
      </c>
      <c r="AA199" s="113">
        <f t="shared" si="59"/>
        <v>0</v>
      </c>
      <c r="AB199" s="113">
        <f t="shared" si="59"/>
        <v>0</v>
      </c>
      <c r="AC199" s="113">
        <f t="shared" si="59"/>
        <v>0</v>
      </c>
      <c r="AD199" s="113">
        <f t="shared" si="59"/>
        <v>0</v>
      </c>
      <c r="AE199" s="113">
        <f t="shared" si="59"/>
        <v>0</v>
      </c>
      <c r="AF199" s="29"/>
      <c r="AG199" s="102">
        <f t="shared" si="37"/>
        <v>0</v>
      </c>
    </row>
    <row r="200" spans="1:33" x14ac:dyDescent="0.3">
      <c r="A200" s="621" t="s">
        <v>169</v>
      </c>
      <c r="B200" s="622">
        <f>J200+L200+N200+P200+R200+T200+V200+X200+Z200+AB200+AD200+H200</f>
        <v>0</v>
      </c>
      <c r="C200" s="117">
        <f>SUM(H200)</f>
        <v>0</v>
      </c>
      <c r="D200" s="118">
        <f>E200</f>
        <v>0</v>
      </c>
      <c r="E200" s="117">
        <f>SUM(I200,K200,M200,O200,Q200,S200,U200,W200,Y200,AA200,AC200,AE200)</f>
        <v>0</v>
      </c>
      <c r="F200" s="116">
        <f>IFERROR(E200/B200*100,0)</f>
        <v>0</v>
      </c>
      <c r="G200" s="116">
        <f>IFERROR(E200/C200*100,0)</f>
        <v>0</v>
      </c>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29"/>
      <c r="AG200" s="102">
        <f t="shared" si="37"/>
        <v>0</v>
      </c>
    </row>
    <row r="201" spans="1:33" x14ac:dyDescent="0.3">
      <c r="A201" s="621" t="s">
        <v>32</v>
      </c>
      <c r="B201" s="622">
        <f>J201+L201+N201+P201+R201+T201+V201+X201+Z201+AB201+AD201+H201</f>
        <v>0</v>
      </c>
      <c r="C201" s="117">
        <f>SUM(H201)</f>
        <v>0</v>
      </c>
      <c r="D201" s="118">
        <f>E201</f>
        <v>0</v>
      </c>
      <c r="E201" s="117">
        <f>SUM(I201,K201,M201,O201,Q201,S201,U201,W201,Y201,AA201,AC201,AE201)</f>
        <v>0</v>
      </c>
      <c r="F201" s="116">
        <f>IFERROR(E201/B201*100,0)</f>
        <v>0</v>
      </c>
      <c r="G201" s="116">
        <f>IFERROR(E201/C201*100,0)</f>
        <v>0</v>
      </c>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29"/>
      <c r="AG201" s="102">
        <f t="shared" si="37"/>
        <v>0</v>
      </c>
    </row>
    <row r="202" spans="1:33" x14ac:dyDescent="0.3">
      <c r="A202" s="621" t="s">
        <v>33</v>
      </c>
      <c r="B202" s="622">
        <f>J202+L202+N202+P202+R202+T202+V202+X202+Z202+AB202+AD202+H202</f>
        <v>100</v>
      </c>
      <c r="C202" s="117">
        <f>SUM(H202)</f>
        <v>100</v>
      </c>
      <c r="D202" s="118">
        <f>E202</f>
        <v>100</v>
      </c>
      <c r="E202" s="117">
        <f>SUM(I202,K202,M202,O202,Q202,S202,U202,W202,Y202,AA202,AC202,AE202)</f>
        <v>100</v>
      </c>
      <c r="F202" s="116">
        <f>IFERROR(E202/B202*100,0)</f>
        <v>100</v>
      </c>
      <c r="G202" s="116">
        <f>IFERROR(E202/C202*100,0)</f>
        <v>100</v>
      </c>
      <c r="H202" s="111">
        <v>100</v>
      </c>
      <c r="I202" s="111">
        <v>100</v>
      </c>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29"/>
      <c r="AG202" s="102">
        <f t="shared" si="37"/>
        <v>0</v>
      </c>
    </row>
    <row r="203" spans="1:33" x14ac:dyDescent="0.3">
      <c r="A203" s="115" t="s">
        <v>170</v>
      </c>
      <c r="B203" s="116"/>
      <c r="C203" s="117"/>
      <c r="D203" s="118"/>
      <c r="E203" s="117"/>
      <c r="F203" s="116"/>
      <c r="G203" s="116"/>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29"/>
      <c r="AG203" s="102">
        <f t="shared" si="37"/>
        <v>0</v>
      </c>
    </row>
    <row r="204" spans="1:33" ht="75" x14ac:dyDescent="0.3">
      <c r="A204" s="138" t="s">
        <v>295</v>
      </c>
      <c r="B204" s="139"/>
      <c r="C204" s="140"/>
      <c r="D204" s="140"/>
      <c r="E204" s="140"/>
      <c r="F204" s="140"/>
      <c r="G204" s="140"/>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01"/>
      <c r="AG204" s="102">
        <f t="shared" si="37"/>
        <v>0</v>
      </c>
    </row>
    <row r="205" spans="1:33" x14ac:dyDescent="0.3">
      <c r="A205" s="103" t="s">
        <v>31</v>
      </c>
      <c r="B205" s="104">
        <f>B206+B207+B208+B209</f>
        <v>5797.5</v>
      </c>
      <c r="C205" s="104">
        <f>C206+C207+C208+C209</f>
        <v>5604.2</v>
      </c>
      <c r="D205" s="104">
        <f>D206+D207+D208+D209</f>
        <v>5604.2</v>
      </c>
      <c r="E205" s="104">
        <f>E206+E207+E208+E209</f>
        <v>5604.2</v>
      </c>
      <c r="F205" s="107">
        <f>IFERROR(E205/B205*100,0)</f>
        <v>96.665804225959462</v>
      </c>
      <c r="G205" s="107">
        <f>IFERROR(E205/C205*100,0)</f>
        <v>100</v>
      </c>
      <c r="H205" s="104">
        <f>H206+H207+H208+H209</f>
        <v>2992.1</v>
      </c>
      <c r="I205" s="104">
        <f t="shared" ref="I205:AE205" si="60">I206+I207+I208+I209</f>
        <v>2992.1</v>
      </c>
      <c r="J205" s="104">
        <f t="shared" si="60"/>
        <v>743.9</v>
      </c>
      <c r="K205" s="104">
        <f t="shared" si="60"/>
        <v>0</v>
      </c>
      <c r="L205" s="104">
        <f t="shared" si="60"/>
        <v>212.7</v>
      </c>
      <c r="M205" s="104">
        <f t="shared" si="60"/>
        <v>0</v>
      </c>
      <c r="N205" s="104">
        <f t="shared" si="60"/>
        <v>397.8</v>
      </c>
      <c r="O205" s="104">
        <f t="shared" si="60"/>
        <v>1354.3999999999999</v>
      </c>
      <c r="P205" s="104">
        <f t="shared" si="60"/>
        <v>600</v>
      </c>
      <c r="Q205" s="104">
        <f t="shared" si="60"/>
        <v>600</v>
      </c>
      <c r="R205" s="104">
        <f t="shared" si="60"/>
        <v>657.7</v>
      </c>
      <c r="S205" s="104">
        <f t="shared" si="60"/>
        <v>657.7</v>
      </c>
      <c r="T205" s="104">
        <f t="shared" si="60"/>
        <v>0</v>
      </c>
      <c r="U205" s="104">
        <f t="shared" si="60"/>
        <v>0</v>
      </c>
      <c r="V205" s="104">
        <f t="shared" si="60"/>
        <v>18</v>
      </c>
      <c r="W205" s="104">
        <f t="shared" si="60"/>
        <v>0</v>
      </c>
      <c r="X205" s="104">
        <f t="shared" si="60"/>
        <v>0</v>
      </c>
      <c r="Y205" s="104">
        <f t="shared" si="60"/>
        <v>0</v>
      </c>
      <c r="Z205" s="104">
        <f t="shared" si="60"/>
        <v>25.3</v>
      </c>
      <c r="AA205" s="104">
        <f t="shared" si="60"/>
        <v>0</v>
      </c>
      <c r="AB205" s="104">
        <f t="shared" si="60"/>
        <v>0</v>
      </c>
      <c r="AC205" s="104">
        <f t="shared" si="60"/>
        <v>0</v>
      </c>
      <c r="AD205" s="104">
        <f t="shared" si="60"/>
        <v>150</v>
      </c>
      <c r="AE205" s="104">
        <f t="shared" si="60"/>
        <v>0</v>
      </c>
      <c r="AF205" s="101"/>
      <c r="AG205" s="102">
        <f t="shared" si="37"/>
        <v>0</v>
      </c>
    </row>
    <row r="206" spans="1:33" x14ac:dyDescent="0.3">
      <c r="A206" s="106" t="s">
        <v>169</v>
      </c>
      <c r="B206" s="107">
        <f>B212+B218+B224+B230</f>
        <v>0</v>
      </c>
      <c r="C206" s="107">
        <f>C212+C218+C224+C230</f>
        <v>0</v>
      </c>
      <c r="D206" s="107">
        <f>D212+D218+D224+D230</f>
        <v>0</v>
      </c>
      <c r="E206" s="107">
        <f>E212+E218+E224+E230</f>
        <v>0</v>
      </c>
      <c r="F206" s="107"/>
      <c r="G206" s="107"/>
      <c r="H206" s="107">
        <f t="shared" ref="H206:AE209" si="61">H212+H218+H224+H230</f>
        <v>0</v>
      </c>
      <c r="I206" s="107">
        <f t="shared" si="61"/>
        <v>0</v>
      </c>
      <c r="J206" s="107">
        <f t="shared" si="61"/>
        <v>0</v>
      </c>
      <c r="K206" s="107">
        <f t="shared" si="61"/>
        <v>0</v>
      </c>
      <c r="L206" s="107">
        <f t="shared" si="61"/>
        <v>0</v>
      </c>
      <c r="M206" s="107">
        <f t="shared" si="61"/>
        <v>0</v>
      </c>
      <c r="N206" s="107">
        <f t="shared" si="61"/>
        <v>0</v>
      </c>
      <c r="O206" s="107">
        <f t="shared" si="61"/>
        <v>0</v>
      </c>
      <c r="P206" s="107">
        <f t="shared" si="61"/>
        <v>0</v>
      </c>
      <c r="Q206" s="107">
        <f t="shared" si="61"/>
        <v>0</v>
      </c>
      <c r="R206" s="107">
        <f t="shared" si="61"/>
        <v>0</v>
      </c>
      <c r="S206" s="107">
        <f t="shared" si="61"/>
        <v>0</v>
      </c>
      <c r="T206" s="107">
        <f t="shared" si="61"/>
        <v>0</v>
      </c>
      <c r="U206" s="107">
        <f t="shared" si="61"/>
        <v>0</v>
      </c>
      <c r="V206" s="107">
        <f t="shared" si="61"/>
        <v>0</v>
      </c>
      <c r="W206" s="107">
        <f t="shared" si="61"/>
        <v>0</v>
      </c>
      <c r="X206" s="107">
        <f t="shared" si="61"/>
        <v>0</v>
      </c>
      <c r="Y206" s="107">
        <f t="shared" si="61"/>
        <v>0</v>
      </c>
      <c r="Z206" s="107">
        <f t="shared" si="61"/>
        <v>0</v>
      </c>
      <c r="AA206" s="107">
        <f t="shared" si="61"/>
        <v>0</v>
      </c>
      <c r="AB206" s="107">
        <f t="shared" si="61"/>
        <v>0</v>
      </c>
      <c r="AC206" s="107">
        <f t="shared" si="61"/>
        <v>0</v>
      </c>
      <c r="AD206" s="107">
        <f t="shared" si="61"/>
        <v>0</v>
      </c>
      <c r="AE206" s="107">
        <f t="shared" si="61"/>
        <v>0</v>
      </c>
      <c r="AF206" s="101"/>
      <c r="AG206" s="102">
        <f t="shared" si="37"/>
        <v>0</v>
      </c>
    </row>
    <row r="207" spans="1:33" x14ac:dyDescent="0.3">
      <c r="A207" s="106" t="s">
        <v>32</v>
      </c>
      <c r="B207" s="107">
        <f t="shared" ref="B207:E209" si="62">B213+B219+B225+B231</f>
        <v>0</v>
      </c>
      <c r="C207" s="107">
        <f t="shared" si="62"/>
        <v>0</v>
      </c>
      <c r="D207" s="107">
        <f t="shared" si="62"/>
        <v>0</v>
      </c>
      <c r="E207" s="107">
        <f t="shared" si="62"/>
        <v>0</v>
      </c>
      <c r="F207" s="107"/>
      <c r="G207" s="107"/>
      <c r="H207" s="107">
        <f t="shared" si="61"/>
        <v>0</v>
      </c>
      <c r="I207" s="107">
        <f t="shared" si="61"/>
        <v>0</v>
      </c>
      <c r="J207" s="107">
        <f t="shared" si="61"/>
        <v>0</v>
      </c>
      <c r="K207" s="107">
        <f t="shared" si="61"/>
        <v>0</v>
      </c>
      <c r="L207" s="107">
        <f t="shared" si="61"/>
        <v>0</v>
      </c>
      <c r="M207" s="107">
        <f t="shared" si="61"/>
        <v>0</v>
      </c>
      <c r="N207" s="107">
        <f t="shared" si="61"/>
        <v>0</v>
      </c>
      <c r="O207" s="107">
        <f t="shared" si="61"/>
        <v>0</v>
      </c>
      <c r="P207" s="107">
        <f t="shared" si="61"/>
        <v>0</v>
      </c>
      <c r="Q207" s="107">
        <f t="shared" si="61"/>
        <v>0</v>
      </c>
      <c r="R207" s="107">
        <f t="shared" si="61"/>
        <v>0</v>
      </c>
      <c r="S207" s="107">
        <f t="shared" si="61"/>
        <v>0</v>
      </c>
      <c r="T207" s="107">
        <f t="shared" si="61"/>
        <v>0</v>
      </c>
      <c r="U207" s="107">
        <f t="shared" si="61"/>
        <v>0</v>
      </c>
      <c r="V207" s="107">
        <f t="shared" si="61"/>
        <v>0</v>
      </c>
      <c r="W207" s="107">
        <f t="shared" si="61"/>
        <v>0</v>
      </c>
      <c r="X207" s="107">
        <f t="shared" si="61"/>
        <v>0</v>
      </c>
      <c r="Y207" s="107">
        <f t="shared" si="61"/>
        <v>0</v>
      </c>
      <c r="Z207" s="107">
        <f t="shared" si="61"/>
        <v>0</v>
      </c>
      <c r="AA207" s="107">
        <f t="shared" si="61"/>
        <v>0</v>
      </c>
      <c r="AB207" s="107">
        <f t="shared" si="61"/>
        <v>0</v>
      </c>
      <c r="AC207" s="107">
        <f t="shared" si="61"/>
        <v>0</v>
      </c>
      <c r="AD207" s="107">
        <f t="shared" si="61"/>
        <v>0</v>
      </c>
      <c r="AE207" s="107">
        <f t="shared" si="61"/>
        <v>0</v>
      </c>
      <c r="AF207" s="101"/>
      <c r="AG207" s="102">
        <f t="shared" si="37"/>
        <v>0</v>
      </c>
    </row>
    <row r="208" spans="1:33" x14ac:dyDescent="0.3">
      <c r="A208" s="106" t="s">
        <v>33</v>
      </c>
      <c r="B208" s="107">
        <f>B214+B220+B226+B232</f>
        <v>5797.5</v>
      </c>
      <c r="C208" s="107">
        <f>C214+C220+C226+C232</f>
        <v>5604.2</v>
      </c>
      <c r="D208" s="107">
        <f t="shared" si="62"/>
        <v>5604.2</v>
      </c>
      <c r="E208" s="107">
        <f t="shared" si="62"/>
        <v>5604.2</v>
      </c>
      <c r="F208" s="107">
        <f>IFERROR(E208/B208*100,0)</f>
        <v>96.665804225959462</v>
      </c>
      <c r="G208" s="107">
        <f>IFERROR(E208/C208*100,0)</f>
        <v>100</v>
      </c>
      <c r="H208" s="107">
        <f t="shared" si="61"/>
        <v>2992.1</v>
      </c>
      <c r="I208" s="107">
        <f t="shared" si="61"/>
        <v>2992.1</v>
      </c>
      <c r="J208" s="107">
        <f t="shared" si="61"/>
        <v>743.9</v>
      </c>
      <c r="K208" s="107">
        <f t="shared" si="61"/>
        <v>0</v>
      </c>
      <c r="L208" s="107">
        <f t="shared" si="61"/>
        <v>212.7</v>
      </c>
      <c r="M208" s="107">
        <f t="shared" si="61"/>
        <v>0</v>
      </c>
      <c r="N208" s="107">
        <f t="shared" si="61"/>
        <v>397.8</v>
      </c>
      <c r="O208" s="107">
        <f t="shared" si="61"/>
        <v>1354.3999999999999</v>
      </c>
      <c r="P208" s="107">
        <f t="shared" si="61"/>
        <v>600</v>
      </c>
      <c r="Q208" s="107">
        <f t="shared" si="61"/>
        <v>600</v>
      </c>
      <c r="R208" s="107">
        <f t="shared" si="61"/>
        <v>657.7</v>
      </c>
      <c r="S208" s="107">
        <f t="shared" si="61"/>
        <v>657.7</v>
      </c>
      <c r="T208" s="107">
        <f t="shared" si="61"/>
        <v>0</v>
      </c>
      <c r="U208" s="107">
        <f t="shared" si="61"/>
        <v>0</v>
      </c>
      <c r="V208" s="107">
        <f t="shared" si="61"/>
        <v>18</v>
      </c>
      <c r="W208" s="107">
        <f t="shared" si="61"/>
        <v>0</v>
      </c>
      <c r="X208" s="107">
        <f t="shared" si="61"/>
        <v>0</v>
      </c>
      <c r="Y208" s="107">
        <f t="shared" si="61"/>
        <v>0</v>
      </c>
      <c r="Z208" s="107">
        <f t="shared" si="61"/>
        <v>25.3</v>
      </c>
      <c r="AA208" s="107">
        <f t="shared" si="61"/>
        <v>0</v>
      </c>
      <c r="AB208" s="107">
        <f t="shared" si="61"/>
        <v>0</v>
      </c>
      <c r="AC208" s="107">
        <f t="shared" si="61"/>
        <v>0</v>
      </c>
      <c r="AD208" s="107">
        <f t="shared" si="61"/>
        <v>150</v>
      </c>
      <c r="AE208" s="107">
        <f t="shared" si="61"/>
        <v>0</v>
      </c>
      <c r="AF208" s="101"/>
      <c r="AG208" s="102">
        <f t="shared" si="37"/>
        <v>0</v>
      </c>
    </row>
    <row r="209" spans="1:33" x14ac:dyDescent="0.3">
      <c r="A209" s="106" t="s">
        <v>170</v>
      </c>
      <c r="B209" s="107">
        <f t="shared" si="62"/>
        <v>0</v>
      </c>
      <c r="C209" s="107">
        <f t="shared" si="62"/>
        <v>0</v>
      </c>
      <c r="D209" s="107">
        <f t="shared" si="62"/>
        <v>0</v>
      </c>
      <c r="E209" s="107">
        <f t="shared" si="62"/>
        <v>0</v>
      </c>
      <c r="F209" s="107"/>
      <c r="G209" s="107"/>
      <c r="H209" s="107">
        <f t="shared" si="61"/>
        <v>0</v>
      </c>
      <c r="I209" s="107">
        <f t="shared" si="61"/>
        <v>0</v>
      </c>
      <c r="J209" s="107">
        <f t="shared" si="61"/>
        <v>0</v>
      </c>
      <c r="K209" s="107">
        <f t="shared" si="61"/>
        <v>0</v>
      </c>
      <c r="L209" s="107">
        <f t="shared" si="61"/>
        <v>0</v>
      </c>
      <c r="M209" s="107">
        <f t="shared" si="61"/>
        <v>0</v>
      </c>
      <c r="N209" s="107">
        <f t="shared" si="61"/>
        <v>0</v>
      </c>
      <c r="O209" s="107">
        <f t="shared" si="61"/>
        <v>0</v>
      </c>
      <c r="P209" s="107">
        <f t="shared" si="61"/>
        <v>0</v>
      </c>
      <c r="Q209" s="107">
        <f t="shared" si="61"/>
        <v>0</v>
      </c>
      <c r="R209" s="107">
        <f t="shared" si="61"/>
        <v>0</v>
      </c>
      <c r="S209" s="107">
        <f t="shared" si="61"/>
        <v>0</v>
      </c>
      <c r="T209" s="107">
        <f t="shared" si="61"/>
        <v>0</v>
      </c>
      <c r="U209" s="107">
        <f t="shared" si="61"/>
        <v>0</v>
      </c>
      <c r="V209" s="107">
        <f t="shared" si="61"/>
        <v>0</v>
      </c>
      <c r="W209" s="107">
        <f t="shared" si="61"/>
        <v>0</v>
      </c>
      <c r="X209" s="107">
        <f t="shared" si="61"/>
        <v>0</v>
      </c>
      <c r="Y209" s="107">
        <f t="shared" si="61"/>
        <v>0</v>
      </c>
      <c r="Z209" s="107">
        <f t="shared" si="61"/>
        <v>0</v>
      </c>
      <c r="AA209" s="107">
        <f t="shared" si="61"/>
        <v>0</v>
      </c>
      <c r="AB209" s="107">
        <f t="shared" si="61"/>
        <v>0</v>
      </c>
      <c r="AC209" s="107">
        <f t="shared" si="61"/>
        <v>0</v>
      </c>
      <c r="AD209" s="107">
        <f t="shared" si="61"/>
        <v>0</v>
      </c>
      <c r="AE209" s="107">
        <f t="shared" si="61"/>
        <v>0</v>
      </c>
      <c r="AF209" s="101"/>
      <c r="AG209" s="102">
        <f t="shared" si="37"/>
        <v>0</v>
      </c>
    </row>
    <row r="210" spans="1:33" ht="62.25" customHeight="1" x14ac:dyDescent="0.3">
      <c r="A210" s="778" t="s">
        <v>582</v>
      </c>
      <c r="B210" s="622"/>
      <c r="C210" s="110"/>
      <c r="D210" s="110"/>
      <c r="E210" s="110"/>
      <c r="F210" s="110"/>
      <c r="G210" s="110"/>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f t="shared" si="37"/>
        <v>0</v>
      </c>
    </row>
    <row r="211" spans="1:33" x14ac:dyDescent="0.3">
      <c r="A211" s="618" t="s">
        <v>31</v>
      </c>
      <c r="B211" s="619">
        <f>B213+B214+B212+B215</f>
        <v>2439.3000000000002</v>
      </c>
      <c r="C211" s="113">
        <f>C213+C214+C212+C215</f>
        <v>2396</v>
      </c>
      <c r="D211" s="114">
        <f>D213+D214+D212+D215</f>
        <v>2396</v>
      </c>
      <c r="E211" s="113">
        <f>E213+E214+E212+E215</f>
        <v>2396</v>
      </c>
      <c r="F211" s="113">
        <f>IFERROR(E211/B211*100,0)</f>
        <v>98.224900586233744</v>
      </c>
      <c r="G211" s="113">
        <f>IFERROR(E211/C211*100,0)</f>
        <v>100</v>
      </c>
      <c r="H211" s="113">
        <f t="shared" ref="H211:AE211" si="63">H213+H214+H212+H215</f>
        <v>0</v>
      </c>
      <c r="I211" s="113">
        <f t="shared" si="63"/>
        <v>0</v>
      </c>
      <c r="J211" s="113">
        <f t="shared" si="63"/>
        <v>740.5</v>
      </c>
      <c r="K211" s="113">
        <f t="shared" si="63"/>
        <v>0</v>
      </c>
      <c r="L211" s="113">
        <f t="shared" si="63"/>
        <v>0</v>
      </c>
      <c r="M211" s="113">
        <f t="shared" si="63"/>
        <v>0</v>
      </c>
      <c r="N211" s="113">
        <f t="shared" si="63"/>
        <v>397.8</v>
      </c>
      <c r="O211" s="113">
        <f t="shared" si="63"/>
        <v>1138.3</v>
      </c>
      <c r="P211" s="113">
        <f t="shared" si="63"/>
        <v>600</v>
      </c>
      <c r="Q211" s="113">
        <f t="shared" si="63"/>
        <v>600</v>
      </c>
      <c r="R211" s="113">
        <f t="shared" si="63"/>
        <v>657.7</v>
      </c>
      <c r="S211" s="113">
        <f t="shared" si="63"/>
        <v>657.7</v>
      </c>
      <c r="T211" s="113">
        <f t="shared" si="63"/>
        <v>0</v>
      </c>
      <c r="U211" s="113">
        <f t="shared" si="63"/>
        <v>0</v>
      </c>
      <c r="V211" s="113">
        <f t="shared" si="63"/>
        <v>18</v>
      </c>
      <c r="W211" s="113">
        <f t="shared" si="63"/>
        <v>0</v>
      </c>
      <c r="X211" s="113">
        <f t="shared" si="63"/>
        <v>0</v>
      </c>
      <c r="Y211" s="113">
        <f t="shared" si="63"/>
        <v>0</v>
      </c>
      <c r="Z211" s="113">
        <f t="shared" si="63"/>
        <v>25.3</v>
      </c>
      <c r="AA211" s="113">
        <f t="shared" si="63"/>
        <v>0</v>
      </c>
      <c r="AB211" s="113">
        <f t="shared" si="63"/>
        <v>0</v>
      </c>
      <c r="AC211" s="113">
        <f t="shared" si="63"/>
        <v>0</v>
      </c>
      <c r="AD211" s="113">
        <f t="shared" si="63"/>
        <v>0</v>
      </c>
      <c r="AE211" s="113">
        <f t="shared" si="63"/>
        <v>0</v>
      </c>
      <c r="AF211" s="29"/>
      <c r="AG211" s="102">
        <f t="shared" si="37"/>
        <v>1.8118839761882555E-13</v>
      </c>
    </row>
    <row r="212" spans="1:33" x14ac:dyDescent="0.3">
      <c r="A212" s="621" t="s">
        <v>169</v>
      </c>
      <c r="B212" s="622">
        <f>J212+L212+N212+P212+R212+T212+V212+X212+Z212+AB212+AD212+H212</f>
        <v>0</v>
      </c>
      <c r="C212" s="117">
        <f>SUM(H212)</f>
        <v>0</v>
      </c>
      <c r="D212" s="118">
        <f>E212</f>
        <v>0</v>
      </c>
      <c r="E212" s="117">
        <f>SUM(I212,K212,M212,O212,Q212,S212,U212,W212,Y212,AA212,AC212,AE212)</f>
        <v>0</v>
      </c>
      <c r="F212" s="116">
        <f>IFERROR(E212/B212*100,0)</f>
        <v>0</v>
      </c>
      <c r="G212" s="116">
        <f>IFERROR(E212/C212*100,0)</f>
        <v>0</v>
      </c>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29"/>
      <c r="AG212" s="102">
        <f t="shared" si="37"/>
        <v>0</v>
      </c>
    </row>
    <row r="213" spans="1:33" x14ac:dyDescent="0.3">
      <c r="A213" s="621" t="s">
        <v>32</v>
      </c>
      <c r="B213" s="622">
        <f>J213+L213+N213+P213+R213+T213+V213+X213+Z213+AB213+AD213+H213</f>
        <v>0</v>
      </c>
      <c r="C213" s="117">
        <f>SUM(H213)</f>
        <v>0</v>
      </c>
      <c r="D213" s="118">
        <f>E213</f>
        <v>0</v>
      </c>
      <c r="E213" s="117">
        <f>SUM(I213,K213,M213,O213,Q213,S213,U213,W213,Y213,AA213,AC213,AE213)</f>
        <v>0</v>
      </c>
      <c r="F213" s="116">
        <f>IFERROR(E213/B213*100,0)</f>
        <v>0</v>
      </c>
      <c r="G213" s="116">
        <f>IFERROR(E213/C213*100,0)</f>
        <v>0</v>
      </c>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f t="shared" si="37"/>
        <v>0</v>
      </c>
    </row>
    <row r="214" spans="1:33" x14ac:dyDescent="0.3">
      <c r="A214" s="621" t="s">
        <v>33</v>
      </c>
      <c r="B214" s="622">
        <f>J214+L214+N214+P214+R214+T214+V214+X214+Z214+AB214+AD214+H214</f>
        <v>2439.3000000000002</v>
      </c>
      <c r="C214" s="117">
        <f>H214+J214+L214+N214+P214+R214</f>
        <v>2396</v>
      </c>
      <c r="D214" s="118">
        <f>E214</f>
        <v>2396</v>
      </c>
      <c r="E214" s="117">
        <f>SUM(I214,K214,M214,O214,Q214,S214,U214,W214,Y214,AA214,AC214,AE214)</f>
        <v>2396</v>
      </c>
      <c r="F214" s="116">
        <f>IFERROR(E214/B214*100,0)</f>
        <v>98.224900586233744</v>
      </c>
      <c r="G214" s="116">
        <f>IFERROR(E214/C214*100,0)</f>
        <v>100</v>
      </c>
      <c r="H214" s="111"/>
      <c r="I214" s="111"/>
      <c r="J214" s="111">
        <v>740.5</v>
      </c>
      <c r="K214" s="111"/>
      <c r="L214" s="111"/>
      <c r="M214" s="111"/>
      <c r="N214" s="111">
        <v>397.8</v>
      </c>
      <c r="O214" s="111">
        <v>1138.3</v>
      </c>
      <c r="P214" s="111">
        <v>600</v>
      </c>
      <c r="Q214" s="111">
        <v>600</v>
      </c>
      <c r="R214" s="111">
        <v>657.7</v>
      </c>
      <c r="S214" s="111">
        <v>657.7</v>
      </c>
      <c r="T214" s="111"/>
      <c r="U214" s="111"/>
      <c r="V214" s="111">
        <v>18</v>
      </c>
      <c r="W214" s="111"/>
      <c r="X214" s="111"/>
      <c r="Y214" s="111"/>
      <c r="Z214" s="111">
        <v>25.3</v>
      </c>
      <c r="AA214" s="111"/>
      <c r="AB214" s="111"/>
      <c r="AC214" s="111"/>
      <c r="AD214" s="111"/>
      <c r="AE214" s="111"/>
      <c r="AF214" s="29"/>
      <c r="AG214" s="102">
        <f t="shared" si="37"/>
        <v>1.8118839761882555E-13</v>
      </c>
    </row>
    <row r="215" spans="1:33" x14ac:dyDescent="0.3">
      <c r="A215" s="621" t="s">
        <v>170</v>
      </c>
      <c r="B215" s="622"/>
      <c r="C215" s="117"/>
      <c r="D215" s="118"/>
      <c r="E215" s="117"/>
      <c r="F215" s="116"/>
      <c r="G215" s="116"/>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29"/>
      <c r="AG215" s="102">
        <f t="shared" si="37"/>
        <v>0</v>
      </c>
    </row>
    <row r="216" spans="1:33" ht="80.25" customHeight="1" x14ac:dyDescent="0.3">
      <c r="A216" s="778" t="s">
        <v>583</v>
      </c>
      <c r="B216" s="622"/>
      <c r="C216" s="110"/>
      <c r="D216" s="110"/>
      <c r="E216" s="110"/>
      <c r="F216" s="110"/>
      <c r="G216" s="110"/>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29"/>
      <c r="AG216" s="102">
        <f t="shared" si="37"/>
        <v>0</v>
      </c>
    </row>
    <row r="217" spans="1:33" x14ac:dyDescent="0.3">
      <c r="A217" s="618" t="s">
        <v>31</v>
      </c>
      <c r="B217" s="619">
        <f>B219+B220+B218+B221</f>
        <v>216.1</v>
      </c>
      <c r="C217" s="113">
        <f>C219+C220+C218+C221</f>
        <v>216.1</v>
      </c>
      <c r="D217" s="114">
        <f>D219+D220+D218+D221</f>
        <v>216.1</v>
      </c>
      <c r="E217" s="113">
        <f>E219+E220+E218+E221</f>
        <v>216.1</v>
      </c>
      <c r="F217" s="113">
        <f>IFERROR(E217/B217*100,0)</f>
        <v>100</v>
      </c>
      <c r="G217" s="113">
        <f>IFERROR(E217/C217*100,0)</f>
        <v>100</v>
      </c>
      <c r="H217" s="113">
        <f t="shared" ref="H217:AE217" si="64">H219+H220+H218+H221</f>
        <v>0</v>
      </c>
      <c r="I217" s="113">
        <f t="shared" si="64"/>
        <v>0</v>
      </c>
      <c r="J217" s="113">
        <f t="shared" si="64"/>
        <v>3.4</v>
      </c>
      <c r="K217" s="113">
        <f t="shared" si="64"/>
        <v>0</v>
      </c>
      <c r="L217" s="113">
        <f t="shared" si="64"/>
        <v>212.7</v>
      </c>
      <c r="M217" s="113">
        <f t="shared" si="64"/>
        <v>0</v>
      </c>
      <c r="N217" s="113">
        <f t="shared" si="64"/>
        <v>0</v>
      </c>
      <c r="O217" s="113">
        <f t="shared" si="64"/>
        <v>216.1</v>
      </c>
      <c r="P217" s="113">
        <f t="shared" si="64"/>
        <v>0</v>
      </c>
      <c r="Q217" s="113">
        <f t="shared" si="64"/>
        <v>0</v>
      </c>
      <c r="R217" s="113">
        <f t="shared" si="64"/>
        <v>0</v>
      </c>
      <c r="S217" s="113">
        <f t="shared" si="64"/>
        <v>0</v>
      </c>
      <c r="T217" s="113">
        <f t="shared" si="64"/>
        <v>0</v>
      </c>
      <c r="U217" s="113">
        <f t="shared" si="64"/>
        <v>0</v>
      </c>
      <c r="V217" s="113">
        <f t="shared" si="64"/>
        <v>0</v>
      </c>
      <c r="W217" s="113">
        <f t="shared" si="64"/>
        <v>0</v>
      </c>
      <c r="X217" s="113">
        <f t="shared" si="64"/>
        <v>0</v>
      </c>
      <c r="Y217" s="113">
        <f t="shared" si="64"/>
        <v>0</v>
      </c>
      <c r="Z217" s="113">
        <f t="shared" si="64"/>
        <v>0</v>
      </c>
      <c r="AA217" s="113">
        <f t="shared" si="64"/>
        <v>0</v>
      </c>
      <c r="AB217" s="113">
        <f t="shared" si="64"/>
        <v>0</v>
      </c>
      <c r="AC217" s="113">
        <f t="shared" si="64"/>
        <v>0</v>
      </c>
      <c r="AD217" s="113">
        <f t="shared" si="64"/>
        <v>0</v>
      </c>
      <c r="AE217" s="113">
        <f t="shared" si="64"/>
        <v>0</v>
      </c>
      <c r="AF217" s="29"/>
      <c r="AG217" s="102">
        <f t="shared" si="37"/>
        <v>0</v>
      </c>
    </row>
    <row r="218" spans="1:33" x14ac:dyDescent="0.3">
      <c r="A218" s="621" t="s">
        <v>169</v>
      </c>
      <c r="B218" s="622">
        <f>J218+L218+N218+P218+R218+T218+V218+X218+Z218+AB218+AD218+H218</f>
        <v>0</v>
      </c>
      <c r="C218" s="117">
        <f>SUM(H218)</f>
        <v>0</v>
      </c>
      <c r="D218" s="118">
        <f>E218</f>
        <v>0</v>
      </c>
      <c r="E218" s="117">
        <f>SUM(I218,K218,M218,O218,Q218,S218,U218,W218,Y218,AA218,AC218,AE218)</f>
        <v>0</v>
      </c>
      <c r="F218" s="116">
        <f>IFERROR(E218/B218*100,0)</f>
        <v>0</v>
      </c>
      <c r="G218" s="116">
        <f>IFERROR(E218/C218*100,0)</f>
        <v>0</v>
      </c>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29"/>
      <c r="AG218" s="102">
        <f t="shared" si="37"/>
        <v>0</v>
      </c>
    </row>
    <row r="219" spans="1:33" x14ac:dyDescent="0.3">
      <c r="A219" s="621" t="s">
        <v>32</v>
      </c>
      <c r="B219" s="622">
        <f>J219+L219+N219+P219+R219+T219+V219+X219+Z219+AB219+AD219+H219</f>
        <v>0</v>
      </c>
      <c r="C219" s="117">
        <f>SUM(H219)</f>
        <v>0</v>
      </c>
      <c r="D219" s="118">
        <f>E219</f>
        <v>0</v>
      </c>
      <c r="E219" s="117">
        <f>SUM(I219,K219,M219,O219,Q219,S219,U219,W219,Y219,AA219,AC219,AE219)</f>
        <v>0</v>
      </c>
      <c r="F219" s="116">
        <f>IFERROR(E219/B219*100,0)</f>
        <v>0</v>
      </c>
      <c r="G219" s="116">
        <f>IFERROR(E219/C219*100,0)</f>
        <v>0</v>
      </c>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29"/>
      <c r="AG219" s="102">
        <f t="shared" si="37"/>
        <v>0</v>
      </c>
    </row>
    <row r="220" spans="1:33" x14ac:dyDescent="0.3">
      <c r="A220" s="621" t="s">
        <v>33</v>
      </c>
      <c r="B220" s="622">
        <f>J220+L220+N220+P220+R220+T220+V220+X220+Z220+AB220+AD220+H220</f>
        <v>216.1</v>
      </c>
      <c r="C220" s="117">
        <f>H220+J220+L220+N220+P220+R220</f>
        <v>216.1</v>
      </c>
      <c r="D220" s="118">
        <f>E220</f>
        <v>216.1</v>
      </c>
      <c r="E220" s="117">
        <f>SUM(I220,K220,M220,O220,Q220,S220,U220,W220,Y220,AA220,AC220,AE220)</f>
        <v>216.1</v>
      </c>
      <c r="F220" s="116">
        <f>IFERROR(E220/B220*100,0)</f>
        <v>100</v>
      </c>
      <c r="G220" s="116">
        <f>IFERROR(E220/C220*100,0)</f>
        <v>100</v>
      </c>
      <c r="H220" s="111"/>
      <c r="I220" s="111"/>
      <c r="J220" s="111">
        <v>3.4</v>
      </c>
      <c r="K220" s="111"/>
      <c r="L220" s="111">
        <v>212.7</v>
      </c>
      <c r="M220" s="111"/>
      <c r="N220" s="111"/>
      <c r="O220" s="111">
        <v>216.1</v>
      </c>
      <c r="P220" s="111"/>
      <c r="Q220" s="111"/>
      <c r="R220" s="111"/>
      <c r="S220" s="111"/>
      <c r="T220" s="111"/>
      <c r="U220" s="111"/>
      <c r="V220" s="111"/>
      <c r="W220" s="111"/>
      <c r="X220" s="111"/>
      <c r="Y220" s="111"/>
      <c r="Z220" s="111"/>
      <c r="AA220" s="111"/>
      <c r="AB220" s="111"/>
      <c r="AC220" s="111"/>
      <c r="AD220" s="111"/>
      <c r="AE220" s="111"/>
      <c r="AF220" s="29"/>
      <c r="AG220" s="102">
        <f t="shared" si="37"/>
        <v>0</v>
      </c>
    </row>
    <row r="221" spans="1:33" x14ac:dyDescent="0.3">
      <c r="A221" s="621" t="s">
        <v>170</v>
      </c>
      <c r="B221" s="622"/>
      <c r="C221" s="117"/>
      <c r="D221" s="118"/>
      <c r="E221" s="117"/>
      <c r="F221" s="116"/>
      <c r="G221" s="116"/>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29"/>
      <c r="AG221" s="102">
        <f t="shared" si="37"/>
        <v>0</v>
      </c>
    </row>
    <row r="222" spans="1:33" ht="42.75" customHeight="1" x14ac:dyDescent="0.3">
      <c r="A222" s="778" t="s">
        <v>296</v>
      </c>
      <c r="B222" s="622"/>
      <c r="C222" s="110"/>
      <c r="D222" s="110"/>
      <c r="E222" s="110"/>
      <c r="F222" s="110"/>
      <c r="G222" s="110"/>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29"/>
      <c r="AG222" s="102">
        <f t="shared" si="37"/>
        <v>0</v>
      </c>
    </row>
    <row r="223" spans="1:33" x14ac:dyDescent="0.3">
      <c r="A223" s="618" t="s">
        <v>31</v>
      </c>
      <c r="B223" s="619">
        <f>B225+B226+B224+B227</f>
        <v>150</v>
      </c>
      <c r="C223" s="113">
        <f>C225+C226+C224+C227</f>
        <v>0</v>
      </c>
      <c r="D223" s="114">
        <f>D225+D226+D224+D227</f>
        <v>0</v>
      </c>
      <c r="E223" s="113">
        <f>E225+E226+E224+E227</f>
        <v>0</v>
      </c>
      <c r="F223" s="113">
        <f>IFERROR(E223/B223*100,0)</f>
        <v>0</v>
      </c>
      <c r="G223" s="113">
        <f>IFERROR(E223/C223*100,0)</f>
        <v>0</v>
      </c>
      <c r="H223" s="113">
        <f t="shared" ref="H223:AE223" si="65">H225+H226+H224+H227</f>
        <v>0</v>
      </c>
      <c r="I223" s="113">
        <f t="shared" si="65"/>
        <v>0</v>
      </c>
      <c r="J223" s="113">
        <f t="shared" si="65"/>
        <v>0</v>
      </c>
      <c r="K223" s="113">
        <f t="shared" si="65"/>
        <v>0</v>
      </c>
      <c r="L223" s="113">
        <f t="shared" si="65"/>
        <v>0</v>
      </c>
      <c r="M223" s="113">
        <f t="shared" si="65"/>
        <v>0</v>
      </c>
      <c r="N223" s="113">
        <f t="shared" si="65"/>
        <v>0</v>
      </c>
      <c r="O223" s="113">
        <f t="shared" si="65"/>
        <v>0</v>
      </c>
      <c r="P223" s="113">
        <f t="shared" si="65"/>
        <v>0</v>
      </c>
      <c r="Q223" s="113">
        <f t="shared" si="65"/>
        <v>0</v>
      </c>
      <c r="R223" s="113">
        <f t="shared" si="65"/>
        <v>0</v>
      </c>
      <c r="S223" s="113">
        <f t="shared" si="65"/>
        <v>0</v>
      </c>
      <c r="T223" s="113">
        <f t="shared" si="65"/>
        <v>0</v>
      </c>
      <c r="U223" s="113">
        <f t="shared" si="65"/>
        <v>0</v>
      </c>
      <c r="V223" s="113">
        <f t="shared" si="65"/>
        <v>0</v>
      </c>
      <c r="W223" s="113">
        <f t="shared" si="65"/>
        <v>0</v>
      </c>
      <c r="X223" s="113">
        <f t="shared" si="65"/>
        <v>0</v>
      </c>
      <c r="Y223" s="113">
        <f t="shared" si="65"/>
        <v>0</v>
      </c>
      <c r="Z223" s="113">
        <f t="shared" si="65"/>
        <v>0</v>
      </c>
      <c r="AA223" s="113">
        <f t="shared" si="65"/>
        <v>0</v>
      </c>
      <c r="AB223" s="113">
        <f t="shared" si="65"/>
        <v>0</v>
      </c>
      <c r="AC223" s="113">
        <f t="shared" si="65"/>
        <v>0</v>
      </c>
      <c r="AD223" s="113">
        <f t="shared" si="65"/>
        <v>150</v>
      </c>
      <c r="AE223" s="113">
        <f t="shared" si="65"/>
        <v>0</v>
      </c>
      <c r="AF223" s="29"/>
      <c r="AG223" s="102">
        <f t="shared" si="37"/>
        <v>0</v>
      </c>
    </row>
    <row r="224" spans="1:33" x14ac:dyDescent="0.3">
      <c r="A224" s="621" t="s">
        <v>169</v>
      </c>
      <c r="B224" s="622">
        <f>J224+L224+N224+P224+R224+T224+V224+X224+Z224+AB224+AD224+H224</f>
        <v>0</v>
      </c>
      <c r="C224" s="117">
        <f>SUM(H224)</f>
        <v>0</v>
      </c>
      <c r="D224" s="118">
        <f>E224</f>
        <v>0</v>
      </c>
      <c r="E224" s="117">
        <f>SUM(I224,K224,M224,O224,Q224,S224,U224,W224,Y224,AA224,AC224,AE224)</f>
        <v>0</v>
      </c>
      <c r="F224" s="116">
        <f>IFERROR(E224/B224*100,0)</f>
        <v>0</v>
      </c>
      <c r="G224" s="116">
        <f>IFERROR(E224/C224*100,0)</f>
        <v>0</v>
      </c>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29"/>
      <c r="AG224" s="102">
        <f t="shared" si="37"/>
        <v>0</v>
      </c>
    </row>
    <row r="225" spans="1:33" x14ac:dyDescent="0.3">
      <c r="A225" s="115" t="s">
        <v>32</v>
      </c>
      <c r="B225" s="116">
        <f>J225+L225+N225+P225+R225+T225+V225+X225+Z225+AB225+AD225+H225</f>
        <v>0</v>
      </c>
      <c r="C225" s="117">
        <f>SUM(H225)</f>
        <v>0</v>
      </c>
      <c r="D225" s="118">
        <f>E225</f>
        <v>0</v>
      </c>
      <c r="E225" s="117">
        <f>SUM(I225,K225,M225,O225,Q225,S225,U225,W225,Y225,AA225,AC225,AE225)</f>
        <v>0</v>
      </c>
      <c r="F225" s="116">
        <f>IFERROR(E225/B225*100,0)</f>
        <v>0</v>
      </c>
      <c r="G225" s="116">
        <f>IFERROR(E225/C225*100,0)</f>
        <v>0</v>
      </c>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29"/>
      <c r="AG225" s="102">
        <f t="shared" si="37"/>
        <v>0</v>
      </c>
    </row>
    <row r="226" spans="1:33" x14ac:dyDescent="0.3">
      <c r="A226" s="621" t="s">
        <v>33</v>
      </c>
      <c r="B226" s="622">
        <f>J226+L226+N226+P226+R226+T226+V226+X226+Z226+AB226+AD226+H226</f>
        <v>150</v>
      </c>
      <c r="C226" s="777">
        <f>SUM(H226)</f>
        <v>0</v>
      </c>
      <c r="D226" s="780">
        <f>E226</f>
        <v>0</v>
      </c>
      <c r="E226" s="777">
        <f>SUM(I226,K226,M226,O226,Q226,S226,U226,W226,Y226,AA226,AC226,AE226)</f>
        <v>0</v>
      </c>
      <c r="F226" s="622">
        <f>IFERROR(E226/B226*100,0)</f>
        <v>0</v>
      </c>
      <c r="G226" s="622">
        <f>IFERROR(E226/C226*100,0)</f>
        <v>0</v>
      </c>
      <c r="H226" s="519"/>
      <c r="I226" s="519"/>
      <c r="J226" s="111"/>
      <c r="K226" s="111"/>
      <c r="L226" s="111"/>
      <c r="M226" s="111"/>
      <c r="N226" s="111"/>
      <c r="O226" s="111"/>
      <c r="P226" s="111"/>
      <c r="Q226" s="111"/>
      <c r="R226" s="111"/>
      <c r="S226" s="111"/>
      <c r="T226" s="111"/>
      <c r="U226" s="111"/>
      <c r="V226" s="111"/>
      <c r="W226" s="111"/>
      <c r="X226" s="111"/>
      <c r="Y226" s="111"/>
      <c r="Z226" s="111"/>
      <c r="AA226" s="111"/>
      <c r="AB226" s="111"/>
      <c r="AC226" s="111"/>
      <c r="AD226" s="111">
        <v>150</v>
      </c>
      <c r="AE226" s="111"/>
      <c r="AF226" s="29"/>
      <c r="AG226" s="102">
        <f t="shared" si="37"/>
        <v>0</v>
      </c>
    </row>
    <row r="227" spans="1:33" x14ac:dyDescent="0.3">
      <c r="A227" s="621" t="s">
        <v>170</v>
      </c>
      <c r="B227" s="622"/>
      <c r="C227" s="777"/>
      <c r="D227" s="780"/>
      <c r="E227" s="777"/>
      <c r="F227" s="622"/>
      <c r="G227" s="622"/>
      <c r="H227" s="519"/>
      <c r="I227" s="519"/>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f t="shared" si="37"/>
        <v>0</v>
      </c>
    </row>
    <row r="228" spans="1:33" ht="114.75" customHeight="1" x14ac:dyDescent="0.3">
      <c r="A228" s="778" t="s">
        <v>584</v>
      </c>
      <c r="B228" s="622"/>
      <c r="C228" s="630"/>
      <c r="D228" s="630"/>
      <c r="E228" s="630"/>
      <c r="F228" s="630"/>
      <c r="G228" s="630"/>
      <c r="H228" s="519"/>
      <c r="I228" s="519"/>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29"/>
      <c r="AG228" s="102">
        <f t="shared" si="37"/>
        <v>0</v>
      </c>
    </row>
    <row r="229" spans="1:33" x14ac:dyDescent="0.3">
      <c r="A229" s="618" t="s">
        <v>31</v>
      </c>
      <c r="B229" s="619">
        <f>B231+B232+B230+B233</f>
        <v>2992.1</v>
      </c>
      <c r="C229" s="619">
        <f>C231+C232+C230+C233</f>
        <v>2992.1</v>
      </c>
      <c r="D229" s="779">
        <f>D231+D232+D230+D233</f>
        <v>2992.1</v>
      </c>
      <c r="E229" s="619">
        <f>E231+E232+E230+E233</f>
        <v>2992.1</v>
      </c>
      <c r="F229" s="619">
        <f>IFERROR(E229/B229*100,0)</f>
        <v>100</v>
      </c>
      <c r="G229" s="619">
        <f>IFERROR(E229/C229*100,0)</f>
        <v>100</v>
      </c>
      <c r="H229" s="619">
        <f t="shared" ref="H229:AE229" si="66">H231+H232+H230+H233</f>
        <v>2992.1</v>
      </c>
      <c r="I229" s="619">
        <f t="shared" si="66"/>
        <v>2992.1</v>
      </c>
      <c r="J229" s="113">
        <f t="shared" si="66"/>
        <v>0</v>
      </c>
      <c r="K229" s="113">
        <f t="shared" si="66"/>
        <v>0</v>
      </c>
      <c r="L229" s="113">
        <f t="shared" si="66"/>
        <v>0</v>
      </c>
      <c r="M229" s="113">
        <f t="shared" si="66"/>
        <v>0</v>
      </c>
      <c r="N229" s="113">
        <f t="shared" si="66"/>
        <v>0</v>
      </c>
      <c r="O229" s="113">
        <f t="shared" si="66"/>
        <v>0</v>
      </c>
      <c r="P229" s="113">
        <f t="shared" si="66"/>
        <v>0</v>
      </c>
      <c r="Q229" s="113">
        <f t="shared" si="66"/>
        <v>0</v>
      </c>
      <c r="R229" s="113">
        <f t="shared" si="66"/>
        <v>0</v>
      </c>
      <c r="S229" s="113">
        <f t="shared" si="66"/>
        <v>0</v>
      </c>
      <c r="T229" s="113">
        <f t="shared" si="66"/>
        <v>0</v>
      </c>
      <c r="U229" s="113">
        <f t="shared" si="66"/>
        <v>0</v>
      </c>
      <c r="V229" s="113">
        <f t="shared" si="66"/>
        <v>0</v>
      </c>
      <c r="W229" s="113">
        <f t="shared" si="66"/>
        <v>0</v>
      </c>
      <c r="X229" s="113">
        <f t="shared" si="66"/>
        <v>0</v>
      </c>
      <c r="Y229" s="113">
        <f t="shared" si="66"/>
        <v>0</v>
      </c>
      <c r="Z229" s="113">
        <f t="shared" si="66"/>
        <v>0</v>
      </c>
      <c r="AA229" s="113">
        <f t="shared" si="66"/>
        <v>0</v>
      </c>
      <c r="AB229" s="113">
        <f t="shared" si="66"/>
        <v>0</v>
      </c>
      <c r="AC229" s="113">
        <f t="shared" si="66"/>
        <v>0</v>
      </c>
      <c r="AD229" s="113">
        <f t="shared" si="66"/>
        <v>0</v>
      </c>
      <c r="AE229" s="113">
        <f t="shared" si="66"/>
        <v>0</v>
      </c>
      <c r="AF229" s="29"/>
      <c r="AG229" s="102">
        <f t="shared" si="37"/>
        <v>0</v>
      </c>
    </row>
    <row r="230" spans="1:33" x14ac:dyDescent="0.3">
      <c r="A230" s="621" t="s">
        <v>169</v>
      </c>
      <c r="B230" s="622">
        <f>J230+L230+N230+P230+R230+T230+V230+X230+Z230+AB230+AD230+H230</f>
        <v>0</v>
      </c>
      <c r="C230" s="777">
        <f>SUM(H230)</f>
        <v>0</v>
      </c>
      <c r="D230" s="780">
        <f>E230</f>
        <v>0</v>
      </c>
      <c r="E230" s="777">
        <f>SUM(I230,K230,M230,O230,Q230,S230,U230,W230,Y230,AA230,AC230,AE230)</f>
        <v>0</v>
      </c>
      <c r="F230" s="622">
        <f>IFERROR(E230/B230*100,0)</f>
        <v>0</v>
      </c>
      <c r="G230" s="622">
        <f>IFERROR(E230/C230*100,0)</f>
        <v>0</v>
      </c>
      <c r="H230" s="519"/>
      <c r="I230" s="519"/>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f t="shared" si="37"/>
        <v>0</v>
      </c>
    </row>
    <row r="231" spans="1:33" x14ac:dyDescent="0.3">
      <c r="A231" s="621" t="s">
        <v>32</v>
      </c>
      <c r="B231" s="622">
        <f>J231+L231+N231+P231+R231+T231+V231+X231+Z231+AB231+AD231+H231</f>
        <v>0</v>
      </c>
      <c r="C231" s="777">
        <f>SUM(H231)</f>
        <v>0</v>
      </c>
      <c r="D231" s="780">
        <f>E231</f>
        <v>0</v>
      </c>
      <c r="E231" s="777">
        <f>SUM(I231,K231,M231,O231,Q231,S231,U231,W231,Y231,AA231,AC231,AE231)</f>
        <v>0</v>
      </c>
      <c r="F231" s="622">
        <f>IFERROR(E231/B231*100,0)</f>
        <v>0</v>
      </c>
      <c r="G231" s="622">
        <f>IFERROR(E231/C231*100,0)</f>
        <v>0</v>
      </c>
      <c r="H231" s="519"/>
      <c r="I231" s="519"/>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29"/>
      <c r="AG231" s="102">
        <f t="shared" si="37"/>
        <v>0</v>
      </c>
    </row>
    <row r="232" spans="1:33" x14ac:dyDescent="0.3">
      <c r="A232" s="621" t="s">
        <v>33</v>
      </c>
      <c r="B232" s="622">
        <f>J232+L232+N232+P232+R232+T232+V232+X232+Z232+AB232+AD232+H232</f>
        <v>2992.1</v>
      </c>
      <c r="C232" s="777">
        <f>SUM(H232)</f>
        <v>2992.1</v>
      </c>
      <c r="D232" s="780">
        <f>E232</f>
        <v>2992.1</v>
      </c>
      <c r="E232" s="777">
        <f>SUM(I232,K232,M232,O232,Q232,S232,U232,W232,Y232,AA232,AC232,AE232)</f>
        <v>2992.1</v>
      </c>
      <c r="F232" s="622">
        <f>IFERROR(E232/B232*100,0)</f>
        <v>100</v>
      </c>
      <c r="G232" s="622">
        <f>IFERROR(E232/C232*100,0)</f>
        <v>100</v>
      </c>
      <c r="H232" s="519">
        <v>2992.1</v>
      </c>
      <c r="I232" s="519">
        <v>2992.1</v>
      </c>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29"/>
      <c r="AG232" s="102">
        <f t="shared" si="37"/>
        <v>0</v>
      </c>
    </row>
    <row r="233" spans="1:33" x14ac:dyDescent="0.3">
      <c r="A233" s="115" t="s">
        <v>170</v>
      </c>
      <c r="B233" s="116"/>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f t="shared" si="37"/>
        <v>0</v>
      </c>
    </row>
    <row r="234" spans="1:33" ht="56.25" x14ac:dyDescent="0.3">
      <c r="A234" s="138" t="s">
        <v>297</v>
      </c>
      <c r="B234" s="139"/>
      <c r="C234" s="140"/>
      <c r="D234" s="140"/>
      <c r="E234" s="140"/>
      <c r="F234" s="140"/>
      <c r="G234" s="140"/>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01"/>
      <c r="AG234" s="102">
        <f t="shared" si="37"/>
        <v>0</v>
      </c>
    </row>
    <row r="235" spans="1:33" x14ac:dyDescent="0.3">
      <c r="A235" s="103" t="s">
        <v>31</v>
      </c>
      <c r="B235" s="104">
        <f>B236+B237+B238+B239</f>
        <v>64613.032820000008</v>
      </c>
      <c r="C235" s="104">
        <f>C236+C237+C238+C239</f>
        <v>36836.203659999999</v>
      </c>
      <c r="D235" s="104">
        <f>D236+D237+D238+D239</f>
        <v>36249.96</v>
      </c>
      <c r="E235" s="104">
        <f>E236+E237+E238+E239</f>
        <v>36249.96</v>
      </c>
      <c r="F235" s="107">
        <f>IFERROR(E235/B235*100,0)</f>
        <v>56.103170549176518</v>
      </c>
      <c r="G235" s="107">
        <f>IFERROR(E235/C235*100,0)</f>
        <v>98.408512273927414</v>
      </c>
      <c r="H235" s="104">
        <f>H236+H237+H238+H239</f>
        <v>2008.0666200000001</v>
      </c>
      <c r="I235" s="104">
        <f t="shared" ref="I235:AE235" si="67">I236+I237+I238+I239</f>
        <v>1472.63</v>
      </c>
      <c r="J235" s="104">
        <f t="shared" si="67"/>
        <v>4844.0766199999998</v>
      </c>
      <c r="K235" s="104">
        <f t="shared" si="67"/>
        <v>4844.08</v>
      </c>
      <c r="L235" s="104">
        <f t="shared" si="67"/>
        <v>8715.1966200000006</v>
      </c>
      <c r="M235" s="104">
        <f t="shared" si="67"/>
        <v>8717.51</v>
      </c>
      <c r="N235" s="104">
        <f t="shared" si="67"/>
        <v>11384.37</v>
      </c>
      <c r="O235" s="104">
        <f t="shared" si="67"/>
        <v>11046.580000000002</v>
      </c>
      <c r="P235" s="104">
        <f t="shared" si="67"/>
        <v>4503.6915099999997</v>
      </c>
      <c r="Q235" s="104">
        <f t="shared" si="67"/>
        <v>4503.6899999999996</v>
      </c>
      <c r="R235" s="104">
        <f t="shared" si="67"/>
        <v>5380.8022900000005</v>
      </c>
      <c r="S235" s="104">
        <f t="shared" si="67"/>
        <v>5665.47</v>
      </c>
      <c r="T235" s="104">
        <f t="shared" si="67"/>
        <v>5320.5766200000007</v>
      </c>
      <c r="U235" s="104">
        <f t="shared" si="67"/>
        <v>0</v>
      </c>
      <c r="V235" s="104">
        <f t="shared" si="67"/>
        <v>3431.7408299999997</v>
      </c>
      <c r="W235" s="104">
        <f t="shared" si="67"/>
        <v>0</v>
      </c>
      <c r="X235" s="104">
        <f t="shared" si="67"/>
        <v>3462.58662</v>
      </c>
      <c r="Y235" s="104">
        <f t="shared" si="67"/>
        <v>0</v>
      </c>
      <c r="Z235" s="104">
        <f t="shared" si="67"/>
        <v>9774.1488499999996</v>
      </c>
      <c r="AA235" s="104">
        <f t="shared" si="67"/>
        <v>0</v>
      </c>
      <c r="AB235" s="104">
        <f t="shared" si="67"/>
        <v>4483.1396199999999</v>
      </c>
      <c r="AC235" s="104">
        <f t="shared" si="67"/>
        <v>0</v>
      </c>
      <c r="AD235" s="104">
        <f t="shared" si="67"/>
        <v>1304.63662</v>
      </c>
      <c r="AE235" s="104">
        <f t="shared" si="67"/>
        <v>0</v>
      </c>
      <c r="AF235" s="101"/>
      <c r="AG235" s="102">
        <f t="shared" si="37"/>
        <v>1.0231815394945443E-11</v>
      </c>
    </row>
    <row r="236" spans="1:33" x14ac:dyDescent="0.3">
      <c r="A236" s="106" t="s">
        <v>169</v>
      </c>
      <c r="B236" s="107">
        <f>B242+B248</f>
        <v>0</v>
      </c>
      <c r="C236" s="107">
        <f>C242+C248</f>
        <v>0</v>
      </c>
      <c r="D236" s="107">
        <f>D242+D248</f>
        <v>0</v>
      </c>
      <c r="E236" s="107">
        <f>E242+E248</f>
        <v>0</v>
      </c>
      <c r="F236" s="107"/>
      <c r="G236" s="107"/>
      <c r="H236" s="107">
        <f t="shared" ref="H236:AE239" si="68">H242+H248</f>
        <v>0</v>
      </c>
      <c r="I236" s="107">
        <f t="shared" si="68"/>
        <v>0</v>
      </c>
      <c r="J236" s="107">
        <f t="shared" si="68"/>
        <v>0</v>
      </c>
      <c r="K236" s="107">
        <f t="shared" si="68"/>
        <v>0</v>
      </c>
      <c r="L236" s="107">
        <f t="shared" si="68"/>
        <v>0</v>
      </c>
      <c r="M236" s="107">
        <f t="shared" si="68"/>
        <v>0</v>
      </c>
      <c r="N236" s="107">
        <f t="shared" si="68"/>
        <v>0</v>
      </c>
      <c r="O236" s="107">
        <f t="shared" si="68"/>
        <v>0</v>
      </c>
      <c r="P236" s="107">
        <f t="shared" si="68"/>
        <v>0</v>
      </c>
      <c r="Q236" s="107">
        <f t="shared" si="68"/>
        <v>0</v>
      </c>
      <c r="R236" s="107">
        <f t="shared" si="68"/>
        <v>0</v>
      </c>
      <c r="S236" s="107">
        <f t="shared" si="68"/>
        <v>0</v>
      </c>
      <c r="T236" s="107">
        <f t="shared" si="68"/>
        <v>0</v>
      </c>
      <c r="U236" s="107">
        <f t="shared" si="68"/>
        <v>0</v>
      </c>
      <c r="V236" s="107">
        <f t="shared" si="68"/>
        <v>0</v>
      </c>
      <c r="W236" s="107">
        <f t="shared" si="68"/>
        <v>0</v>
      </c>
      <c r="X236" s="107">
        <f t="shared" si="68"/>
        <v>0</v>
      </c>
      <c r="Y236" s="107">
        <f t="shared" si="68"/>
        <v>0</v>
      </c>
      <c r="Z236" s="107">
        <f t="shared" si="68"/>
        <v>0</v>
      </c>
      <c r="AA236" s="107">
        <f t="shared" si="68"/>
        <v>0</v>
      </c>
      <c r="AB236" s="107">
        <f t="shared" si="68"/>
        <v>0</v>
      </c>
      <c r="AC236" s="107">
        <f t="shared" si="68"/>
        <v>0</v>
      </c>
      <c r="AD236" s="107">
        <f t="shared" si="68"/>
        <v>0</v>
      </c>
      <c r="AE236" s="107">
        <f t="shared" si="68"/>
        <v>0</v>
      </c>
      <c r="AF236" s="101"/>
      <c r="AG236" s="102">
        <f t="shared" si="37"/>
        <v>0</v>
      </c>
    </row>
    <row r="237" spans="1:33" x14ac:dyDescent="0.3">
      <c r="A237" s="106" t="s">
        <v>32</v>
      </c>
      <c r="B237" s="107">
        <f t="shared" ref="B237:E239" si="69">B243+B249</f>
        <v>0</v>
      </c>
      <c r="C237" s="107">
        <f t="shared" si="69"/>
        <v>0</v>
      </c>
      <c r="D237" s="107">
        <f t="shared" si="69"/>
        <v>0</v>
      </c>
      <c r="E237" s="107">
        <f t="shared" si="69"/>
        <v>0</v>
      </c>
      <c r="F237" s="107"/>
      <c r="G237" s="107"/>
      <c r="H237" s="107">
        <f t="shared" si="68"/>
        <v>0</v>
      </c>
      <c r="I237" s="107">
        <f t="shared" si="68"/>
        <v>0</v>
      </c>
      <c r="J237" s="107">
        <f t="shared" si="68"/>
        <v>0</v>
      </c>
      <c r="K237" s="107">
        <f t="shared" si="68"/>
        <v>0</v>
      </c>
      <c r="L237" s="107">
        <f t="shared" si="68"/>
        <v>0</v>
      </c>
      <c r="M237" s="107">
        <f t="shared" si="68"/>
        <v>0</v>
      </c>
      <c r="N237" s="107">
        <f t="shared" si="68"/>
        <v>0</v>
      </c>
      <c r="O237" s="107">
        <f t="shared" si="68"/>
        <v>0</v>
      </c>
      <c r="P237" s="107">
        <f t="shared" si="68"/>
        <v>0</v>
      </c>
      <c r="Q237" s="107">
        <f t="shared" si="68"/>
        <v>0</v>
      </c>
      <c r="R237" s="107">
        <f t="shared" si="68"/>
        <v>0</v>
      </c>
      <c r="S237" s="107">
        <f t="shared" si="68"/>
        <v>0</v>
      </c>
      <c r="T237" s="107">
        <f t="shared" si="68"/>
        <v>0</v>
      </c>
      <c r="U237" s="107">
        <f t="shared" si="68"/>
        <v>0</v>
      </c>
      <c r="V237" s="107">
        <f t="shared" si="68"/>
        <v>0</v>
      </c>
      <c r="W237" s="107">
        <f t="shared" si="68"/>
        <v>0</v>
      </c>
      <c r="X237" s="107">
        <f t="shared" si="68"/>
        <v>0</v>
      </c>
      <c r="Y237" s="107">
        <f t="shared" si="68"/>
        <v>0</v>
      </c>
      <c r="Z237" s="107">
        <f t="shared" si="68"/>
        <v>0</v>
      </c>
      <c r="AA237" s="107">
        <f t="shared" si="68"/>
        <v>0</v>
      </c>
      <c r="AB237" s="107">
        <f t="shared" si="68"/>
        <v>0</v>
      </c>
      <c r="AC237" s="107">
        <f t="shared" si="68"/>
        <v>0</v>
      </c>
      <c r="AD237" s="107">
        <f t="shared" si="68"/>
        <v>0</v>
      </c>
      <c r="AE237" s="107">
        <f t="shared" si="68"/>
        <v>0</v>
      </c>
      <c r="AF237" s="101"/>
      <c r="AG237" s="102">
        <f t="shared" si="37"/>
        <v>0</v>
      </c>
    </row>
    <row r="238" spans="1:33" x14ac:dyDescent="0.3">
      <c r="A238" s="106" t="s">
        <v>33</v>
      </c>
      <c r="B238" s="107">
        <f t="shared" si="69"/>
        <v>64613.032820000008</v>
      </c>
      <c r="C238" s="107">
        <f>C244+C250</f>
        <v>36836.203659999999</v>
      </c>
      <c r="D238" s="107">
        <f t="shared" si="69"/>
        <v>36249.96</v>
      </c>
      <c r="E238" s="107">
        <f t="shared" si="69"/>
        <v>36249.96</v>
      </c>
      <c r="F238" s="107">
        <f>IFERROR(E238/B238*100,0)</f>
        <v>56.103170549176518</v>
      </c>
      <c r="G238" s="107">
        <f>IFERROR(E238/C238*100,0)</f>
        <v>98.408512273927414</v>
      </c>
      <c r="H238" s="107">
        <f t="shared" si="68"/>
        <v>2008.0666200000001</v>
      </c>
      <c r="I238" s="107">
        <f t="shared" si="68"/>
        <v>1472.63</v>
      </c>
      <c r="J238" s="107">
        <f t="shared" si="68"/>
        <v>4844.0766199999998</v>
      </c>
      <c r="K238" s="107">
        <f t="shared" si="68"/>
        <v>4844.08</v>
      </c>
      <c r="L238" s="107">
        <f t="shared" si="68"/>
        <v>8715.1966200000006</v>
      </c>
      <c r="M238" s="107">
        <f t="shared" si="68"/>
        <v>8717.51</v>
      </c>
      <c r="N238" s="107">
        <f t="shared" si="68"/>
        <v>11384.37</v>
      </c>
      <c r="O238" s="107">
        <f t="shared" si="68"/>
        <v>11046.580000000002</v>
      </c>
      <c r="P238" s="107">
        <f t="shared" si="68"/>
        <v>4503.6915099999997</v>
      </c>
      <c r="Q238" s="107">
        <f t="shared" si="68"/>
        <v>4503.6899999999996</v>
      </c>
      <c r="R238" s="107">
        <f t="shared" si="68"/>
        <v>5380.8022900000005</v>
      </c>
      <c r="S238" s="107">
        <f t="shared" si="68"/>
        <v>5665.47</v>
      </c>
      <c r="T238" s="107">
        <f t="shared" si="68"/>
        <v>5320.5766200000007</v>
      </c>
      <c r="U238" s="107">
        <f t="shared" si="68"/>
        <v>0</v>
      </c>
      <c r="V238" s="107">
        <f t="shared" si="68"/>
        <v>3431.7408299999997</v>
      </c>
      <c r="W238" s="107">
        <f t="shared" si="68"/>
        <v>0</v>
      </c>
      <c r="X238" s="107">
        <f t="shared" si="68"/>
        <v>3462.58662</v>
      </c>
      <c r="Y238" s="107">
        <f t="shared" si="68"/>
        <v>0</v>
      </c>
      <c r="Z238" s="107">
        <f t="shared" si="68"/>
        <v>9774.1488499999996</v>
      </c>
      <c r="AA238" s="107">
        <f t="shared" si="68"/>
        <v>0</v>
      </c>
      <c r="AB238" s="107">
        <f t="shared" si="68"/>
        <v>4483.1396199999999</v>
      </c>
      <c r="AC238" s="107">
        <f t="shared" si="68"/>
        <v>0</v>
      </c>
      <c r="AD238" s="107">
        <f t="shared" si="68"/>
        <v>1304.63662</v>
      </c>
      <c r="AE238" s="107">
        <f t="shared" si="68"/>
        <v>0</v>
      </c>
      <c r="AF238" s="101"/>
      <c r="AG238" s="102">
        <f t="shared" si="37"/>
        <v>1.0231815394945443E-11</v>
      </c>
    </row>
    <row r="239" spans="1:33" x14ac:dyDescent="0.3">
      <c r="A239" s="106" t="s">
        <v>170</v>
      </c>
      <c r="B239" s="107">
        <f t="shared" si="69"/>
        <v>0</v>
      </c>
      <c r="C239" s="107">
        <f t="shared" si="69"/>
        <v>0</v>
      </c>
      <c r="D239" s="107">
        <f t="shared" si="69"/>
        <v>0</v>
      </c>
      <c r="E239" s="107">
        <f t="shared" si="69"/>
        <v>0</v>
      </c>
      <c r="F239" s="107"/>
      <c r="G239" s="107"/>
      <c r="H239" s="107">
        <f t="shared" si="68"/>
        <v>0</v>
      </c>
      <c r="I239" s="107">
        <f t="shared" si="68"/>
        <v>0</v>
      </c>
      <c r="J239" s="107">
        <f t="shared" si="68"/>
        <v>0</v>
      </c>
      <c r="K239" s="107">
        <f t="shared" si="68"/>
        <v>0</v>
      </c>
      <c r="L239" s="107">
        <f t="shared" si="68"/>
        <v>0</v>
      </c>
      <c r="M239" s="107">
        <f t="shared" si="68"/>
        <v>0</v>
      </c>
      <c r="N239" s="107">
        <f t="shared" si="68"/>
        <v>0</v>
      </c>
      <c r="O239" s="107">
        <f t="shared" si="68"/>
        <v>0</v>
      </c>
      <c r="P239" s="107">
        <f t="shared" si="68"/>
        <v>0</v>
      </c>
      <c r="Q239" s="107">
        <f t="shared" si="68"/>
        <v>0</v>
      </c>
      <c r="R239" s="107">
        <f t="shared" si="68"/>
        <v>0</v>
      </c>
      <c r="S239" s="107">
        <f t="shared" si="68"/>
        <v>0</v>
      </c>
      <c r="T239" s="107">
        <f t="shared" si="68"/>
        <v>0</v>
      </c>
      <c r="U239" s="107">
        <f t="shared" si="68"/>
        <v>0</v>
      </c>
      <c r="V239" s="107">
        <f t="shared" si="68"/>
        <v>0</v>
      </c>
      <c r="W239" s="107">
        <f t="shared" si="68"/>
        <v>0</v>
      </c>
      <c r="X239" s="107">
        <f t="shared" si="68"/>
        <v>0</v>
      </c>
      <c r="Y239" s="107">
        <f t="shared" si="68"/>
        <v>0</v>
      </c>
      <c r="Z239" s="107">
        <f t="shared" si="68"/>
        <v>0</v>
      </c>
      <c r="AA239" s="107">
        <f t="shared" si="68"/>
        <v>0</v>
      </c>
      <c r="AB239" s="107">
        <f t="shared" si="68"/>
        <v>0</v>
      </c>
      <c r="AC239" s="107">
        <f t="shared" si="68"/>
        <v>0</v>
      </c>
      <c r="AD239" s="107">
        <f t="shared" si="68"/>
        <v>0</v>
      </c>
      <c r="AE239" s="107">
        <f t="shared" si="68"/>
        <v>0</v>
      </c>
      <c r="AF239" s="101"/>
      <c r="AG239" s="102">
        <f t="shared" si="37"/>
        <v>0</v>
      </c>
    </row>
    <row r="240" spans="1:33" ht="61.5" customHeight="1" x14ac:dyDescent="0.3">
      <c r="A240" s="778" t="s">
        <v>531</v>
      </c>
      <c r="B240" s="109"/>
      <c r="C240" s="110"/>
      <c r="D240" s="110"/>
      <c r="E240" s="110"/>
      <c r="F240" s="110"/>
      <c r="G240" s="110"/>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29"/>
      <c r="AG240" s="102">
        <f t="shared" si="37"/>
        <v>0</v>
      </c>
    </row>
    <row r="241" spans="1:33" x14ac:dyDescent="0.3">
      <c r="A241" s="112" t="s">
        <v>31</v>
      </c>
      <c r="B241" s="113">
        <f>B243+B244+B242+B245</f>
        <v>52103.100000000006</v>
      </c>
      <c r="C241" s="113">
        <f>C243+C244+C242+C245</f>
        <v>30760.639999999999</v>
      </c>
      <c r="D241" s="114">
        <f>D243+D244+D242+D245</f>
        <v>30760.639999999999</v>
      </c>
      <c r="E241" s="113">
        <f>E243+E244+E242+E245</f>
        <v>30760.639999999999</v>
      </c>
      <c r="F241" s="113">
        <f>IFERROR(E241/B241*100,0)</f>
        <v>59.038022689628825</v>
      </c>
      <c r="G241" s="113">
        <f>IFERROR(E241/C241*100,0)</f>
        <v>100</v>
      </c>
      <c r="H241" s="113">
        <f t="shared" ref="H241:AE241" si="70">H243+H244+H242+H245</f>
        <v>1347.73</v>
      </c>
      <c r="I241" s="113">
        <f t="shared" si="70"/>
        <v>1347.73</v>
      </c>
      <c r="J241" s="113">
        <f t="shared" si="70"/>
        <v>3827.1</v>
      </c>
      <c r="K241" s="113">
        <f t="shared" si="70"/>
        <v>3827.1</v>
      </c>
      <c r="L241" s="113">
        <f t="shared" si="70"/>
        <v>7698.22</v>
      </c>
      <c r="M241" s="113">
        <f t="shared" si="70"/>
        <v>7698.22</v>
      </c>
      <c r="N241" s="113">
        <f t="shared" si="70"/>
        <v>10213.620000000001</v>
      </c>
      <c r="O241" s="113">
        <f t="shared" si="70"/>
        <v>10213.620000000001</v>
      </c>
      <c r="P241" s="113">
        <f t="shared" si="70"/>
        <v>3322.2</v>
      </c>
      <c r="Q241" s="113">
        <f t="shared" si="70"/>
        <v>3322.2</v>
      </c>
      <c r="R241" s="113">
        <f t="shared" si="70"/>
        <v>4351.7700000000004</v>
      </c>
      <c r="S241" s="113">
        <f t="shared" si="70"/>
        <v>4351.7700000000004</v>
      </c>
      <c r="T241" s="113">
        <f t="shared" si="70"/>
        <v>4303.6000000000004</v>
      </c>
      <c r="U241" s="113">
        <f t="shared" si="70"/>
        <v>0</v>
      </c>
      <c r="V241" s="113">
        <f t="shared" si="70"/>
        <v>2401.1999999999998</v>
      </c>
      <c r="W241" s="113">
        <f t="shared" si="70"/>
        <v>0</v>
      </c>
      <c r="X241" s="113">
        <f t="shared" si="70"/>
        <v>2447.9</v>
      </c>
      <c r="Y241" s="113">
        <f t="shared" si="70"/>
        <v>0</v>
      </c>
      <c r="Z241" s="113">
        <f t="shared" si="70"/>
        <v>8746.7799999999988</v>
      </c>
      <c r="AA241" s="113">
        <f t="shared" si="70"/>
        <v>0</v>
      </c>
      <c r="AB241" s="113">
        <f t="shared" si="70"/>
        <v>3442.98</v>
      </c>
      <c r="AC241" s="113">
        <f t="shared" si="70"/>
        <v>0</v>
      </c>
      <c r="AD241" s="113">
        <f t="shared" si="70"/>
        <v>0</v>
      </c>
      <c r="AE241" s="113">
        <f t="shared" si="70"/>
        <v>0</v>
      </c>
      <c r="AF241" s="29"/>
      <c r="AG241" s="102">
        <f t="shared" si="37"/>
        <v>1.3642420526593924E-12</v>
      </c>
    </row>
    <row r="242" spans="1:33" x14ac:dyDescent="0.3">
      <c r="A242" s="115" t="s">
        <v>169</v>
      </c>
      <c r="B242" s="116">
        <f>J242+L242+N242+P242+R242+T242+V242+X242+Z242+AB242+AD242+H242</f>
        <v>0</v>
      </c>
      <c r="C242" s="117">
        <f>SUM(H242)</f>
        <v>0</v>
      </c>
      <c r="D242" s="118">
        <f>E242</f>
        <v>0</v>
      </c>
      <c r="E242" s="117">
        <f>SUM(I242,K242,M242,O242,Q242,S242,U242,W242,Y242,AA242,AC242,AE242)</f>
        <v>0</v>
      </c>
      <c r="F242" s="116">
        <f>IFERROR(E242/B242*100,0)</f>
        <v>0</v>
      </c>
      <c r="G242" s="116">
        <f>IFERROR(E242/C242*100,0)</f>
        <v>0</v>
      </c>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29"/>
      <c r="AG242" s="102">
        <f t="shared" si="37"/>
        <v>0</v>
      </c>
    </row>
    <row r="243" spans="1:33" ht="42" customHeight="1" x14ac:dyDescent="0.3">
      <c r="A243" s="115" t="s">
        <v>32</v>
      </c>
      <c r="B243" s="116">
        <f>J243+L243+N243+P243+R243+T243+V243+X243+Z243+AB243+AD243+H243</f>
        <v>0</v>
      </c>
      <c r="C243" s="117">
        <f>SUM(H243)</f>
        <v>0</v>
      </c>
      <c r="D243" s="118">
        <f>E243</f>
        <v>0</v>
      </c>
      <c r="E243" s="117">
        <f>SUM(I243,K243,M243,O243,Q243,S243,U243,W243,Y243,AA243,AC243,AE243)</f>
        <v>0</v>
      </c>
      <c r="F243" s="116">
        <f>IFERROR(E243/B243*100,0)</f>
        <v>0</v>
      </c>
      <c r="G243" s="116">
        <f>IFERROR(E243/C243*100,0)</f>
        <v>0</v>
      </c>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29"/>
      <c r="AG243" s="102">
        <f t="shared" si="37"/>
        <v>0</v>
      </c>
    </row>
    <row r="244" spans="1:33" x14ac:dyDescent="0.3">
      <c r="A244" s="115" t="s">
        <v>33</v>
      </c>
      <c r="B244" s="116">
        <f>J244+L244+N244+P244+R244+T244+V244+X244+Z244+AB244+AD244+H244</f>
        <v>52103.100000000006</v>
      </c>
      <c r="C244" s="117">
        <f>H244+J244+L244+N244+P244+R244</f>
        <v>30760.639999999999</v>
      </c>
      <c r="D244" s="118">
        <f>E244</f>
        <v>30760.639999999999</v>
      </c>
      <c r="E244" s="117">
        <f>SUM(I244,K244,M244,O244,Q244,S244,U244,W244,Y244,AA244,AC244,AE244)</f>
        <v>30760.639999999999</v>
      </c>
      <c r="F244" s="116">
        <f>IFERROR(E244/B244*100,0)</f>
        <v>59.038022689628825</v>
      </c>
      <c r="G244" s="116">
        <f>IFERROR(E244/C244*100,0)</f>
        <v>100</v>
      </c>
      <c r="H244" s="519">
        <v>1347.73</v>
      </c>
      <c r="I244" s="519">
        <v>1347.73</v>
      </c>
      <c r="J244" s="519">
        <v>3827.1</v>
      </c>
      <c r="K244" s="111">
        <v>3827.1</v>
      </c>
      <c r="L244" s="111">
        <v>7698.22</v>
      </c>
      <c r="M244" s="111">
        <v>7698.22</v>
      </c>
      <c r="N244" s="111">
        <v>10213.620000000001</v>
      </c>
      <c r="O244" s="111">
        <v>10213.620000000001</v>
      </c>
      <c r="P244" s="111">
        <v>3322.2</v>
      </c>
      <c r="Q244" s="111">
        <v>3322.2</v>
      </c>
      <c r="R244" s="111">
        <f>965.27+3386.5</f>
        <v>4351.7700000000004</v>
      </c>
      <c r="S244" s="111">
        <v>4351.7700000000004</v>
      </c>
      <c r="T244" s="111">
        <v>4303.6000000000004</v>
      </c>
      <c r="U244" s="111"/>
      <c r="V244" s="111">
        <v>2401.1999999999998</v>
      </c>
      <c r="W244" s="111"/>
      <c r="X244" s="111">
        <v>2447.9</v>
      </c>
      <c r="Y244" s="111"/>
      <c r="Z244" s="111">
        <f>3713.5+5033.28</f>
        <v>8746.7799999999988</v>
      </c>
      <c r="AA244" s="111"/>
      <c r="AB244" s="111">
        <f>3619.9-176.92</f>
        <v>3442.98</v>
      </c>
      <c r="AC244" s="111"/>
      <c r="AD244" s="111"/>
      <c r="AE244" s="111"/>
      <c r="AF244" s="29"/>
      <c r="AG244" s="102">
        <f t="shared" si="37"/>
        <v>1.3642420526593924E-12</v>
      </c>
    </row>
    <row r="245" spans="1:33" x14ac:dyDescent="0.3">
      <c r="A245" s="115" t="s">
        <v>170</v>
      </c>
      <c r="B245" s="116"/>
      <c r="C245" s="117"/>
      <c r="D245" s="118"/>
      <c r="E245" s="117"/>
      <c r="F245" s="116"/>
      <c r="G245" s="116"/>
      <c r="H245" s="519"/>
      <c r="I245" s="519"/>
      <c r="J245" s="519"/>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29"/>
      <c r="AG245" s="102">
        <f t="shared" si="37"/>
        <v>0</v>
      </c>
    </row>
    <row r="246" spans="1:33" ht="64.5" customHeight="1" x14ac:dyDescent="0.3">
      <c r="A246" s="778" t="s">
        <v>585</v>
      </c>
      <c r="B246" s="109"/>
      <c r="C246" s="110"/>
      <c r="D246" s="110"/>
      <c r="E246" s="110"/>
      <c r="F246" s="110"/>
      <c r="G246" s="110"/>
      <c r="H246" s="519"/>
      <c r="I246" s="519"/>
      <c r="J246" s="519"/>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29"/>
      <c r="AG246" s="102">
        <f t="shared" si="37"/>
        <v>0</v>
      </c>
    </row>
    <row r="247" spans="1:33" x14ac:dyDescent="0.3">
      <c r="A247" s="112" t="s">
        <v>31</v>
      </c>
      <c r="B247" s="113">
        <f>B249+B250+B248+B251</f>
        <v>12509.93282</v>
      </c>
      <c r="C247" s="113">
        <f>C249+C250+C248+C251</f>
        <v>6075.5636599999998</v>
      </c>
      <c r="D247" s="114">
        <f>D249+D250+D248+D251</f>
        <v>5489.32</v>
      </c>
      <c r="E247" s="113">
        <f>E249+E250+E248+E251</f>
        <v>5489.32</v>
      </c>
      <c r="F247" s="113">
        <f>IFERROR(E247/B247*100,0)</f>
        <v>43.879692073358392</v>
      </c>
      <c r="G247" s="113">
        <f>IFERROR(E247/C247*100,0)</f>
        <v>90.350793888315536</v>
      </c>
      <c r="H247" s="783">
        <f t="shared" ref="H247:AE247" si="71">H249+H250+H248+H251</f>
        <v>660.33662000000004</v>
      </c>
      <c r="I247" s="783">
        <f t="shared" si="71"/>
        <v>124.9</v>
      </c>
      <c r="J247" s="783">
        <f t="shared" si="71"/>
        <v>1016.97662</v>
      </c>
      <c r="K247" s="113">
        <f t="shared" si="71"/>
        <v>1016.98</v>
      </c>
      <c r="L247" s="113">
        <f t="shared" si="71"/>
        <v>1016.97662</v>
      </c>
      <c r="M247" s="113">
        <f t="shared" si="71"/>
        <v>1019.29</v>
      </c>
      <c r="N247" s="113">
        <f t="shared" si="71"/>
        <v>1170.75</v>
      </c>
      <c r="O247" s="113">
        <f t="shared" si="71"/>
        <v>832.96</v>
      </c>
      <c r="P247" s="113">
        <f t="shared" si="71"/>
        <v>1181.4915100000001</v>
      </c>
      <c r="Q247" s="113">
        <f t="shared" si="71"/>
        <v>1181.49</v>
      </c>
      <c r="R247" s="113">
        <f t="shared" si="71"/>
        <v>1029.0322899999999</v>
      </c>
      <c r="S247" s="113">
        <f t="shared" si="71"/>
        <v>1313.7</v>
      </c>
      <c r="T247" s="113">
        <f t="shared" si="71"/>
        <v>1016.97662</v>
      </c>
      <c r="U247" s="113">
        <f t="shared" si="71"/>
        <v>0</v>
      </c>
      <c r="V247" s="113">
        <f t="shared" si="71"/>
        <v>1030.5408299999999</v>
      </c>
      <c r="W247" s="113">
        <f t="shared" si="71"/>
        <v>0</v>
      </c>
      <c r="X247" s="113">
        <f t="shared" si="71"/>
        <v>1014.6866200000001</v>
      </c>
      <c r="Y247" s="113">
        <f t="shared" si="71"/>
        <v>0</v>
      </c>
      <c r="Z247" s="113">
        <f t="shared" si="71"/>
        <v>1027.3688500000001</v>
      </c>
      <c r="AA247" s="113">
        <f t="shared" si="71"/>
        <v>0</v>
      </c>
      <c r="AB247" s="113">
        <f t="shared" si="71"/>
        <v>1040.1596200000001</v>
      </c>
      <c r="AC247" s="113">
        <f t="shared" si="71"/>
        <v>0</v>
      </c>
      <c r="AD247" s="113">
        <f t="shared" si="71"/>
        <v>1304.63662</v>
      </c>
      <c r="AE247" s="113">
        <f t="shared" si="71"/>
        <v>0</v>
      </c>
      <c r="AF247" s="29"/>
      <c r="AG247" s="102">
        <f t="shared" si="37"/>
        <v>0</v>
      </c>
    </row>
    <row r="248" spans="1:33" x14ac:dyDescent="0.3">
      <c r="A248" s="115" t="s">
        <v>169</v>
      </c>
      <c r="B248" s="116">
        <f>J248+L248+N248+P248+R248+T248+V248+X248+Z248+AB248+AD248+H248</f>
        <v>0</v>
      </c>
      <c r="C248" s="117">
        <f>SUM(H248)</f>
        <v>0</v>
      </c>
      <c r="D248" s="118">
        <f>E248</f>
        <v>0</v>
      </c>
      <c r="E248" s="117">
        <f>SUM(I248,K248,M248,O248,Q248,S248,U248,W248,Y248,AA248,AC248,AE248)</f>
        <v>0</v>
      </c>
      <c r="F248" s="116">
        <f>IFERROR(E248/B248*100,0)</f>
        <v>0</v>
      </c>
      <c r="G248" s="116">
        <f>IFERROR(E248/C248*100,0)</f>
        <v>0</v>
      </c>
      <c r="H248" s="519"/>
      <c r="I248" s="519"/>
      <c r="J248" s="519"/>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29"/>
      <c r="AG248" s="102">
        <f t="shared" si="37"/>
        <v>0</v>
      </c>
    </row>
    <row r="249" spans="1:33" x14ac:dyDescent="0.3">
      <c r="A249" s="115" t="s">
        <v>32</v>
      </c>
      <c r="B249" s="116">
        <f>J249+L249+N249+P249+R249+T249+V249+X249+Z249+AB249+AD249+H249</f>
        <v>0</v>
      </c>
      <c r="C249" s="117">
        <f>SUM(H249)</f>
        <v>0</v>
      </c>
      <c r="D249" s="118">
        <f>E249</f>
        <v>0</v>
      </c>
      <c r="E249" s="117">
        <f>SUM(I249,K249,M249,O249,Q249,S249,U249,W249,Y249,AA249,AC249,AE249)</f>
        <v>0</v>
      </c>
      <c r="F249" s="116">
        <f>IFERROR(E249/B249*100,0)</f>
        <v>0</v>
      </c>
      <c r="G249" s="116">
        <f>IFERROR(E249/C249*100,0)</f>
        <v>0</v>
      </c>
      <c r="H249" s="519"/>
      <c r="I249" s="519"/>
      <c r="J249" s="519"/>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29"/>
      <c r="AG249" s="102">
        <f t="shared" si="37"/>
        <v>0</v>
      </c>
    </row>
    <row r="250" spans="1:33" x14ac:dyDescent="0.3">
      <c r="A250" s="115" t="s">
        <v>33</v>
      </c>
      <c r="B250" s="622">
        <f>J250+L250+N250+P250+R250+T250+V250+X250+Z250+AB250+AD250+H250</f>
        <v>12509.93282</v>
      </c>
      <c r="C250" s="117">
        <f>H250+J250+L250+N250+P250+R250</f>
        <v>6075.5636599999998</v>
      </c>
      <c r="D250" s="118">
        <f>E250</f>
        <v>5489.32</v>
      </c>
      <c r="E250" s="117">
        <f>SUM(I250,K250,M250,O250,Q250,S250,U250,W250,Y250,AA250,AC250,AE250)</f>
        <v>5489.32</v>
      </c>
      <c r="F250" s="116">
        <f>IFERROR(E250/B250*100,0)</f>
        <v>43.879692073358392</v>
      </c>
      <c r="G250" s="116">
        <f>IFERROR(E250/C250*100,0)</f>
        <v>90.350793888315536</v>
      </c>
      <c r="H250" s="519">
        <v>660.33662000000004</v>
      </c>
      <c r="I250" s="519">
        <v>124.9</v>
      </c>
      <c r="J250" s="519">
        <v>1016.97662</v>
      </c>
      <c r="K250" s="111">
        <v>1016.98</v>
      </c>
      <c r="L250" s="111">
        <v>1016.97662</v>
      </c>
      <c r="M250" s="111">
        <f>2.31+1016.98</f>
        <v>1019.29</v>
      </c>
      <c r="N250" s="111">
        <v>1170.75</v>
      </c>
      <c r="O250" s="111">
        <v>832.96</v>
      </c>
      <c r="P250" s="111">
        <v>1181.4915100000001</v>
      </c>
      <c r="Q250" s="111">
        <v>1181.49</v>
      </c>
      <c r="R250" s="111">
        <f>2.29+1026.74229</f>
        <v>1029.0322899999999</v>
      </c>
      <c r="S250" s="111">
        <v>1313.7</v>
      </c>
      <c r="T250" s="111">
        <v>1016.97662</v>
      </c>
      <c r="U250" s="111"/>
      <c r="V250" s="111">
        <v>1030.5408299999999</v>
      </c>
      <c r="W250" s="111"/>
      <c r="X250" s="111">
        <f>1016.97662-2.29</f>
        <v>1014.6866200000001</v>
      </c>
      <c r="Y250" s="111"/>
      <c r="Z250" s="111">
        <v>1027.3688500000001</v>
      </c>
      <c r="AA250" s="111"/>
      <c r="AB250" s="111">
        <f>1061.43962-21.28</f>
        <v>1040.1596200000001</v>
      </c>
      <c r="AC250" s="111"/>
      <c r="AD250" s="111">
        <v>1304.63662</v>
      </c>
      <c r="AE250" s="111"/>
      <c r="AF250" s="29"/>
      <c r="AG250" s="102">
        <f t="shared" si="37"/>
        <v>0</v>
      </c>
    </row>
    <row r="251" spans="1:33" x14ac:dyDescent="0.3">
      <c r="A251" s="115" t="s">
        <v>170</v>
      </c>
      <c r="B251" s="116"/>
      <c r="C251" s="117"/>
      <c r="D251" s="118"/>
      <c r="E251" s="117"/>
      <c r="F251" s="116"/>
      <c r="G251" s="116"/>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29"/>
      <c r="AG251" s="102">
        <f t="shared" si="37"/>
        <v>0</v>
      </c>
    </row>
    <row r="252" spans="1:33" x14ac:dyDescent="0.3">
      <c r="A252" s="1058" t="s">
        <v>298</v>
      </c>
      <c r="B252" s="1059"/>
      <c r="C252" s="1059"/>
      <c r="D252" s="1059"/>
      <c r="E252" s="1059"/>
      <c r="F252" s="1059"/>
      <c r="G252" s="1059"/>
      <c r="H252" s="1059"/>
      <c r="I252" s="1059"/>
      <c r="J252" s="1059"/>
      <c r="K252" s="1059"/>
      <c r="L252" s="1059"/>
      <c r="M252" s="1059"/>
      <c r="N252" s="1059"/>
      <c r="O252" s="1059"/>
      <c r="P252" s="1059"/>
      <c r="Q252" s="1059"/>
      <c r="R252" s="1059"/>
      <c r="S252" s="1059"/>
      <c r="T252" s="1059"/>
      <c r="U252" s="1059"/>
      <c r="V252" s="1059"/>
      <c r="W252" s="1059"/>
      <c r="X252" s="1059"/>
      <c r="Y252" s="1059"/>
      <c r="Z252" s="1059"/>
      <c r="AA252" s="1059"/>
      <c r="AB252" s="1059"/>
      <c r="AC252" s="1059"/>
      <c r="AD252" s="1059"/>
      <c r="AE252" s="1059"/>
      <c r="AF252" s="1060"/>
      <c r="AG252" s="102">
        <f t="shared" si="37"/>
        <v>0</v>
      </c>
    </row>
    <row r="253" spans="1:33" s="97" customFormat="1" x14ac:dyDescent="0.3">
      <c r="A253" s="1058" t="s">
        <v>167</v>
      </c>
      <c r="B253" s="1059"/>
      <c r="C253" s="1059"/>
      <c r="D253" s="1059"/>
      <c r="E253" s="1059"/>
      <c r="F253" s="1059"/>
      <c r="G253" s="1059"/>
      <c r="H253" s="1059"/>
      <c r="I253" s="1059"/>
      <c r="J253" s="1059"/>
      <c r="K253" s="1059"/>
      <c r="L253" s="1059"/>
      <c r="M253" s="1059"/>
      <c r="N253" s="1059"/>
      <c r="O253" s="1059"/>
      <c r="P253" s="1059"/>
      <c r="Q253" s="1059"/>
      <c r="R253" s="1059"/>
      <c r="S253" s="1059"/>
      <c r="T253" s="1059"/>
      <c r="U253" s="1059"/>
      <c r="V253" s="1059"/>
      <c r="W253" s="1059"/>
      <c r="X253" s="1059"/>
      <c r="Y253" s="1059"/>
      <c r="Z253" s="1059"/>
      <c r="AA253" s="1059"/>
      <c r="AB253" s="1059"/>
      <c r="AC253" s="1059"/>
      <c r="AD253" s="1059"/>
      <c r="AE253" s="1059"/>
      <c r="AF253" s="1060"/>
    </row>
    <row r="254" spans="1:33" ht="56.25" customHeight="1" x14ac:dyDescent="0.3">
      <c r="A254" s="98" t="s">
        <v>299</v>
      </c>
      <c r="B254" s="99"/>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c r="AB254" s="100"/>
      <c r="AC254" s="100"/>
      <c r="AD254" s="100"/>
      <c r="AE254" s="100"/>
      <c r="AF254" s="101"/>
      <c r="AG254" s="102">
        <f>B254-H254-J254-L254-N254-P254-R254-T254-V254-X254-Z254-AB254-AD254</f>
        <v>0</v>
      </c>
    </row>
    <row r="255" spans="1:33" x14ac:dyDescent="0.3">
      <c r="A255" s="103" t="s">
        <v>31</v>
      </c>
      <c r="B255" s="104">
        <f>B256+B257+B258+B259</f>
        <v>1651094.73</v>
      </c>
      <c r="C255" s="104">
        <f>C256+C257+C258+C259</f>
        <v>0</v>
      </c>
      <c r="D255" s="104">
        <f>D256+D257+D258+D259</f>
        <v>0</v>
      </c>
      <c r="E255" s="104">
        <f>E256+E257+E258+E259</f>
        <v>0</v>
      </c>
      <c r="F255" s="105">
        <f>IFERROR(E255/B255*100,0)</f>
        <v>0</v>
      </c>
      <c r="G255" s="105">
        <f>IFERROR(E255/C255*100,0)</f>
        <v>0</v>
      </c>
      <c r="H255" s="104">
        <f>H256+H257+H258+H259</f>
        <v>0</v>
      </c>
      <c r="I255" s="104">
        <f t="shared" ref="I255:AE255" si="72">I256+I257+I258+I259</f>
        <v>0</v>
      </c>
      <c r="J255" s="104">
        <f t="shared" si="72"/>
        <v>0</v>
      </c>
      <c r="K255" s="104">
        <f t="shared" si="72"/>
        <v>0</v>
      </c>
      <c r="L255" s="104">
        <f t="shared" si="72"/>
        <v>0</v>
      </c>
      <c r="M255" s="104">
        <f t="shared" si="72"/>
        <v>0</v>
      </c>
      <c r="N255" s="104">
        <f t="shared" si="72"/>
        <v>0</v>
      </c>
      <c r="O255" s="104">
        <f t="shared" si="72"/>
        <v>0</v>
      </c>
      <c r="P255" s="104">
        <f t="shared" si="72"/>
        <v>0</v>
      </c>
      <c r="Q255" s="104">
        <f t="shared" si="72"/>
        <v>0</v>
      </c>
      <c r="R255" s="104">
        <f t="shared" si="72"/>
        <v>0</v>
      </c>
      <c r="S255" s="104">
        <f t="shared" si="72"/>
        <v>0</v>
      </c>
      <c r="T255" s="104">
        <f t="shared" si="72"/>
        <v>0</v>
      </c>
      <c r="U255" s="104">
        <f t="shared" si="72"/>
        <v>0</v>
      </c>
      <c r="V255" s="104">
        <f t="shared" si="72"/>
        <v>0</v>
      </c>
      <c r="W255" s="104">
        <f t="shared" si="72"/>
        <v>0</v>
      </c>
      <c r="X255" s="104">
        <f t="shared" si="72"/>
        <v>0</v>
      </c>
      <c r="Y255" s="104">
        <f t="shared" si="72"/>
        <v>0</v>
      </c>
      <c r="Z255" s="104">
        <f t="shared" si="72"/>
        <v>25239.239999999998</v>
      </c>
      <c r="AA255" s="104">
        <f t="shared" si="72"/>
        <v>0</v>
      </c>
      <c r="AB255" s="104">
        <f t="shared" si="72"/>
        <v>532167.6</v>
      </c>
      <c r="AC255" s="104">
        <f t="shared" si="72"/>
        <v>0</v>
      </c>
      <c r="AD255" s="104">
        <f t="shared" si="72"/>
        <v>1093687.8900000001</v>
      </c>
      <c r="AE255" s="104">
        <f t="shared" si="72"/>
        <v>0</v>
      </c>
      <c r="AF255" s="101"/>
      <c r="AG255" s="102">
        <f t="shared" ref="AG255:AG265" si="73">B255-H255-J255-L255-N255-P255-R255-T255-V255-X255-Z255-AB255-AD255</f>
        <v>0</v>
      </c>
    </row>
    <row r="256" spans="1:33" x14ac:dyDescent="0.3">
      <c r="A256" s="106" t="s">
        <v>169</v>
      </c>
      <c r="B256" s="107">
        <f>B262</f>
        <v>221676.3</v>
      </c>
      <c r="C256" s="107">
        <f>C262</f>
        <v>0</v>
      </c>
      <c r="D256" s="107">
        <f>D262</f>
        <v>0</v>
      </c>
      <c r="E256" s="107">
        <f>E262</f>
        <v>0</v>
      </c>
      <c r="F256" s="107">
        <f>IFERROR(E256/B256*100,0)</f>
        <v>0</v>
      </c>
      <c r="G256" s="107">
        <f>IFERROR(E256/C256*100,0)</f>
        <v>0</v>
      </c>
      <c r="H256" s="107">
        <f t="shared" ref="H256:AE259" si="74">H262</f>
        <v>0</v>
      </c>
      <c r="I256" s="107">
        <f t="shared" si="74"/>
        <v>0</v>
      </c>
      <c r="J256" s="107">
        <f t="shared" si="74"/>
        <v>0</v>
      </c>
      <c r="K256" s="107">
        <f t="shared" si="74"/>
        <v>0</v>
      </c>
      <c r="L256" s="107">
        <f t="shared" si="74"/>
        <v>0</v>
      </c>
      <c r="M256" s="107">
        <f t="shared" si="74"/>
        <v>0</v>
      </c>
      <c r="N256" s="107">
        <f t="shared" si="74"/>
        <v>0</v>
      </c>
      <c r="O256" s="107">
        <f t="shared" si="74"/>
        <v>0</v>
      </c>
      <c r="P256" s="107">
        <f t="shared" si="74"/>
        <v>0</v>
      </c>
      <c r="Q256" s="107">
        <f t="shared" si="74"/>
        <v>0</v>
      </c>
      <c r="R256" s="107">
        <f t="shared" si="74"/>
        <v>0</v>
      </c>
      <c r="S256" s="107">
        <f t="shared" si="74"/>
        <v>0</v>
      </c>
      <c r="T256" s="107">
        <f t="shared" si="74"/>
        <v>0</v>
      </c>
      <c r="U256" s="107">
        <f t="shared" si="74"/>
        <v>0</v>
      </c>
      <c r="V256" s="107">
        <f t="shared" si="74"/>
        <v>0</v>
      </c>
      <c r="W256" s="107">
        <f t="shared" si="74"/>
        <v>0</v>
      </c>
      <c r="X256" s="107">
        <f t="shared" si="74"/>
        <v>0</v>
      </c>
      <c r="Y256" s="107">
        <f t="shared" si="74"/>
        <v>0</v>
      </c>
      <c r="Z256" s="107">
        <f t="shared" si="74"/>
        <v>10221.89</v>
      </c>
      <c r="AA256" s="107">
        <f t="shared" si="74"/>
        <v>0</v>
      </c>
      <c r="AB256" s="107">
        <f t="shared" si="74"/>
        <v>211454.41</v>
      </c>
      <c r="AC256" s="107">
        <f t="shared" si="74"/>
        <v>0</v>
      </c>
      <c r="AD256" s="107">
        <f t="shared" si="74"/>
        <v>0</v>
      </c>
      <c r="AE256" s="107">
        <f t="shared" si="74"/>
        <v>0</v>
      </c>
      <c r="AF256" s="101"/>
      <c r="AG256" s="102">
        <f t="shared" si="73"/>
        <v>-2.9103830456733704E-11</v>
      </c>
    </row>
    <row r="257" spans="1:33" x14ac:dyDescent="0.3">
      <c r="A257" s="106" t="s">
        <v>32</v>
      </c>
      <c r="B257" s="107">
        <f t="shared" ref="B257:E259" si="75">B263</f>
        <v>930862</v>
      </c>
      <c r="C257" s="107">
        <f t="shared" si="75"/>
        <v>0</v>
      </c>
      <c r="D257" s="107">
        <f t="shared" si="75"/>
        <v>0</v>
      </c>
      <c r="E257" s="107">
        <f t="shared" si="75"/>
        <v>0</v>
      </c>
      <c r="F257" s="107">
        <f>IFERROR(E257/B257*100,0)</f>
        <v>0</v>
      </c>
      <c r="G257" s="107">
        <f>IFERROR(E257/C257*100,0)</f>
        <v>0</v>
      </c>
      <c r="H257" s="107">
        <f t="shared" si="74"/>
        <v>0</v>
      </c>
      <c r="I257" s="107">
        <f t="shared" si="74"/>
        <v>0</v>
      </c>
      <c r="J257" s="107">
        <f t="shared" si="74"/>
        <v>0</v>
      </c>
      <c r="K257" s="107">
        <f t="shared" si="74"/>
        <v>0</v>
      </c>
      <c r="L257" s="107">
        <f t="shared" si="74"/>
        <v>0</v>
      </c>
      <c r="M257" s="107">
        <f t="shared" si="74"/>
        <v>0</v>
      </c>
      <c r="N257" s="107">
        <f t="shared" si="74"/>
        <v>0</v>
      </c>
      <c r="O257" s="107">
        <f t="shared" si="74"/>
        <v>0</v>
      </c>
      <c r="P257" s="107">
        <f t="shared" si="74"/>
        <v>0</v>
      </c>
      <c r="Q257" s="107">
        <f t="shared" si="74"/>
        <v>0</v>
      </c>
      <c r="R257" s="107">
        <f t="shared" si="74"/>
        <v>0</v>
      </c>
      <c r="S257" s="107">
        <f t="shared" si="74"/>
        <v>0</v>
      </c>
      <c r="T257" s="107">
        <f t="shared" si="74"/>
        <v>0</v>
      </c>
      <c r="U257" s="107">
        <f t="shared" si="74"/>
        <v>0</v>
      </c>
      <c r="V257" s="107">
        <f t="shared" si="74"/>
        <v>0</v>
      </c>
      <c r="W257" s="107">
        <f t="shared" si="74"/>
        <v>0</v>
      </c>
      <c r="X257" s="107">
        <f t="shared" si="74"/>
        <v>0</v>
      </c>
      <c r="Y257" s="107">
        <f t="shared" si="74"/>
        <v>0</v>
      </c>
      <c r="Z257" s="107">
        <f t="shared" si="74"/>
        <v>12493.43</v>
      </c>
      <c r="AA257" s="107">
        <f t="shared" si="74"/>
        <v>0</v>
      </c>
      <c r="AB257" s="107">
        <f t="shared" si="74"/>
        <v>258444.27</v>
      </c>
      <c r="AC257" s="107">
        <f t="shared" si="74"/>
        <v>0</v>
      </c>
      <c r="AD257" s="107">
        <f t="shared" si="74"/>
        <v>659924.30000000005</v>
      </c>
      <c r="AE257" s="107">
        <f t="shared" si="74"/>
        <v>0</v>
      </c>
      <c r="AF257" s="101"/>
      <c r="AG257" s="102">
        <f t="shared" si="73"/>
        <v>0</v>
      </c>
    </row>
    <row r="258" spans="1:33" x14ac:dyDescent="0.3">
      <c r="A258" s="106" t="s">
        <v>33</v>
      </c>
      <c r="B258" s="107">
        <f>B264</f>
        <v>176767.43</v>
      </c>
      <c r="C258" s="107">
        <f t="shared" si="75"/>
        <v>0</v>
      </c>
      <c r="D258" s="107">
        <f t="shared" si="75"/>
        <v>0</v>
      </c>
      <c r="E258" s="107">
        <f t="shared" si="75"/>
        <v>0</v>
      </c>
      <c r="F258" s="107">
        <f>IFERROR(E258/B258*100,0)</f>
        <v>0</v>
      </c>
      <c r="G258" s="107">
        <f>IFERROR(E258/C258*100,0)</f>
        <v>0</v>
      </c>
      <c r="H258" s="107">
        <f t="shared" si="74"/>
        <v>0</v>
      </c>
      <c r="I258" s="107">
        <f t="shared" si="74"/>
        <v>0</v>
      </c>
      <c r="J258" s="107">
        <f t="shared" si="74"/>
        <v>0</v>
      </c>
      <c r="K258" s="107">
        <f t="shared" si="74"/>
        <v>0</v>
      </c>
      <c r="L258" s="107">
        <f t="shared" si="74"/>
        <v>0</v>
      </c>
      <c r="M258" s="107">
        <f t="shared" si="74"/>
        <v>0</v>
      </c>
      <c r="N258" s="107">
        <f t="shared" si="74"/>
        <v>0</v>
      </c>
      <c r="O258" s="107">
        <f t="shared" si="74"/>
        <v>0</v>
      </c>
      <c r="P258" s="107">
        <f t="shared" si="74"/>
        <v>0</v>
      </c>
      <c r="Q258" s="107">
        <f t="shared" si="74"/>
        <v>0</v>
      </c>
      <c r="R258" s="107">
        <f t="shared" si="74"/>
        <v>0</v>
      </c>
      <c r="S258" s="107">
        <f t="shared" si="74"/>
        <v>0</v>
      </c>
      <c r="T258" s="107">
        <f t="shared" si="74"/>
        <v>0</v>
      </c>
      <c r="U258" s="107">
        <f t="shared" si="74"/>
        <v>0</v>
      </c>
      <c r="V258" s="107">
        <f t="shared" si="74"/>
        <v>0</v>
      </c>
      <c r="W258" s="107">
        <f t="shared" si="74"/>
        <v>0</v>
      </c>
      <c r="X258" s="107">
        <f t="shared" si="74"/>
        <v>0</v>
      </c>
      <c r="Y258" s="107">
        <f t="shared" si="74"/>
        <v>0</v>
      </c>
      <c r="Z258" s="107">
        <f t="shared" si="74"/>
        <v>2523.92</v>
      </c>
      <c r="AA258" s="107">
        <f t="shared" si="74"/>
        <v>0</v>
      </c>
      <c r="AB258" s="107">
        <f t="shared" si="74"/>
        <v>52210.98</v>
      </c>
      <c r="AC258" s="107">
        <f t="shared" si="74"/>
        <v>0</v>
      </c>
      <c r="AD258" s="107">
        <f>AD264</f>
        <v>122032.53</v>
      </c>
      <c r="AE258" s="107">
        <f t="shared" si="74"/>
        <v>0</v>
      </c>
      <c r="AF258" s="101"/>
      <c r="AG258" s="102">
        <f t="shared" si="73"/>
        <v>0</v>
      </c>
    </row>
    <row r="259" spans="1:33" x14ac:dyDescent="0.3">
      <c r="A259" s="106" t="s">
        <v>170</v>
      </c>
      <c r="B259" s="107">
        <f t="shared" si="75"/>
        <v>321789</v>
      </c>
      <c r="C259" s="107">
        <f t="shared" si="75"/>
        <v>0</v>
      </c>
      <c r="D259" s="107">
        <f t="shared" si="75"/>
        <v>0</v>
      </c>
      <c r="E259" s="107">
        <f t="shared" si="75"/>
        <v>0</v>
      </c>
      <c r="F259" s="107">
        <f>IFERROR(E259/B259*100,0)</f>
        <v>0</v>
      </c>
      <c r="G259" s="107">
        <f>IFERROR(E259/C259*100,0)</f>
        <v>0</v>
      </c>
      <c r="H259" s="107">
        <f t="shared" si="74"/>
        <v>0</v>
      </c>
      <c r="I259" s="107">
        <f t="shared" si="74"/>
        <v>0</v>
      </c>
      <c r="J259" s="107">
        <f t="shared" si="74"/>
        <v>0</v>
      </c>
      <c r="K259" s="107">
        <f t="shared" si="74"/>
        <v>0</v>
      </c>
      <c r="L259" s="107">
        <f t="shared" si="74"/>
        <v>0</v>
      </c>
      <c r="M259" s="107">
        <f t="shared" si="74"/>
        <v>0</v>
      </c>
      <c r="N259" s="107">
        <f t="shared" si="74"/>
        <v>0</v>
      </c>
      <c r="O259" s="107">
        <f t="shared" si="74"/>
        <v>0</v>
      </c>
      <c r="P259" s="107">
        <f t="shared" si="74"/>
        <v>0</v>
      </c>
      <c r="Q259" s="107">
        <f t="shared" si="74"/>
        <v>0</v>
      </c>
      <c r="R259" s="107">
        <f t="shared" si="74"/>
        <v>0</v>
      </c>
      <c r="S259" s="107">
        <f t="shared" si="74"/>
        <v>0</v>
      </c>
      <c r="T259" s="107">
        <f t="shared" si="74"/>
        <v>0</v>
      </c>
      <c r="U259" s="107">
        <f t="shared" si="74"/>
        <v>0</v>
      </c>
      <c r="V259" s="107">
        <f t="shared" si="74"/>
        <v>0</v>
      </c>
      <c r="W259" s="107">
        <f t="shared" si="74"/>
        <v>0</v>
      </c>
      <c r="X259" s="107">
        <f t="shared" si="74"/>
        <v>0</v>
      </c>
      <c r="Y259" s="107">
        <f t="shared" si="74"/>
        <v>0</v>
      </c>
      <c r="Z259" s="107">
        <f t="shared" si="74"/>
        <v>0</v>
      </c>
      <c r="AA259" s="107">
        <f t="shared" si="74"/>
        <v>0</v>
      </c>
      <c r="AB259" s="107">
        <f t="shared" si="74"/>
        <v>10057.94</v>
      </c>
      <c r="AC259" s="107">
        <f t="shared" si="74"/>
        <v>0</v>
      </c>
      <c r="AD259" s="107">
        <f t="shared" si="74"/>
        <v>311731.06</v>
      </c>
      <c r="AE259" s="107">
        <f t="shared" si="74"/>
        <v>0</v>
      </c>
      <c r="AF259" s="101"/>
      <c r="AG259" s="102">
        <f t="shared" si="73"/>
        <v>0</v>
      </c>
    </row>
    <row r="260" spans="1:33" ht="203.25" customHeight="1" x14ac:dyDescent="0.3">
      <c r="A260" s="778" t="s">
        <v>300</v>
      </c>
      <c r="B260" s="109"/>
      <c r="C260" s="110"/>
      <c r="D260" s="110"/>
      <c r="E260" s="110"/>
      <c r="F260" s="110"/>
      <c r="G260" s="110"/>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520" t="s">
        <v>492</v>
      </c>
      <c r="AG260" s="102">
        <f t="shared" si="73"/>
        <v>0</v>
      </c>
    </row>
    <row r="261" spans="1:33" x14ac:dyDescent="0.3">
      <c r="A261" s="112" t="s">
        <v>31</v>
      </c>
      <c r="B261" s="113">
        <f>B263+B264+B262+B265</f>
        <v>1651094.73</v>
      </c>
      <c r="C261" s="113">
        <f>C263+C264+C262+C265</f>
        <v>0</v>
      </c>
      <c r="D261" s="114">
        <f>D263+D264+D262+D265</f>
        <v>0</v>
      </c>
      <c r="E261" s="113">
        <f>E263+E264+E262+E265</f>
        <v>0</v>
      </c>
      <c r="F261" s="113">
        <f>IFERROR(E261/B261*100,0)</f>
        <v>0</v>
      </c>
      <c r="G261" s="113">
        <f>IFERROR(E261/C261*100,0)</f>
        <v>0</v>
      </c>
      <c r="H261" s="113">
        <f t="shared" ref="H261:AE261" si="76">H263+H264+H262+H265</f>
        <v>0</v>
      </c>
      <c r="I261" s="113">
        <f t="shared" si="76"/>
        <v>0</v>
      </c>
      <c r="J261" s="113">
        <f t="shared" si="76"/>
        <v>0</v>
      </c>
      <c r="K261" s="113">
        <f t="shared" si="76"/>
        <v>0</v>
      </c>
      <c r="L261" s="113">
        <f t="shared" si="76"/>
        <v>0</v>
      </c>
      <c r="M261" s="113">
        <f t="shared" si="76"/>
        <v>0</v>
      </c>
      <c r="N261" s="113">
        <f t="shared" si="76"/>
        <v>0</v>
      </c>
      <c r="O261" s="113">
        <f t="shared" si="76"/>
        <v>0</v>
      </c>
      <c r="P261" s="113">
        <f t="shared" si="76"/>
        <v>0</v>
      </c>
      <c r="Q261" s="113">
        <f t="shared" si="76"/>
        <v>0</v>
      </c>
      <c r="R261" s="113">
        <f t="shared" si="76"/>
        <v>0</v>
      </c>
      <c r="S261" s="113">
        <f t="shared" si="76"/>
        <v>0</v>
      </c>
      <c r="T261" s="113">
        <f t="shared" si="76"/>
        <v>0</v>
      </c>
      <c r="U261" s="113">
        <f t="shared" si="76"/>
        <v>0</v>
      </c>
      <c r="V261" s="113">
        <f t="shared" si="76"/>
        <v>0</v>
      </c>
      <c r="W261" s="113">
        <f t="shared" si="76"/>
        <v>0</v>
      </c>
      <c r="X261" s="113">
        <f t="shared" si="76"/>
        <v>0</v>
      </c>
      <c r="Y261" s="113">
        <f t="shared" si="76"/>
        <v>0</v>
      </c>
      <c r="Z261" s="113">
        <f t="shared" si="76"/>
        <v>25239.239999999998</v>
      </c>
      <c r="AA261" s="113">
        <f t="shared" si="76"/>
        <v>0</v>
      </c>
      <c r="AB261" s="113">
        <f>AB263+AB264+AB262+AB265</f>
        <v>532167.6</v>
      </c>
      <c r="AC261" s="113">
        <f t="shared" si="76"/>
        <v>0</v>
      </c>
      <c r="AD261" s="113">
        <f t="shared" si="76"/>
        <v>1093687.8900000001</v>
      </c>
      <c r="AE261" s="113">
        <f t="shared" si="76"/>
        <v>0</v>
      </c>
      <c r="AF261" s="29"/>
      <c r="AG261" s="102">
        <f t="shared" si="73"/>
        <v>0</v>
      </c>
    </row>
    <row r="262" spans="1:33" x14ac:dyDescent="0.3">
      <c r="A262" s="115" t="s">
        <v>169</v>
      </c>
      <c r="B262" s="116">
        <f>J262+L262+N262+P262+R262+T262+V262+X262+Z262+AB262+AD262+H262</f>
        <v>221676.3</v>
      </c>
      <c r="C262" s="117">
        <f>SUM(H262)</f>
        <v>0</v>
      </c>
      <c r="D262" s="780">
        <f>E262</f>
        <v>0</v>
      </c>
      <c r="E262" s="117">
        <f>SUM(I262,K262,M262,O262,Q262,S262,U262,W262,Y262,AA262,AC262,AE262)</f>
        <v>0</v>
      </c>
      <c r="F262" s="116">
        <f>IFERROR(E262/B262*100,0)</f>
        <v>0</v>
      </c>
      <c r="G262" s="116">
        <f>IFERROR(E262/C262*100,0)</f>
        <v>0</v>
      </c>
      <c r="H262" s="111"/>
      <c r="I262" s="111"/>
      <c r="J262" s="111"/>
      <c r="K262" s="111"/>
      <c r="L262" s="111"/>
      <c r="M262" s="111"/>
      <c r="N262" s="111"/>
      <c r="O262" s="111"/>
      <c r="P262" s="111"/>
      <c r="Q262" s="111"/>
      <c r="R262" s="111"/>
      <c r="S262" s="111"/>
      <c r="T262" s="111"/>
      <c r="U262" s="111"/>
      <c r="V262" s="111"/>
      <c r="W262" s="111"/>
      <c r="X262" s="111"/>
      <c r="Y262" s="111"/>
      <c r="Z262" s="111">
        <v>10221.89</v>
      </c>
      <c r="AA262" s="111"/>
      <c r="AB262" s="111">
        <v>211454.41</v>
      </c>
      <c r="AC262" s="111"/>
      <c r="AD262" s="111"/>
      <c r="AE262" s="111"/>
      <c r="AF262" s="29"/>
      <c r="AG262" s="102">
        <f t="shared" si="73"/>
        <v>-2.9103830456733704E-11</v>
      </c>
    </row>
    <row r="263" spans="1:33" x14ac:dyDescent="0.3">
      <c r="A263" s="115" t="s">
        <v>32</v>
      </c>
      <c r="B263" s="116">
        <f>J263+L263+N263+P263+R263+T263+V263+X263+Z263+AB263+AD263+H263</f>
        <v>930862</v>
      </c>
      <c r="C263" s="117">
        <f>SUM(H263)</f>
        <v>0</v>
      </c>
      <c r="D263" s="118">
        <f>E263</f>
        <v>0</v>
      </c>
      <c r="E263" s="117">
        <f>SUM(I263,K263,M263,O263,Q263,S263,U263,W263,Y263,AA263,AC263,AE263)</f>
        <v>0</v>
      </c>
      <c r="F263" s="116">
        <f>IFERROR(E263/B263*100,0)</f>
        <v>0</v>
      </c>
      <c r="G263" s="116">
        <f>IFERROR(E263/C263*100,0)</f>
        <v>0</v>
      </c>
      <c r="H263" s="111"/>
      <c r="I263" s="111"/>
      <c r="J263" s="111"/>
      <c r="K263" s="111"/>
      <c r="L263" s="111"/>
      <c r="M263" s="111"/>
      <c r="N263" s="111"/>
      <c r="O263" s="111"/>
      <c r="P263" s="111"/>
      <c r="Q263" s="111"/>
      <c r="R263" s="111"/>
      <c r="S263" s="111"/>
      <c r="T263" s="111"/>
      <c r="U263" s="111"/>
      <c r="V263" s="111"/>
      <c r="W263" s="111"/>
      <c r="X263" s="111"/>
      <c r="Y263" s="111"/>
      <c r="Z263" s="111">
        <v>12493.43</v>
      </c>
      <c r="AA263" s="111"/>
      <c r="AB263" s="111">
        <v>258444.27</v>
      </c>
      <c r="AC263" s="111"/>
      <c r="AD263" s="111">
        <v>659924.30000000005</v>
      </c>
      <c r="AE263" s="111"/>
      <c r="AF263" s="29"/>
      <c r="AG263" s="102">
        <f t="shared" si="73"/>
        <v>0</v>
      </c>
    </row>
    <row r="264" spans="1:33" x14ac:dyDescent="0.3">
      <c r="A264" s="115" t="s">
        <v>33</v>
      </c>
      <c r="B264" s="622">
        <f>J264+L264+N264+P264+R264+T264+V264+X264+Z264+AB264+AD264+H264</f>
        <v>176767.43</v>
      </c>
      <c r="C264" s="117">
        <f>SUM(H264)</f>
        <v>0</v>
      </c>
      <c r="D264" s="118">
        <f>E264</f>
        <v>0</v>
      </c>
      <c r="E264" s="117">
        <f>SUM(I264,K264,M264,O264,Q264,S264,U264,W264,Y264,AA264,AC264,AE264)</f>
        <v>0</v>
      </c>
      <c r="F264" s="116">
        <f>IFERROR(E264/B264*100,0)</f>
        <v>0</v>
      </c>
      <c r="G264" s="116">
        <f>IFERROR(E264/C264*100,0)</f>
        <v>0</v>
      </c>
      <c r="H264" s="111"/>
      <c r="I264" s="111"/>
      <c r="J264" s="111"/>
      <c r="K264" s="111"/>
      <c r="L264" s="111"/>
      <c r="M264" s="111"/>
      <c r="N264" s="111"/>
      <c r="O264" s="111"/>
      <c r="P264" s="111"/>
      <c r="Q264" s="111"/>
      <c r="R264" s="111"/>
      <c r="S264" s="111"/>
      <c r="T264" s="111"/>
      <c r="U264" s="111"/>
      <c r="V264" s="111"/>
      <c r="W264" s="111"/>
      <c r="X264" s="111"/>
      <c r="Y264" s="111"/>
      <c r="Z264" s="111">
        <v>2523.92</v>
      </c>
      <c r="AA264" s="111"/>
      <c r="AB264" s="111">
        <v>52210.98</v>
      </c>
      <c r="AC264" s="111"/>
      <c r="AD264" s="111">
        <v>122032.53</v>
      </c>
      <c r="AE264" s="111"/>
      <c r="AF264" s="29"/>
      <c r="AG264" s="102">
        <f t="shared" si="73"/>
        <v>0</v>
      </c>
    </row>
    <row r="265" spans="1:33" x14ac:dyDescent="0.3">
      <c r="A265" s="115" t="s">
        <v>170</v>
      </c>
      <c r="B265" s="116">
        <f>J265+L265+N265+P265+R265+T265+V265+X265+Z265+AB265+AD265+H265</f>
        <v>321789</v>
      </c>
      <c r="C265" s="117"/>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v>10057.94</v>
      </c>
      <c r="AC265" s="111"/>
      <c r="AD265" s="111">
        <v>311731.06</v>
      </c>
      <c r="AE265" s="111"/>
      <c r="AF265" s="29"/>
      <c r="AG265" s="102">
        <f t="shared" si="73"/>
        <v>0</v>
      </c>
    </row>
    <row r="266" spans="1:33" ht="56.25" customHeight="1" x14ac:dyDescent="0.3">
      <c r="A266" s="98" t="s">
        <v>301</v>
      </c>
      <c r="B266" s="99"/>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1"/>
      <c r="AG266" s="102">
        <f t="shared" ref="AG266:AG271" si="77">B266-H266-J266-L266-N266-P266-R266-T266-V266-X266-Z266-AB266-AD266</f>
        <v>0</v>
      </c>
    </row>
    <row r="267" spans="1:33" x14ac:dyDescent="0.3">
      <c r="A267" s="103" t="s">
        <v>31</v>
      </c>
      <c r="B267" s="104">
        <f>B268+B269+B270+B271</f>
        <v>0</v>
      </c>
      <c r="C267" s="104">
        <f>C268+C269+C270+C271</f>
        <v>0</v>
      </c>
      <c r="D267" s="104">
        <f>D268+D269+D270+D271</f>
        <v>0</v>
      </c>
      <c r="E267" s="104">
        <f>E268+E269+E270+E271</f>
        <v>0</v>
      </c>
      <c r="F267" s="105">
        <f>IFERROR(E267/B267*100,0)</f>
        <v>0</v>
      </c>
      <c r="G267" s="105">
        <f>IFERROR(E267/C267*100,0)</f>
        <v>0</v>
      </c>
      <c r="H267" s="104">
        <f>H268+H269+H270+H271</f>
        <v>0</v>
      </c>
      <c r="I267" s="104">
        <f t="shared" ref="I267:AE267" si="78">I268+I269+I270+I271</f>
        <v>0</v>
      </c>
      <c r="J267" s="104">
        <f t="shared" si="78"/>
        <v>0</v>
      </c>
      <c r="K267" s="104">
        <f t="shared" si="78"/>
        <v>0</v>
      </c>
      <c r="L267" s="104">
        <f t="shared" si="78"/>
        <v>0</v>
      </c>
      <c r="M267" s="104">
        <f t="shared" si="78"/>
        <v>0</v>
      </c>
      <c r="N267" s="104">
        <f t="shared" si="78"/>
        <v>0</v>
      </c>
      <c r="O267" s="104">
        <f t="shared" si="78"/>
        <v>0</v>
      </c>
      <c r="P267" s="104">
        <f t="shared" si="78"/>
        <v>0</v>
      </c>
      <c r="Q267" s="104">
        <f t="shared" si="78"/>
        <v>0</v>
      </c>
      <c r="R267" s="104">
        <f t="shared" si="78"/>
        <v>0</v>
      </c>
      <c r="S267" s="104">
        <f t="shared" si="78"/>
        <v>0</v>
      </c>
      <c r="T267" s="104">
        <f t="shared" si="78"/>
        <v>0</v>
      </c>
      <c r="U267" s="104">
        <f t="shared" si="78"/>
        <v>0</v>
      </c>
      <c r="V267" s="104">
        <f t="shared" si="78"/>
        <v>0</v>
      </c>
      <c r="W267" s="104">
        <f t="shared" si="78"/>
        <v>0</v>
      </c>
      <c r="X267" s="104">
        <f t="shared" si="78"/>
        <v>0</v>
      </c>
      <c r="Y267" s="104">
        <f t="shared" si="78"/>
        <v>0</v>
      </c>
      <c r="Z267" s="104">
        <f t="shared" si="78"/>
        <v>0</v>
      </c>
      <c r="AA267" s="104">
        <f t="shared" si="78"/>
        <v>0</v>
      </c>
      <c r="AB267" s="104">
        <f t="shared" si="78"/>
        <v>0</v>
      </c>
      <c r="AC267" s="104">
        <f t="shared" si="78"/>
        <v>0</v>
      </c>
      <c r="AD267" s="104">
        <f t="shared" si="78"/>
        <v>0</v>
      </c>
      <c r="AE267" s="104">
        <f t="shared" si="78"/>
        <v>0</v>
      </c>
      <c r="AF267" s="101"/>
      <c r="AG267" s="102">
        <f t="shared" si="77"/>
        <v>0</v>
      </c>
    </row>
    <row r="268" spans="1:33" x14ac:dyDescent="0.3">
      <c r="A268" s="106" t="s">
        <v>169</v>
      </c>
      <c r="B268" s="107">
        <f>J268+L268+N268+P268+R268+T268+V268+X268+Z268+AB268+AD268+H268</f>
        <v>0</v>
      </c>
      <c r="C268" s="107">
        <f>SUM(H268)</f>
        <v>0</v>
      </c>
      <c r="D268" s="107">
        <f>E268</f>
        <v>0</v>
      </c>
      <c r="E268" s="107">
        <f>SUM(I268,K268,M268,O268,Q268,S268,U268,W268,Y268,AA268,AC268,AE268)</f>
        <v>0</v>
      </c>
      <c r="F268" s="107">
        <f>IFERROR(E268/B268*100,0)</f>
        <v>0</v>
      </c>
      <c r="G268" s="107">
        <f>IFERROR(E268/C268*100,0)</f>
        <v>0</v>
      </c>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1"/>
      <c r="AG268" s="102">
        <f t="shared" si="77"/>
        <v>0</v>
      </c>
    </row>
    <row r="269" spans="1:33" x14ac:dyDescent="0.3">
      <c r="A269" s="106" t="s">
        <v>32</v>
      </c>
      <c r="B269" s="107">
        <f>J269+L269+N269+P269+R269+T269+V269+X269+Z269+AB269+AD269+H269</f>
        <v>0</v>
      </c>
      <c r="C269" s="107">
        <f>SUM(H269)</f>
        <v>0</v>
      </c>
      <c r="D269" s="107">
        <f>E269</f>
        <v>0</v>
      </c>
      <c r="E269" s="107">
        <f>SUM(I269,K269,M269,O269,Q269,S269,U269,W269,Y269,AA269,AC269,AE269)</f>
        <v>0</v>
      </c>
      <c r="F269" s="107">
        <f>IFERROR(E269/B269*100,0)</f>
        <v>0</v>
      </c>
      <c r="G269" s="107">
        <f>IFERROR(E269/C269*100,0)</f>
        <v>0</v>
      </c>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1"/>
      <c r="AG269" s="102">
        <f t="shared" si="77"/>
        <v>0</v>
      </c>
    </row>
    <row r="270" spans="1:33" x14ac:dyDescent="0.3">
      <c r="A270" s="106" t="s">
        <v>33</v>
      </c>
      <c r="B270" s="107">
        <f>J270+L270+N270+P270+R270+T270+V270+X270+Z270+AB270+AD270+H270</f>
        <v>0</v>
      </c>
      <c r="C270" s="107">
        <f>SUM(H270)</f>
        <v>0</v>
      </c>
      <c r="D270" s="107">
        <f>E270</f>
        <v>0</v>
      </c>
      <c r="E270" s="107">
        <f>SUM(I270,K270,M270,O270,Q270,S270,U270,W270,Y270,AA270,AC270,AE270)</f>
        <v>0</v>
      </c>
      <c r="F270" s="107">
        <f>IFERROR(E270/B270*100,0)</f>
        <v>0</v>
      </c>
      <c r="G270" s="107">
        <f>IFERROR(E270/C270*100,0)</f>
        <v>0</v>
      </c>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1"/>
      <c r="AG270" s="102">
        <f t="shared" si="77"/>
        <v>0</v>
      </c>
    </row>
    <row r="271" spans="1:33" x14ac:dyDescent="0.3">
      <c r="A271" s="106" t="s">
        <v>170</v>
      </c>
      <c r="B271" s="107">
        <f>J271+L271+N271+P271+R271+T271+V271+X271+Z271+AB271+AD271+H271</f>
        <v>0</v>
      </c>
      <c r="C271" s="107">
        <f>SUM(H271)</f>
        <v>0</v>
      </c>
      <c r="D271" s="107">
        <f>E271</f>
        <v>0</v>
      </c>
      <c r="E271" s="107">
        <f>SUM(I271,K271,M271,O271,Q271,S271,U271,W271,Y271,AA271,AC271,AE271)</f>
        <v>0</v>
      </c>
      <c r="F271" s="107">
        <f>IFERROR(E271/B271*100,0)</f>
        <v>0</v>
      </c>
      <c r="G271" s="107">
        <f>IFERROR(E271/C271*100,0)</f>
        <v>0</v>
      </c>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1"/>
      <c r="AG271" s="102">
        <f t="shared" si="77"/>
        <v>0</v>
      </c>
    </row>
    <row r="272" spans="1:33" x14ac:dyDescent="0.3">
      <c r="A272" s="1058" t="s">
        <v>54</v>
      </c>
      <c r="B272" s="1059"/>
      <c r="C272" s="1059"/>
      <c r="D272" s="1059"/>
      <c r="E272" s="1059"/>
      <c r="F272" s="1059"/>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59"/>
      <c r="AE272" s="1059"/>
      <c r="AF272" s="1060"/>
      <c r="AG272" s="102">
        <f t="shared" si="37"/>
        <v>0</v>
      </c>
    </row>
    <row r="273" spans="1:33" ht="56.25" x14ac:dyDescent="0.3">
      <c r="A273" s="98" t="s">
        <v>302</v>
      </c>
      <c r="B273" s="143"/>
      <c r="C273" s="144"/>
      <c r="D273" s="144"/>
      <c r="E273" s="144"/>
      <c r="F273" s="144"/>
      <c r="G273" s="144"/>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01"/>
      <c r="AG273" s="102">
        <f t="shared" si="37"/>
        <v>0</v>
      </c>
    </row>
    <row r="274" spans="1:33" x14ac:dyDescent="0.3">
      <c r="A274" s="145" t="s">
        <v>31</v>
      </c>
      <c r="B274" s="104">
        <f>B275+B276+B277+B278</f>
        <v>63044.200999999994</v>
      </c>
      <c r="C274" s="104">
        <f>C275+C276+C277+C278</f>
        <v>23302.041000000001</v>
      </c>
      <c r="D274" s="104">
        <f>D275+D276+D277+D278</f>
        <v>33898.080000000002</v>
      </c>
      <c r="E274" s="104">
        <f>E275+E276+E277+E278</f>
        <v>33898.080000000002</v>
      </c>
      <c r="F274" s="107">
        <f>IFERROR(E274/B274*100,0)</f>
        <v>53.768751863474343</v>
      </c>
      <c r="G274" s="107">
        <f>IFERROR(E274/C274*100,0)</f>
        <v>145.47257898996918</v>
      </c>
      <c r="H274" s="104">
        <f t="shared" ref="H274:AE274" si="79">H275+H276+H277+H278</f>
        <v>5906.3990000000003</v>
      </c>
      <c r="I274" s="104">
        <f t="shared" si="79"/>
        <v>4337.3</v>
      </c>
      <c r="J274" s="104">
        <f t="shared" si="79"/>
        <v>7622.0030000000006</v>
      </c>
      <c r="K274" s="104">
        <f t="shared" si="79"/>
        <v>8336</v>
      </c>
      <c r="L274" s="104">
        <f t="shared" si="79"/>
        <v>5109.2690000000002</v>
      </c>
      <c r="M274" s="104">
        <f t="shared" si="79"/>
        <v>4409.41</v>
      </c>
      <c r="N274" s="104">
        <f t="shared" si="79"/>
        <v>4664.37</v>
      </c>
      <c r="O274" s="104">
        <f t="shared" si="79"/>
        <v>4500.7299999999996</v>
      </c>
      <c r="P274" s="104">
        <f t="shared" si="79"/>
        <v>10177.451000000001</v>
      </c>
      <c r="Q274" s="104">
        <f t="shared" si="79"/>
        <v>8177.45</v>
      </c>
      <c r="R274" s="104">
        <f t="shared" si="79"/>
        <v>9085.4714000000004</v>
      </c>
      <c r="S274" s="104">
        <f t="shared" si="79"/>
        <v>4137.1899999999996</v>
      </c>
      <c r="T274" s="104">
        <f t="shared" si="79"/>
        <v>4383.4030000000002</v>
      </c>
      <c r="U274" s="104">
        <f t="shared" si="79"/>
        <v>0</v>
      </c>
      <c r="V274" s="104">
        <f t="shared" si="79"/>
        <v>4911.7543999999998</v>
      </c>
      <c r="W274" s="104">
        <f t="shared" si="79"/>
        <v>0</v>
      </c>
      <c r="X274" s="104">
        <f t="shared" si="79"/>
        <v>3066.8019999999997</v>
      </c>
      <c r="Y274" s="104">
        <f t="shared" si="79"/>
        <v>0</v>
      </c>
      <c r="Z274" s="104">
        <f t="shared" si="79"/>
        <v>3727.5829999999996</v>
      </c>
      <c r="AA274" s="104">
        <f t="shared" si="79"/>
        <v>0</v>
      </c>
      <c r="AB274" s="104">
        <f t="shared" si="79"/>
        <v>1989</v>
      </c>
      <c r="AC274" s="104">
        <f t="shared" si="79"/>
        <v>0</v>
      </c>
      <c r="AD274" s="104">
        <f t="shared" si="79"/>
        <v>2400.6952000000001</v>
      </c>
      <c r="AE274" s="104">
        <f t="shared" si="79"/>
        <v>0</v>
      </c>
      <c r="AF274" s="101"/>
      <c r="AG274" s="102">
        <f t="shared" si="37"/>
        <v>-6.3664629124104977E-12</v>
      </c>
    </row>
    <row r="275" spans="1:33" x14ac:dyDescent="0.3">
      <c r="A275" s="146" t="s">
        <v>169</v>
      </c>
      <c r="B275" s="107">
        <f>J275+L275+N275+P275+R275+T275+V275+X275+Z275+AB275+AD275+H275</f>
        <v>0</v>
      </c>
      <c r="C275" s="107">
        <f>SUM(H275)</f>
        <v>0</v>
      </c>
      <c r="D275" s="107">
        <f>E275</f>
        <v>0</v>
      </c>
      <c r="E275" s="107">
        <f>SUM(I275,K275,M275,O275,Q275,S275,U275,W275,Y275,AA275,AC275,AE275)</f>
        <v>0</v>
      </c>
      <c r="F275" s="107">
        <f>IFERROR(E275/B275*100,0)</f>
        <v>0</v>
      </c>
      <c r="G275" s="107">
        <f>IFERROR(E275/C275*100,0)</f>
        <v>0</v>
      </c>
      <c r="H275" s="107">
        <f>H281+H287+H293</f>
        <v>0</v>
      </c>
      <c r="I275" s="107">
        <f t="shared" ref="I275:AE278" si="80">I281+I287+I293</f>
        <v>0</v>
      </c>
      <c r="J275" s="107">
        <f t="shared" si="80"/>
        <v>0</v>
      </c>
      <c r="K275" s="107">
        <f t="shared" si="80"/>
        <v>0</v>
      </c>
      <c r="L275" s="107">
        <f t="shared" si="80"/>
        <v>0</v>
      </c>
      <c r="M275" s="107">
        <f t="shared" si="80"/>
        <v>0</v>
      </c>
      <c r="N275" s="107">
        <f t="shared" si="80"/>
        <v>0</v>
      </c>
      <c r="O275" s="107">
        <f t="shared" si="80"/>
        <v>0</v>
      </c>
      <c r="P275" s="107">
        <f t="shared" si="80"/>
        <v>0</v>
      </c>
      <c r="Q275" s="107">
        <f t="shared" si="80"/>
        <v>0</v>
      </c>
      <c r="R275" s="107">
        <f t="shared" si="80"/>
        <v>0</v>
      </c>
      <c r="S275" s="107">
        <f t="shared" si="80"/>
        <v>0</v>
      </c>
      <c r="T275" s="107">
        <f t="shared" si="80"/>
        <v>0</v>
      </c>
      <c r="U275" s="107">
        <f t="shared" si="80"/>
        <v>0</v>
      </c>
      <c r="V275" s="107">
        <f t="shared" si="80"/>
        <v>0</v>
      </c>
      <c r="W275" s="107">
        <f t="shared" si="80"/>
        <v>0</v>
      </c>
      <c r="X275" s="107">
        <f t="shared" si="80"/>
        <v>0</v>
      </c>
      <c r="Y275" s="107">
        <f t="shared" si="80"/>
        <v>0</v>
      </c>
      <c r="Z275" s="107">
        <f t="shared" si="80"/>
        <v>0</v>
      </c>
      <c r="AA275" s="107">
        <f t="shared" si="80"/>
        <v>0</v>
      </c>
      <c r="AB275" s="107">
        <f t="shared" si="80"/>
        <v>0</v>
      </c>
      <c r="AC275" s="107">
        <f t="shared" si="80"/>
        <v>0</v>
      </c>
      <c r="AD275" s="107">
        <f t="shared" si="80"/>
        <v>0</v>
      </c>
      <c r="AE275" s="107">
        <f t="shared" si="80"/>
        <v>0</v>
      </c>
      <c r="AF275" s="101"/>
      <c r="AG275" s="102">
        <f t="shared" si="37"/>
        <v>0</v>
      </c>
    </row>
    <row r="276" spans="1:33" x14ac:dyDescent="0.3">
      <c r="A276" s="146" t="s">
        <v>32</v>
      </c>
      <c r="B276" s="107">
        <f>J276+L276+N276+P276+R276+T276+V276+X276+Z276+AB276+AD276+H276</f>
        <v>0</v>
      </c>
      <c r="C276" s="107">
        <f>SUM(H276)</f>
        <v>0</v>
      </c>
      <c r="D276" s="107">
        <f>E276</f>
        <v>0</v>
      </c>
      <c r="E276" s="107">
        <f>SUM(I276,K276,M276,O276,Q276,S276,U276,W276,Y276,AA276,AC276,AE276)</f>
        <v>0</v>
      </c>
      <c r="F276" s="107">
        <f>IFERROR(E276/B276*100,0)</f>
        <v>0</v>
      </c>
      <c r="G276" s="107">
        <f>IFERROR(E276/C276*100,0)</f>
        <v>0</v>
      </c>
      <c r="H276" s="107">
        <f>H282+H288+H294</f>
        <v>0</v>
      </c>
      <c r="I276" s="107">
        <f t="shared" ref="I276:W276" si="81">I282+I288+I294</f>
        <v>0</v>
      </c>
      <c r="J276" s="107">
        <f t="shared" si="81"/>
        <v>0</v>
      </c>
      <c r="K276" s="107">
        <f t="shared" si="81"/>
        <v>0</v>
      </c>
      <c r="L276" s="107">
        <f t="shared" si="81"/>
        <v>0</v>
      </c>
      <c r="M276" s="107">
        <f t="shared" si="81"/>
        <v>0</v>
      </c>
      <c r="N276" s="107">
        <f t="shared" si="81"/>
        <v>0</v>
      </c>
      <c r="O276" s="107">
        <f t="shared" si="81"/>
        <v>0</v>
      </c>
      <c r="P276" s="107">
        <f t="shared" si="81"/>
        <v>0</v>
      </c>
      <c r="Q276" s="107">
        <f t="shared" si="81"/>
        <v>0</v>
      </c>
      <c r="R276" s="107">
        <f t="shared" si="81"/>
        <v>0</v>
      </c>
      <c r="S276" s="107">
        <f t="shared" si="81"/>
        <v>0</v>
      </c>
      <c r="T276" s="107">
        <f t="shared" si="81"/>
        <v>0</v>
      </c>
      <c r="U276" s="107">
        <f t="shared" si="81"/>
        <v>0</v>
      </c>
      <c r="V276" s="107">
        <f t="shared" si="81"/>
        <v>0</v>
      </c>
      <c r="W276" s="107">
        <f t="shared" si="81"/>
        <v>0</v>
      </c>
      <c r="X276" s="107">
        <f t="shared" si="80"/>
        <v>0</v>
      </c>
      <c r="Y276" s="107">
        <f t="shared" si="80"/>
        <v>0</v>
      </c>
      <c r="Z276" s="107">
        <f t="shared" si="80"/>
        <v>0</v>
      </c>
      <c r="AA276" s="107">
        <f t="shared" si="80"/>
        <v>0</v>
      </c>
      <c r="AB276" s="107">
        <f t="shared" si="80"/>
        <v>0</v>
      </c>
      <c r="AC276" s="107">
        <f t="shared" si="80"/>
        <v>0</v>
      </c>
      <c r="AD276" s="107">
        <f t="shared" si="80"/>
        <v>0</v>
      </c>
      <c r="AE276" s="107">
        <f t="shared" si="80"/>
        <v>0</v>
      </c>
      <c r="AF276" s="101"/>
      <c r="AG276" s="102">
        <f t="shared" si="37"/>
        <v>0</v>
      </c>
    </row>
    <row r="277" spans="1:33" x14ac:dyDescent="0.3">
      <c r="A277" s="146" t="s">
        <v>33</v>
      </c>
      <c r="B277" s="107">
        <f>J277+L277+N277+P277+R277+T277+V277+X277+Z277+AB277+AD277+H277</f>
        <v>63044.200999999994</v>
      </c>
      <c r="C277" s="107">
        <f>SUM(H277+J277+L277+N277)</f>
        <v>23302.041000000001</v>
      </c>
      <c r="D277" s="107">
        <f>E277</f>
        <v>33898.080000000002</v>
      </c>
      <c r="E277" s="107">
        <f>SUM(I277,K277,M277,O277,Q277,S277,U277,W277,Y277,AA277,AC277,AE277)</f>
        <v>33898.080000000002</v>
      </c>
      <c r="F277" s="107">
        <f>IFERROR(E277/B277*100,0)</f>
        <v>53.768751863474343</v>
      </c>
      <c r="G277" s="107">
        <f>IFERROR(E277/C277*100,0)</f>
        <v>145.47257898996918</v>
      </c>
      <c r="H277" s="107">
        <f>H283+H289+H295</f>
        <v>5906.3990000000003</v>
      </c>
      <c r="I277" s="107">
        <f t="shared" si="80"/>
        <v>4337.3</v>
      </c>
      <c r="J277" s="107">
        <f>J283+J289+J295</f>
        <v>7622.0030000000006</v>
      </c>
      <c r="K277" s="107">
        <f t="shared" si="80"/>
        <v>8336</v>
      </c>
      <c r="L277" s="107">
        <f t="shared" si="80"/>
        <v>5109.2690000000002</v>
      </c>
      <c r="M277" s="107">
        <f t="shared" si="80"/>
        <v>4409.41</v>
      </c>
      <c r="N277" s="107">
        <f t="shared" si="80"/>
        <v>4664.37</v>
      </c>
      <c r="O277" s="107">
        <f t="shared" si="80"/>
        <v>4500.7299999999996</v>
      </c>
      <c r="P277" s="107">
        <f t="shared" si="80"/>
        <v>10177.451000000001</v>
      </c>
      <c r="Q277" s="107">
        <f t="shared" si="80"/>
        <v>8177.45</v>
      </c>
      <c r="R277" s="107">
        <f t="shared" si="80"/>
        <v>9085.4714000000004</v>
      </c>
      <c r="S277" s="107">
        <f t="shared" si="80"/>
        <v>4137.1899999999996</v>
      </c>
      <c r="T277" s="107">
        <f t="shared" si="80"/>
        <v>4383.4030000000002</v>
      </c>
      <c r="U277" s="107">
        <f t="shared" si="80"/>
        <v>0</v>
      </c>
      <c r="V277" s="107">
        <f t="shared" si="80"/>
        <v>4911.7543999999998</v>
      </c>
      <c r="W277" s="107">
        <f t="shared" si="80"/>
        <v>0</v>
      </c>
      <c r="X277" s="107">
        <f t="shared" si="80"/>
        <v>3066.8019999999997</v>
      </c>
      <c r="Y277" s="107">
        <f t="shared" si="80"/>
        <v>0</v>
      </c>
      <c r="Z277" s="107">
        <f t="shared" si="80"/>
        <v>3727.5829999999996</v>
      </c>
      <c r="AA277" s="107">
        <f t="shared" si="80"/>
        <v>0</v>
      </c>
      <c r="AB277" s="107">
        <f t="shared" si="80"/>
        <v>1989</v>
      </c>
      <c r="AC277" s="107">
        <f t="shared" si="80"/>
        <v>0</v>
      </c>
      <c r="AD277" s="107">
        <f t="shared" si="80"/>
        <v>2400.6952000000001</v>
      </c>
      <c r="AE277" s="107">
        <f t="shared" si="80"/>
        <v>0</v>
      </c>
      <c r="AF277" s="101"/>
      <c r="AG277" s="102">
        <f t="shared" si="37"/>
        <v>-6.3664629124104977E-12</v>
      </c>
    </row>
    <row r="278" spans="1:33" x14ac:dyDescent="0.3">
      <c r="A278" s="146" t="s">
        <v>170</v>
      </c>
      <c r="B278" s="107">
        <f>J278+L278+N278+P278+R278+T278+V278+X278+Z278+AB278+AD278+H278</f>
        <v>0</v>
      </c>
      <c r="C278" s="107">
        <f>SUM(H278)</f>
        <v>0</v>
      </c>
      <c r="D278" s="107">
        <f>E278</f>
        <v>0</v>
      </c>
      <c r="E278" s="107">
        <f>SUM(I278,K278,M278,O278,Q278,S278,U278,W278,Y278,AA278,AC278,AE278)</f>
        <v>0</v>
      </c>
      <c r="F278" s="107">
        <f>IFERROR(E278/B278*100,0)</f>
        <v>0</v>
      </c>
      <c r="G278" s="107">
        <f>IFERROR(E278/C278*100,0)</f>
        <v>0</v>
      </c>
      <c r="H278" s="107">
        <f>H284+H290+H296</f>
        <v>0</v>
      </c>
      <c r="I278" s="107">
        <f t="shared" si="80"/>
        <v>0</v>
      </c>
      <c r="J278" s="107">
        <f t="shared" si="80"/>
        <v>0</v>
      </c>
      <c r="K278" s="107">
        <f t="shared" si="80"/>
        <v>0</v>
      </c>
      <c r="L278" s="107">
        <f t="shared" si="80"/>
        <v>0</v>
      </c>
      <c r="M278" s="107">
        <f t="shared" si="80"/>
        <v>0</v>
      </c>
      <c r="N278" s="107">
        <f t="shared" si="80"/>
        <v>0</v>
      </c>
      <c r="O278" s="107">
        <f t="shared" si="80"/>
        <v>0</v>
      </c>
      <c r="P278" s="107">
        <f t="shared" si="80"/>
        <v>0</v>
      </c>
      <c r="Q278" s="107">
        <f t="shared" si="80"/>
        <v>0</v>
      </c>
      <c r="R278" s="107">
        <f t="shared" si="80"/>
        <v>0</v>
      </c>
      <c r="S278" s="107">
        <f t="shared" si="80"/>
        <v>0</v>
      </c>
      <c r="T278" s="107">
        <f t="shared" si="80"/>
        <v>0</v>
      </c>
      <c r="U278" s="107">
        <f t="shared" si="80"/>
        <v>0</v>
      </c>
      <c r="V278" s="107">
        <f t="shared" si="80"/>
        <v>0</v>
      </c>
      <c r="W278" s="107">
        <f t="shared" si="80"/>
        <v>0</v>
      </c>
      <c r="X278" s="107">
        <f t="shared" si="80"/>
        <v>0</v>
      </c>
      <c r="Y278" s="107">
        <f t="shared" si="80"/>
        <v>0</v>
      </c>
      <c r="Z278" s="107">
        <f t="shared" si="80"/>
        <v>0</v>
      </c>
      <c r="AA278" s="107">
        <f t="shared" si="80"/>
        <v>0</v>
      </c>
      <c r="AB278" s="107">
        <f t="shared" si="80"/>
        <v>0</v>
      </c>
      <c r="AC278" s="107">
        <f t="shared" si="80"/>
        <v>0</v>
      </c>
      <c r="AD278" s="107">
        <f t="shared" si="80"/>
        <v>0</v>
      </c>
      <c r="AE278" s="107">
        <f t="shared" si="80"/>
        <v>0</v>
      </c>
      <c r="AF278" s="101"/>
      <c r="AG278" s="102">
        <f t="shared" si="37"/>
        <v>0</v>
      </c>
    </row>
    <row r="279" spans="1:33" ht="134.25" customHeight="1" x14ac:dyDescent="0.3">
      <c r="A279" s="778" t="s">
        <v>303</v>
      </c>
      <c r="B279" s="622"/>
      <c r="C279" s="630"/>
      <c r="D279" s="110"/>
      <c r="E279" s="110"/>
      <c r="F279" s="110"/>
      <c r="G279" s="110"/>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29"/>
      <c r="AG279" s="102">
        <f t="shared" si="37"/>
        <v>0</v>
      </c>
    </row>
    <row r="280" spans="1:33" x14ac:dyDescent="0.3">
      <c r="A280" s="618" t="s">
        <v>31</v>
      </c>
      <c r="B280" s="619">
        <f>B282+B283+B281+B284</f>
        <v>49088.5</v>
      </c>
      <c r="C280" s="619">
        <f>C282+C283+C281+C284</f>
        <v>31862.5484</v>
      </c>
      <c r="D280" s="114">
        <f>D282+D283+D281+D284</f>
        <v>23235.659999999996</v>
      </c>
      <c r="E280" s="113">
        <f>E282+E283+E281+E284</f>
        <v>23235.659999999996</v>
      </c>
      <c r="F280" s="113">
        <f>IFERROR(E280/B280*100,0)</f>
        <v>47.334222883159995</v>
      </c>
      <c r="G280" s="113">
        <f>IFERROR(E280/C280*100,0)</f>
        <v>72.924675416107007</v>
      </c>
      <c r="H280" s="113">
        <f t="shared" ref="H280:AE280" si="82">H282+H283+H281+H284</f>
        <v>4939</v>
      </c>
      <c r="I280" s="113">
        <f t="shared" si="82"/>
        <v>3369.9</v>
      </c>
      <c r="J280" s="113">
        <f t="shared" si="82"/>
        <v>3643.4</v>
      </c>
      <c r="K280" s="113">
        <f t="shared" si="82"/>
        <v>4397.3999999999996</v>
      </c>
      <c r="L280" s="113">
        <f t="shared" si="82"/>
        <v>3950.48</v>
      </c>
      <c r="M280" s="113">
        <f>M282+M283+M281+M284</f>
        <v>3250.62</v>
      </c>
      <c r="N280" s="113">
        <f t="shared" si="82"/>
        <v>3420.2</v>
      </c>
      <c r="O280" s="113">
        <f t="shared" si="82"/>
        <v>3256.56</v>
      </c>
      <c r="P280" s="113">
        <f t="shared" si="82"/>
        <v>8062</v>
      </c>
      <c r="Q280" s="113">
        <f t="shared" si="82"/>
        <v>6062</v>
      </c>
      <c r="R280" s="113">
        <f t="shared" si="82"/>
        <v>7847.4683999999997</v>
      </c>
      <c r="S280" s="113">
        <f t="shared" si="82"/>
        <v>2899.18</v>
      </c>
      <c r="T280" s="113">
        <f t="shared" si="82"/>
        <v>3461</v>
      </c>
      <c r="U280" s="113">
        <f t="shared" si="82"/>
        <v>0</v>
      </c>
      <c r="V280" s="113">
        <f t="shared" si="82"/>
        <v>3890.1163999999999</v>
      </c>
      <c r="W280" s="113">
        <f t="shared" si="82"/>
        <v>0</v>
      </c>
      <c r="X280" s="113">
        <f t="shared" si="82"/>
        <v>2024</v>
      </c>
      <c r="Y280" s="113">
        <f t="shared" si="82"/>
        <v>0</v>
      </c>
      <c r="Z280" s="113">
        <f t="shared" si="82"/>
        <v>3481.14</v>
      </c>
      <c r="AA280" s="113">
        <f t="shared" si="82"/>
        <v>0</v>
      </c>
      <c r="AB280" s="113">
        <f t="shared" si="82"/>
        <v>1969</v>
      </c>
      <c r="AC280" s="113">
        <f t="shared" si="82"/>
        <v>0</v>
      </c>
      <c r="AD280" s="113">
        <f t="shared" si="82"/>
        <v>2400.6952000000001</v>
      </c>
      <c r="AE280" s="113">
        <f t="shared" si="82"/>
        <v>0</v>
      </c>
      <c r="AF280" s="29"/>
      <c r="AG280" s="102">
        <f t="shared" si="37"/>
        <v>0</v>
      </c>
    </row>
    <row r="281" spans="1:33" x14ac:dyDescent="0.3">
      <c r="A281" s="621" t="s">
        <v>169</v>
      </c>
      <c r="B281" s="622">
        <f>J281+L281+N281+P281+R281+T281+V281+X281+Z281+AB281+AD281+H281</f>
        <v>0</v>
      </c>
      <c r="C281" s="777">
        <f>SUM(H281)</f>
        <v>0</v>
      </c>
      <c r="D281" s="118">
        <f>E281</f>
        <v>0</v>
      </c>
      <c r="E281" s="117">
        <f>SUM(I281,K281,M281,O281,Q281,S281,U281,W281,Y281,AA281,AC281,AE281)</f>
        <v>0</v>
      </c>
      <c r="F281" s="116">
        <f>IFERROR(E281/B281*100,0)</f>
        <v>0</v>
      </c>
      <c r="G281" s="116">
        <f>IFERROR(E281/C281*100,0)</f>
        <v>0</v>
      </c>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29"/>
      <c r="AG281" s="102">
        <f t="shared" si="37"/>
        <v>0</v>
      </c>
    </row>
    <row r="282" spans="1:33" x14ac:dyDescent="0.3">
      <c r="A282" s="621" t="s">
        <v>32</v>
      </c>
      <c r="B282" s="622">
        <f>J282+L282+N282+P282+R282+T282+V282+X282+Z282+AB282+AD282+H282</f>
        <v>0</v>
      </c>
      <c r="C282" s="777">
        <f>SUM(H282)</f>
        <v>0</v>
      </c>
      <c r="D282" s="118">
        <f>E282</f>
        <v>0</v>
      </c>
      <c r="E282" s="117">
        <f>SUM(I282,K282,M282,O282,Q282,S282,U282,W282,Y282,AA282,AC282,AE282)</f>
        <v>0</v>
      </c>
      <c r="F282" s="116">
        <f>IFERROR(E282/B282*100,0)</f>
        <v>0</v>
      </c>
      <c r="G282" s="116">
        <f>IFERROR(E282/C282*100,0)</f>
        <v>0</v>
      </c>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29"/>
      <c r="AG282" s="102">
        <f t="shared" si="37"/>
        <v>0</v>
      </c>
    </row>
    <row r="283" spans="1:33" x14ac:dyDescent="0.3">
      <c r="A283" s="621" t="s">
        <v>33</v>
      </c>
      <c r="B283" s="622">
        <f>J283+L283+N283+P283+R283+T283+V283+X283+Z283+AB283+AD283+H283</f>
        <v>49088.5</v>
      </c>
      <c r="C283" s="777">
        <f>H283+J283+L283+N283+P283+R283</f>
        <v>31862.5484</v>
      </c>
      <c r="D283" s="118">
        <f>E283</f>
        <v>23235.659999999996</v>
      </c>
      <c r="E283" s="117">
        <f>SUM(I283,K283,M283,O283,Q283,S283,U283,W283,Y283,AA283,AC283,AE283)</f>
        <v>23235.659999999996</v>
      </c>
      <c r="F283" s="116">
        <f>IFERROR(E283/B283*100,0)</f>
        <v>47.334222883159995</v>
      </c>
      <c r="G283" s="116">
        <f>IFERROR(E283/C283*100,0)</f>
        <v>72.924675416107007</v>
      </c>
      <c r="H283" s="111">
        <v>4939</v>
      </c>
      <c r="I283" s="111">
        <v>3369.9</v>
      </c>
      <c r="J283" s="111">
        <f>1024.4+2619</f>
        <v>3643.4</v>
      </c>
      <c r="K283" s="111">
        <v>4397.3999999999996</v>
      </c>
      <c r="L283" s="111">
        <f>20.48+3930</f>
        <v>3950.48</v>
      </c>
      <c r="M283" s="111">
        <v>3250.62</v>
      </c>
      <c r="N283" s="111">
        <v>3420.2</v>
      </c>
      <c r="O283" s="111">
        <v>3256.56</v>
      </c>
      <c r="P283" s="111">
        <v>8062</v>
      </c>
      <c r="Q283" s="111">
        <v>6062</v>
      </c>
      <c r="R283" s="111">
        <f>7265.0884-20.48+602.86</f>
        <v>7847.4683999999997</v>
      </c>
      <c r="S283" s="111">
        <v>2899.18</v>
      </c>
      <c r="T283" s="111">
        <v>3461</v>
      </c>
      <c r="U283" s="111"/>
      <c r="V283" s="111">
        <v>3890.1163999999999</v>
      </c>
      <c r="W283" s="111"/>
      <c r="X283" s="111">
        <v>2024</v>
      </c>
      <c r="Y283" s="111"/>
      <c r="Z283" s="111">
        <f>4084-602.86</f>
        <v>3481.14</v>
      </c>
      <c r="AA283" s="111"/>
      <c r="AB283" s="111">
        <v>1969</v>
      </c>
      <c r="AC283" s="111"/>
      <c r="AD283" s="111">
        <f>3425.0952-1024.4</f>
        <v>2400.6952000000001</v>
      </c>
      <c r="AE283" s="111"/>
      <c r="AF283" s="29"/>
      <c r="AG283" s="102">
        <f t="shared" si="37"/>
        <v>0</v>
      </c>
    </row>
    <row r="284" spans="1:33" x14ac:dyDescent="0.3">
      <c r="A284" s="621" t="s">
        <v>170</v>
      </c>
      <c r="B284" s="622"/>
      <c r="C284" s="777"/>
      <c r="D284" s="118"/>
      <c r="E284" s="117"/>
      <c r="F284" s="116"/>
      <c r="G284" s="116"/>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29"/>
      <c r="AG284" s="102">
        <f t="shared" si="37"/>
        <v>0</v>
      </c>
    </row>
    <row r="285" spans="1:33" ht="41.25" customHeight="1" x14ac:dyDescent="0.3">
      <c r="A285" s="778" t="s">
        <v>304</v>
      </c>
      <c r="B285" s="622"/>
      <c r="C285" s="630"/>
      <c r="D285" s="110"/>
      <c r="E285" s="110"/>
      <c r="F285" s="110"/>
      <c r="G285" s="110"/>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29"/>
      <c r="AG285" s="102">
        <f t="shared" si="37"/>
        <v>0</v>
      </c>
    </row>
    <row r="286" spans="1:33" x14ac:dyDescent="0.3">
      <c r="A286" s="618" t="s">
        <v>31</v>
      </c>
      <c r="B286" s="619">
        <f>B288+B289+B287+B290</f>
        <v>100</v>
      </c>
      <c r="C286" s="619">
        <f>C288+C289+C287+C290</f>
        <v>40</v>
      </c>
      <c r="D286" s="114">
        <f>D288+D289+D287+D290</f>
        <v>0</v>
      </c>
      <c r="E286" s="113">
        <f>E288+E289+E287+E290</f>
        <v>0</v>
      </c>
      <c r="F286" s="113">
        <f>IFERROR(E286/B286*100,0)</f>
        <v>0</v>
      </c>
      <c r="G286" s="113">
        <f>IFERROR(E286/C286*100,0)</f>
        <v>0</v>
      </c>
      <c r="H286" s="113">
        <f t="shared" ref="H286:AE286" si="83">H288+H289+H287+H290</f>
        <v>0</v>
      </c>
      <c r="I286" s="113">
        <f t="shared" si="83"/>
        <v>0</v>
      </c>
      <c r="J286" s="113">
        <f t="shared" si="83"/>
        <v>40</v>
      </c>
      <c r="K286" s="113">
        <f t="shared" si="83"/>
        <v>0</v>
      </c>
      <c r="L286" s="113">
        <f t="shared" si="83"/>
        <v>0</v>
      </c>
      <c r="M286" s="113">
        <f t="shared" si="83"/>
        <v>0</v>
      </c>
      <c r="N286" s="113">
        <f t="shared" si="83"/>
        <v>0</v>
      </c>
      <c r="O286" s="113">
        <f t="shared" si="83"/>
        <v>0</v>
      </c>
      <c r="P286" s="113">
        <f t="shared" si="83"/>
        <v>0</v>
      </c>
      <c r="Q286" s="113">
        <f t="shared" si="83"/>
        <v>0</v>
      </c>
      <c r="R286" s="113">
        <f t="shared" si="83"/>
        <v>0</v>
      </c>
      <c r="S286" s="113">
        <f t="shared" si="83"/>
        <v>0</v>
      </c>
      <c r="T286" s="113">
        <f t="shared" si="83"/>
        <v>0</v>
      </c>
      <c r="U286" s="113">
        <f t="shared" si="83"/>
        <v>0</v>
      </c>
      <c r="V286" s="113">
        <f t="shared" si="83"/>
        <v>40</v>
      </c>
      <c r="W286" s="113">
        <f t="shared" si="83"/>
        <v>0</v>
      </c>
      <c r="X286" s="113">
        <f t="shared" si="83"/>
        <v>0</v>
      </c>
      <c r="Y286" s="113">
        <f t="shared" si="83"/>
        <v>0</v>
      </c>
      <c r="Z286" s="113">
        <f t="shared" si="83"/>
        <v>0</v>
      </c>
      <c r="AA286" s="113">
        <f t="shared" si="83"/>
        <v>0</v>
      </c>
      <c r="AB286" s="113">
        <f t="shared" si="83"/>
        <v>20</v>
      </c>
      <c r="AC286" s="113">
        <f t="shared" si="83"/>
        <v>0</v>
      </c>
      <c r="AD286" s="113">
        <f t="shared" si="83"/>
        <v>0</v>
      </c>
      <c r="AE286" s="113">
        <f t="shared" si="83"/>
        <v>0</v>
      </c>
      <c r="AF286" s="29"/>
      <c r="AG286" s="102">
        <f t="shared" si="37"/>
        <v>0</v>
      </c>
    </row>
    <row r="287" spans="1:33" x14ac:dyDescent="0.3">
      <c r="A287" s="621" t="s">
        <v>169</v>
      </c>
      <c r="B287" s="622">
        <f>J287+L287+N287+P287+R287+T287+V287+X287+Z287+AB287+AD287+H287</f>
        <v>0</v>
      </c>
      <c r="C287" s="777">
        <f>SUM(H287)</f>
        <v>0</v>
      </c>
      <c r="D287" s="118">
        <f>E287</f>
        <v>0</v>
      </c>
      <c r="E287" s="117">
        <f>SUM(I287,K287,M287,O287,Q287,S287,U287,W287,Y287,AA287,AC287,AE287)</f>
        <v>0</v>
      </c>
      <c r="F287" s="116">
        <f>IFERROR(E287/B287*100,0)</f>
        <v>0</v>
      </c>
      <c r="G287" s="116">
        <f>IFERROR(E287/C287*100,0)</f>
        <v>0</v>
      </c>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29"/>
      <c r="AG287" s="102">
        <f t="shared" si="37"/>
        <v>0</v>
      </c>
    </row>
    <row r="288" spans="1:33" x14ac:dyDescent="0.3">
      <c r="A288" s="621" t="s">
        <v>32</v>
      </c>
      <c r="B288" s="622">
        <f>J288+L288+N288+P288+R288+T288+V288+X288+Z288+AB288+AD288+H288</f>
        <v>0</v>
      </c>
      <c r="C288" s="777">
        <f>SUM(H288)</f>
        <v>0</v>
      </c>
      <c r="D288" s="118">
        <f>E288</f>
        <v>0</v>
      </c>
      <c r="E288" s="117">
        <f>SUM(I288,K288,M288,O288,Q288,S288,U288,W288,Y288,AA288,AC288,AE288)</f>
        <v>0</v>
      </c>
      <c r="F288" s="116">
        <f>IFERROR(E288/B288*100,0)</f>
        <v>0</v>
      </c>
      <c r="G288" s="116">
        <f>IFERROR(E288/C288*100,0)</f>
        <v>0</v>
      </c>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29"/>
      <c r="AG288" s="102">
        <f t="shared" si="37"/>
        <v>0</v>
      </c>
    </row>
    <row r="289" spans="1:33" x14ac:dyDescent="0.3">
      <c r="A289" s="621" t="s">
        <v>33</v>
      </c>
      <c r="B289" s="622">
        <f>J289+L289+N289+P289+R289+T289+V289+X289+Z289+AB289+AD289+H289</f>
        <v>100</v>
      </c>
      <c r="C289" s="777">
        <f>H289+J289+L289</f>
        <v>40</v>
      </c>
      <c r="D289" s="118">
        <f>E289</f>
        <v>0</v>
      </c>
      <c r="E289" s="117">
        <f>SUM(I289,K289,M289,O289,Q289,S289,U289,W289,Y289,AA289,AC289,AE289)</f>
        <v>0</v>
      </c>
      <c r="F289" s="116">
        <f>IFERROR(E289/B289*100,0)</f>
        <v>0</v>
      </c>
      <c r="G289" s="116">
        <f>IFERROR(E289/C289*100,0)</f>
        <v>0</v>
      </c>
      <c r="H289" s="111"/>
      <c r="I289" s="111"/>
      <c r="J289" s="111">
        <v>40</v>
      </c>
      <c r="K289" s="111"/>
      <c r="L289" s="111"/>
      <c r="M289" s="111"/>
      <c r="N289" s="111"/>
      <c r="O289" s="111"/>
      <c r="P289" s="111"/>
      <c r="Q289" s="111"/>
      <c r="R289" s="111"/>
      <c r="S289" s="111"/>
      <c r="T289" s="111"/>
      <c r="U289" s="111"/>
      <c r="V289" s="111">
        <v>40</v>
      </c>
      <c r="W289" s="111"/>
      <c r="X289" s="111"/>
      <c r="Y289" s="111"/>
      <c r="Z289" s="111"/>
      <c r="AA289" s="111"/>
      <c r="AB289" s="111">
        <v>20</v>
      </c>
      <c r="AC289" s="111"/>
      <c r="AD289" s="111"/>
      <c r="AE289" s="111"/>
      <c r="AF289" s="29"/>
      <c r="AG289" s="102">
        <f t="shared" si="37"/>
        <v>0</v>
      </c>
    </row>
    <row r="290" spans="1:33" x14ac:dyDescent="0.3">
      <c r="A290" s="621" t="s">
        <v>170</v>
      </c>
      <c r="B290" s="622"/>
      <c r="C290" s="777"/>
      <c r="D290" s="118"/>
      <c r="E290" s="117"/>
      <c r="F290" s="116"/>
      <c r="G290" s="116"/>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29"/>
      <c r="AG290" s="102">
        <f t="shared" si="37"/>
        <v>0</v>
      </c>
    </row>
    <row r="291" spans="1:33" ht="83.25" customHeight="1" x14ac:dyDescent="0.3">
      <c r="A291" s="778" t="s">
        <v>586</v>
      </c>
      <c r="B291" s="622"/>
      <c r="C291" s="630"/>
      <c r="D291" s="110"/>
      <c r="E291" s="110"/>
      <c r="F291" s="110"/>
      <c r="G291" s="110"/>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29"/>
      <c r="AG291" s="102">
        <f t="shared" si="37"/>
        <v>0</v>
      </c>
    </row>
    <row r="292" spans="1:33" x14ac:dyDescent="0.3">
      <c r="A292" s="618" t="s">
        <v>31</v>
      </c>
      <c r="B292" s="619">
        <f>B294+B295+B293+B296</f>
        <v>13855.700999999999</v>
      </c>
      <c r="C292" s="619">
        <f>C294+C295+C293+C296</f>
        <v>10662.415000000001</v>
      </c>
      <c r="D292" s="114">
        <f>D294+D295+D293+D296</f>
        <v>10662.42</v>
      </c>
      <c r="E292" s="113">
        <f>E294+E295+E293+E296</f>
        <v>10662.42</v>
      </c>
      <c r="F292" s="113">
        <f>IFERROR(E292/B292*100,0)</f>
        <v>76.9533060795697</v>
      </c>
      <c r="G292" s="113">
        <f>IFERROR(E292/C292*100,0)</f>
        <v>100.00004689369153</v>
      </c>
      <c r="H292" s="113">
        <f t="shared" ref="H292:AE292" si="84">H294+H295+H293+H296</f>
        <v>967.399</v>
      </c>
      <c r="I292" s="113">
        <f t="shared" si="84"/>
        <v>967.4</v>
      </c>
      <c r="J292" s="113">
        <f t="shared" si="84"/>
        <v>3938.6030000000001</v>
      </c>
      <c r="K292" s="113">
        <f t="shared" si="84"/>
        <v>3938.6</v>
      </c>
      <c r="L292" s="113">
        <f t="shared" si="84"/>
        <v>1158.789</v>
      </c>
      <c r="M292" s="113">
        <f t="shared" si="84"/>
        <v>1158.79</v>
      </c>
      <c r="N292" s="113">
        <f t="shared" si="84"/>
        <v>1244.17</v>
      </c>
      <c r="O292" s="113">
        <f t="shared" si="84"/>
        <v>1244.17</v>
      </c>
      <c r="P292" s="113">
        <f t="shared" si="84"/>
        <v>2115.451</v>
      </c>
      <c r="Q292" s="113">
        <f t="shared" si="84"/>
        <v>2115.4499999999998</v>
      </c>
      <c r="R292" s="113">
        <f t="shared" si="84"/>
        <v>1238.0029999999999</v>
      </c>
      <c r="S292" s="113">
        <f t="shared" si="84"/>
        <v>1238.01</v>
      </c>
      <c r="T292" s="113">
        <f t="shared" si="84"/>
        <v>922.40300000000002</v>
      </c>
      <c r="U292" s="113">
        <f t="shared" si="84"/>
        <v>0</v>
      </c>
      <c r="V292" s="113">
        <f t="shared" si="84"/>
        <v>981.63800000000003</v>
      </c>
      <c r="W292" s="113">
        <f t="shared" si="84"/>
        <v>0</v>
      </c>
      <c r="X292" s="113">
        <f t="shared" si="84"/>
        <v>1042.8019999999999</v>
      </c>
      <c r="Y292" s="113">
        <f t="shared" si="84"/>
        <v>0</v>
      </c>
      <c r="Z292" s="113">
        <f t="shared" si="84"/>
        <v>246.44299999999998</v>
      </c>
      <c r="AA292" s="113">
        <f t="shared" si="84"/>
        <v>0</v>
      </c>
      <c r="AB292" s="113">
        <f t="shared" si="84"/>
        <v>0</v>
      </c>
      <c r="AC292" s="113">
        <f t="shared" si="84"/>
        <v>0</v>
      </c>
      <c r="AD292" s="113">
        <f t="shared" si="84"/>
        <v>0</v>
      </c>
      <c r="AE292" s="113">
        <f t="shared" si="84"/>
        <v>0</v>
      </c>
      <c r="AF292" s="29"/>
      <c r="AG292" s="102">
        <f t="shared" si="37"/>
        <v>9.0949470177292824E-13</v>
      </c>
    </row>
    <row r="293" spans="1:33" x14ac:dyDescent="0.3">
      <c r="A293" s="621" t="s">
        <v>169</v>
      </c>
      <c r="B293" s="622">
        <f>J293+L293+N293+P293+R293+T293+V293+X293+Z293+AB293+AD293+H293</f>
        <v>0</v>
      </c>
      <c r="C293" s="777">
        <f>SUM(H293)</f>
        <v>0</v>
      </c>
      <c r="D293" s="118">
        <f>E293</f>
        <v>0</v>
      </c>
      <c r="E293" s="117">
        <f>SUM(I293,K293,M293,O293,Q293,S293,U293,W293,Y293,AA293,AC293,AE293)</f>
        <v>0</v>
      </c>
      <c r="F293" s="116">
        <f>IFERROR(E293/B293*100,0)</f>
        <v>0</v>
      </c>
      <c r="G293" s="116">
        <f>IFERROR(E293/C293*100,0)</f>
        <v>0</v>
      </c>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29"/>
      <c r="AG293" s="102">
        <f t="shared" si="37"/>
        <v>0</v>
      </c>
    </row>
    <row r="294" spans="1:33" x14ac:dyDescent="0.3">
      <c r="A294" s="621" t="s">
        <v>32</v>
      </c>
      <c r="B294" s="622">
        <f>J294+L294+N294+P294+R294+T294+V294+X294+Z294+AB294+AD294+H294</f>
        <v>0</v>
      </c>
      <c r="C294" s="777">
        <f>SUM(H294)</f>
        <v>0</v>
      </c>
      <c r="D294" s="118">
        <f>E294</f>
        <v>0</v>
      </c>
      <c r="E294" s="117">
        <f>SUM(I294,K294,M294,O294,Q294,S294,U294,W294,Y294,AA294,AC294,AE294)</f>
        <v>0</v>
      </c>
      <c r="F294" s="116">
        <f>IFERROR(E294/B294*100,0)</f>
        <v>0</v>
      </c>
      <c r="G294" s="116">
        <f>IFERROR(E294/C294*100,0)</f>
        <v>0</v>
      </c>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29"/>
      <c r="AG294" s="102">
        <f t="shared" si="37"/>
        <v>0</v>
      </c>
    </row>
    <row r="295" spans="1:33" x14ac:dyDescent="0.3">
      <c r="A295" s="621" t="s">
        <v>33</v>
      </c>
      <c r="B295" s="622">
        <f>J295+L295+N295+P295+R295+T295+V295+X295+Z295+AB295+AD295+H295</f>
        <v>13855.700999999999</v>
      </c>
      <c r="C295" s="777">
        <f>H295+J295+L295+N295+P295+R295</f>
        <v>10662.415000000001</v>
      </c>
      <c r="D295" s="118">
        <f>E295</f>
        <v>10662.42</v>
      </c>
      <c r="E295" s="117">
        <f>SUM(I295,K295,M295,O295,Q295,S295,U295,W295,Y295,AA295,AC295,AE295)</f>
        <v>10662.42</v>
      </c>
      <c r="F295" s="116">
        <f>IFERROR(E295/B295*100,0)</f>
        <v>76.9533060795697</v>
      </c>
      <c r="G295" s="116">
        <f>IFERROR(E295/C295*100,0)</f>
        <v>100.00004689369153</v>
      </c>
      <c r="H295" s="111">
        <v>967.399</v>
      </c>
      <c r="I295" s="111">
        <v>967.4</v>
      </c>
      <c r="J295" s="111">
        <v>3938.6030000000001</v>
      </c>
      <c r="K295" s="111">
        <v>3938.6</v>
      </c>
      <c r="L295" s="111">
        <v>1158.789</v>
      </c>
      <c r="M295" s="111">
        <v>1158.79</v>
      </c>
      <c r="N295" s="111">
        <v>1244.17</v>
      </c>
      <c r="O295" s="111">
        <v>1244.17</v>
      </c>
      <c r="P295" s="111">
        <v>2115.451</v>
      </c>
      <c r="Q295" s="111">
        <v>2115.4499999999998</v>
      </c>
      <c r="R295" s="111">
        <f>1348.003-110</f>
        <v>1238.0029999999999</v>
      </c>
      <c r="S295" s="111">
        <v>1238.01</v>
      </c>
      <c r="T295" s="111">
        <v>922.40300000000002</v>
      </c>
      <c r="U295" s="111"/>
      <c r="V295" s="111">
        <v>981.63800000000003</v>
      </c>
      <c r="W295" s="111"/>
      <c r="X295" s="111">
        <v>1042.8019999999999</v>
      </c>
      <c r="Y295" s="111"/>
      <c r="Z295" s="111">
        <f>1121.683-875.24</f>
        <v>246.44299999999998</v>
      </c>
      <c r="AA295" s="111"/>
      <c r="AB295" s="111"/>
      <c r="AC295" s="111"/>
      <c r="AD295" s="111"/>
      <c r="AE295" s="111"/>
      <c r="AF295" s="29"/>
      <c r="AG295" s="102">
        <f t="shared" si="37"/>
        <v>9.0949470177292824E-13</v>
      </c>
    </row>
    <row r="296" spans="1:33" x14ac:dyDescent="0.3">
      <c r="A296" s="621" t="s">
        <v>170</v>
      </c>
      <c r="B296" s="622"/>
      <c r="C296" s="777"/>
      <c r="D296" s="118"/>
      <c r="E296" s="117"/>
      <c r="F296" s="116"/>
      <c r="G296" s="116"/>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29"/>
      <c r="AG296" s="102">
        <f t="shared" si="37"/>
        <v>0</v>
      </c>
    </row>
    <row r="297" spans="1:33" ht="83.25" customHeight="1" x14ac:dyDescent="0.3">
      <c r="A297" s="98" t="s">
        <v>305</v>
      </c>
      <c r="B297" s="143"/>
      <c r="C297" s="144"/>
      <c r="D297" s="144"/>
      <c r="E297" s="144"/>
      <c r="F297" s="144"/>
      <c r="G297" s="144"/>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01"/>
      <c r="AG297" s="102">
        <f t="shared" si="37"/>
        <v>0</v>
      </c>
    </row>
    <row r="298" spans="1:33" x14ac:dyDescent="0.3">
      <c r="A298" s="145" t="s">
        <v>31</v>
      </c>
      <c r="B298" s="104">
        <f>B299+B300+B301+B302</f>
        <v>275706.6029</v>
      </c>
      <c r="C298" s="104">
        <f>C299+C300+C301+C302</f>
        <v>96532.351750000002</v>
      </c>
      <c r="D298" s="104">
        <f>D299+D300+D301+D302</f>
        <v>123833.48000000001</v>
      </c>
      <c r="E298" s="104">
        <f>E299+E300+E301+E302</f>
        <v>123833.48000000001</v>
      </c>
      <c r="F298" s="107">
        <f>IFERROR(E298/B298*100,0)</f>
        <v>44.914948970197486</v>
      </c>
      <c r="G298" s="107">
        <f>IFERROR(E298/C298*100,0)</f>
        <v>128.28184308686957</v>
      </c>
      <c r="H298" s="104">
        <f t="shared" ref="H298:AE298" si="85">H299+H300+H301+H302</f>
        <v>15729.4</v>
      </c>
      <c r="I298" s="104">
        <f t="shared" si="85"/>
        <v>9416.6</v>
      </c>
      <c r="J298" s="104">
        <f t="shared" si="85"/>
        <v>28820.74</v>
      </c>
      <c r="K298" s="104">
        <f t="shared" si="85"/>
        <v>28921.500000000004</v>
      </c>
      <c r="L298" s="104">
        <f t="shared" si="85"/>
        <v>28307.33</v>
      </c>
      <c r="M298" s="104">
        <f t="shared" si="85"/>
        <v>29030.61</v>
      </c>
      <c r="N298" s="104">
        <f t="shared" si="85"/>
        <v>23674.88175</v>
      </c>
      <c r="O298" s="104">
        <f t="shared" si="85"/>
        <v>16432.27</v>
      </c>
      <c r="P298" s="104">
        <f t="shared" si="85"/>
        <v>24747.802199999998</v>
      </c>
      <c r="Q298" s="104">
        <f t="shared" si="85"/>
        <v>26912.510000000002</v>
      </c>
      <c r="R298" s="104">
        <f t="shared" si="85"/>
        <v>12674.997600000001</v>
      </c>
      <c r="S298" s="104">
        <f t="shared" si="85"/>
        <v>13119.99</v>
      </c>
      <c r="T298" s="104">
        <f t="shared" si="85"/>
        <v>43000</v>
      </c>
      <c r="U298" s="104">
        <f t="shared" si="85"/>
        <v>0</v>
      </c>
      <c r="V298" s="104">
        <f t="shared" si="85"/>
        <v>3416.2000000000003</v>
      </c>
      <c r="W298" s="104">
        <f t="shared" si="85"/>
        <v>0</v>
      </c>
      <c r="X298" s="104">
        <f t="shared" si="85"/>
        <v>19454.065900000001</v>
      </c>
      <c r="Y298" s="104">
        <f t="shared" si="85"/>
        <v>0</v>
      </c>
      <c r="Z298" s="104">
        <f t="shared" si="85"/>
        <v>30231.689699999995</v>
      </c>
      <c r="AA298" s="104">
        <f t="shared" si="85"/>
        <v>0</v>
      </c>
      <c r="AB298" s="104">
        <f t="shared" si="85"/>
        <v>23648.635700000003</v>
      </c>
      <c r="AC298" s="104">
        <f t="shared" si="85"/>
        <v>0</v>
      </c>
      <c r="AD298" s="104">
        <f t="shared" si="85"/>
        <v>22000.860049999999</v>
      </c>
      <c r="AE298" s="104">
        <f t="shared" si="85"/>
        <v>0</v>
      </c>
      <c r="AF298" s="101"/>
      <c r="AG298" s="102">
        <f t="shared" si="37"/>
        <v>0</v>
      </c>
    </row>
    <row r="299" spans="1:33" x14ac:dyDescent="0.3">
      <c r="A299" s="146" t="s">
        <v>169</v>
      </c>
      <c r="B299" s="107">
        <f>J299+L299+N299+P299+R299+T299+V299+X299+Z299+AB299+AD299+H299</f>
        <v>25292.802340000002</v>
      </c>
      <c r="C299" s="107">
        <f>SUM(H299+J299+L299+N299)</f>
        <v>8381.7667500000007</v>
      </c>
      <c r="D299" s="107">
        <f>E299</f>
        <v>11832.380000000001</v>
      </c>
      <c r="E299" s="107">
        <f>SUM(I299,K299,M299,O299,Q299,S299,U299,W299,Y299,AA299,AC299,AE299)</f>
        <v>11832.380000000001</v>
      </c>
      <c r="F299" s="107"/>
      <c r="G299" s="107"/>
      <c r="H299" s="107">
        <f>H305+H311</f>
        <v>1301.9000000000001</v>
      </c>
      <c r="I299" s="107">
        <f t="shared" ref="I299:AE302" si="86">I305+I311</f>
        <v>1301.9000000000001</v>
      </c>
      <c r="J299" s="107">
        <f t="shared" si="86"/>
        <v>2713.7</v>
      </c>
      <c r="K299" s="107">
        <f t="shared" si="86"/>
        <v>2713.7</v>
      </c>
      <c r="L299" s="107">
        <f t="shared" si="86"/>
        <v>2898.5</v>
      </c>
      <c r="M299" s="107">
        <f t="shared" si="86"/>
        <v>2898.5</v>
      </c>
      <c r="N299" s="107">
        <f t="shared" si="86"/>
        <v>1467.6667499999999</v>
      </c>
      <c r="O299" s="107">
        <f t="shared" si="86"/>
        <v>1325.81</v>
      </c>
      <c r="P299" s="107">
        <f t="shared" si="86"/>
        <v>2860.0432000000001</v>
      </c>
      <c r="Q299" s="107">
        <f t="shared" si="86"/>
        <v>2860.04</v>
      </c>
      <c r="R299" s="107">
        <f t="shared" si="86"/>
        <v>914.33019999999999</v>
      </c>
      <c r="S299" s="107">
        <f t="shared" si="86"/>
        <v>732.43</v>
      </c>
      <c r="T299" s="107">
        <f t="shared" si="86"/>
        <v>0</v>
      </c>
      <c r="U299" s="107">
        <f t="shared" si="86"/>
        <v>0</v>
      </c>
      <c r="V299" s="107">
        <f t="shared" si="86"/>
        <v>0</v>
      </c>
      <c r="W299" s="107">
        <f t="shared" si="86"/>
        <v>0</v>
      </c>
      <c r="X299" s="107">
        <f t="shared" si="86"/>
        <v>3334.0848999999998</v>
      </c>
      <c r="Y299" s="107">
        <f t="shared" si="86"/>
        <v>0</v>
      </c>
      <c r="Z299" s="107">
        <f t="shared" si="86"/>
        <v>4295.6216999999997</v>
      </c>
      <c r="AA299" s="107">
        <f t="shared" si="86"/>
        <v>0</v>
      </c>
      <c r="AB299" s="107">
        <f t="shared" si="86"/>
        <v>2846.4506999999999</v>
      </c>
      <c r="AC299" s="107">
        <f t="shared" si="86"/>
        <v>0</v>
      </c>
      <c r="AD299" s="107">
        <f t="shared" si="86"/>
        <v>2660.5048900000002</v>
      </c>
      <c r="AE299" s="107">
        <f t="shared" si="86"/>
        <v>0</v>
      </c>
      <c r="AF299" s="101"/>
      <c r="AG299" s="102">
        <f t="shared" si="37"/>
        <v>0</v>
      </c>
    </row>
    <row r="300" spans="1:33" x14ac:dyDescent="0.3">
      <c r="A300" s="146" t="s">
        <v>32</v>
      </c>
      <c r="B300" s="107">
        <f>J300+L300+N300+P300+R300+T300+V300+X300+Z300+AB300+AD300+H300</f>
        <v>172665.29885000002</v>
      </c>
      <c r="C300" s="107">
        <f>SUM(H300+J300+L300+N300)</f>
        <v>74999.426749999999</v>
      </c>
      <c r="D300" s="107">
        <f>E300</f>
        <v>93827.32</v>
      </c>
      <c r="E300" s="107">
        <f>SUM(I300,K300,M300,O300,Q300,S300,U300,W300,Y300,AA300,AC300,AE300)</f>
        <v>93827.32</v>
      </c>
      <c r="F300" s="107"/>
      <c r="G300" s="107"/>
      <c r="H300" s="107">
        <f>H306+H312</f>
        <v>11954.5</v>
      </c>
      <c r="I300" s="107">
        <f t="shared" ref="I300:W300" si="87">I306+I312</f>
        <v>5641.7</v>
      </c>
      <c r="J300" s="107">
        <f t="shared" si="87"/>
        <v>22154.04</v>
      </c>
      <c r="K300" s="107">
        <f t="shared" si="87"/>
        <v>22254.800000000003</v>
      </c>
      <c r="L300" s="107">
        <f t="shared" si="87"/>
        <v>21802.27</v>
      </c>
      <c r="M300" s="107">
        <f t="shared" si="87"/>
        <v>22525.54</v>
      </c>
      <c r="N300" s="107">
        <f t="shared" si="87"/>
        <v>19088.616750000001</v>
      </c>
      <c r="O300" s="107">
        <f t="shared" si="87"/>
        <v>12314.810000000001</v>
      </c>
      <c r="P300" s="107">
        <f t="shared" si="87"/>
        <v>18776.3544</v>
      </c>
      <c r="Q300" s="107">
        <f t="shared" si="87"/>
        <v>20941.07</v>
      </c>
      <c r="R300" s="107">
        <f t="shared" si="87"/>
        <v>9767.7273999999998</v>
      </c>
      <c r="S300" s="107">
        <f t="shared" si="87"/>
        <v>10149.4</v>
      </c>
      <c r="T300" s="107">
        <f t="shared" si="87"/>
        <v>0</v>
      </c>
      <c r="U300" s="107">
        <f t="shared" si="87"/>
        <v>0</v>
      </c>
      <c r="V300" s="107">
        <f t="shared" si="87"/>
        <v>0</v>
      </c>
      <c r="W300" s="107">
        <f t="shared" si="87"/>
        <v>0</v>
      </c>
      <c r="X300" s="107">
        <f t="shared" si="86"/>
        <v>13574.9683</v>
      </c>
      <c r="Y300" s="107">
        <f t="shared" si="86"/>
        <v>0</v>
      </c>
      <c r="Z300" s="107">
        <f t="shared" si="86"/>
        <v>21989.971899999997</v>
      </c>
      <c r="AA300" s="107">
        <f t="shared" si="86"/>
        <v>0</v>
      </c>
      <c r="AB300" s="107">
        <f t="shared" si="86"/>
        <v>17676.175900000002</v>
      </c>
      <c r="AC300" s="107">
        <f t="shared" si="86"/>
        <v>0</v>
      </c>
      <c r="AD300" s="107">
        <f t="shared" si="86"/>
        <v>15880.674199999999</v>
      </c>
      <c r="AE300" s="107">
        <f t="shared" si="86"/>
        <v>0</v>
      </c>
      <c r="AF300" s="101"/>
      <c r="AG300" s="102">
        <f t="shared" si="37"/>
        <v>0</v>
      </c>
    </row>
    <row r="301" spans="1:33" x14ac:dyDescent="0.3">
      <c r="A301" s="146" t="s">
        <v>33</v>
      </c>
      <c r="B301" s="622">
        <f>J301+L301+N301+P301+R301+T301+V301+X301+Z301+AB301+AD301+H301</f>
        <v>77748.501709999997</v>
      </c>
      <c r="C301" s="107">
        <f>SUM(H301+J301+L301+N301)</f>
        <v>13151.15825</v>
      </c>
      <c r="D301" s="107">
        <f>E301</f>
        <v>18173.78</v>
      </c>
      <c r="E301" s="107">
        <f>SUM(I301,K301,M301,O301,Q301,S301,U301,W301,Y301,AA301,AC301,AE301)</f>
        <v>18173.78</v>
      </c>
      <c r="F301" s="107">
        <f>IFERROR(E301/B301*100,0)</f>
        <v>23.375087108157729</v>
      </c>
      <c r="G301" s="107">
        <f>IFERROR(E301/C301*100,0)</f>
        <v>138.1914783057226</v>
      </c>
      <c r="H301" s="107">
        <f>H307+H313</f>
        <v>2473</v>
      </c>
      <c r="I301" s="107">
        <f t="shared" si="86"/>
        <v>2473</v>
      </c>
      <c r="J301" s="107">
        <f t="shared" si="86"/>
        <v>3953</v>
      </c>
      <c r="K301" s="107">
        <f t="shared" si="86"/>
        <v>3953</v>
      </c>
      <c r="L301" s="107">
        <f t="shared" si="86"/>
        <v>3606.56</v>
      </c>
      <c r="M301" s="107">
        <f t="shared" si="86"/>
        <v>3606.57</v>
      </c>
      <c r="N301" s="107">
        <f t="shared" si="86"/>
        <v>3118.59825</v>
      </c>
      <c r="O301" s="107">
        <f t="shared" si="86"/>
        <v>2791.65</v>
      </c>
      <c r="P301" s="107">
        <f t="shared" si="86"/>
        <v>3111.4045999999998</v>
      </c>
      <c r="Q301" s="107">
        <f t="shared" si="86"/>
        <v>3111.4</v>
      </c>
      <c r="R301" s="107">
        <f t="shared" si="86"/>
        <v>1992.94</v>
      </c>
      <c r="S301" s="107">
        <f t="shared" si="86"/>
        <v>2238.1600000000003</v>
      </c>
      <c r="T301" s="107">
        <f t="shared" si="86"/>
        <v>43000</v>
      </c>
      <c r="U301" s="107">
        <f t="shared" si="86"/>
        <v>0</v>
      </c>
      <c r="V301" s="107">
        <f t="shared" si="86"/>
        <v>3416.2000000000003</v>
      </c>
      <c r="W301" s="107">
        <f t="shared" si="86"/>
        <v>0</v>
      </c>
      <c r="X301" s="107">
        <f t="shared" si="86"/>
        <v>2545.0127000000002</v>
      </c>
      <c r="Y301" s="107">
        <f t="shared" si="86"/>
        <v>0</v>
      </c>
      <c r="Z301" s="107">
        <f t="shared" si="86"/>
        <v>3946.0960999999998</v>
      </c>
      <c r="AA301" s="107">
        <f t="shared" si="86"/>
        <v>0</v>
      </c>
      <c r="AB301" s="107">
        <f t="shared" si="86"/>
        <v>3126.0090999999998</v>
      </c>
      <c r="AC301" s="107">
        <f t="shared" si="86"/>
        <v>0</v>
      </c>
      <c r="AD301" s="107">
        <f t="shared" si="86"/>
        <v>3459.6809600000001</v>
      </c>
      <c r="AE301" s="107">
        <f t="shared" si="86"/>
        <v>0</v>
      </c>
      <c r="AF301" s="101"/>
      <c r="AG301" s="102">
        <f t="shared" si="37"/>
        <v>-7.2759576141834259E-12</v>
      </c>
    </row>
    <row r="302" spans="1:33" x14ac:dyDescent="0.3">
      <c r="A302" s="146" t="s">
        <v>170</v>
      </c>
      <c r="B302" s="107">
        <f>J302+L302+N302+P302+R302+T302+V302+X302+Z302+AB302+AD302+H302</f>
        <v>0</v>
      </c>
      <c r="C302" s="107">
        <f>SUM(H302)</f>
        <v>0</v>
      </c>
      <c r="D302" s="107">
        <f>E302</f>
        <v>0</v>
      </c>
      <c r="E302" s="107">
        <f>SUM(I302,K302,M302,O302,Q302,S302,U302,W302,Y302,AA302,AC302,AE302)</f>
        <v>0</v>
      </c>
      <c r="F302" s="107"/>
      <c r="G302" s="107"/>
      <c r="H302" s="107">
        <f>H308+H314</f>
        <v>0</v>
      </c>
      <c r="I302" s="107">
        <f t="shared" si="86"/>
        <v>0</v>
      </c>
      <c r="J302" s="107">
        <f t="shared" si="86"/>
        <v>0</v>
      </c>
      <c r="K302" s="107">
        <f t="shared" si="86"/>
        <v>0</v>
      </c>
      <c r="L302" s="107">
        <f t="shared" si="86"/>
        <v>0</v>
      </c>
      <c r="M302" s="107">
        <f t="shared" si="86"/>
        <v>0</v>
      </c>
      <c r="N302" s="107">
        <f t="shared" si="86"/>
        <v>0</v>
      </c>
      <c r="O302" s="107">
        <f t="shared" si="86"/>
        <v>0</v>
      </c>
      <c r="P302" s="107">
        <f t="shared" si="86"/>
        <v>0</v>
      </c>
      <c r="Q302" s="107">
        <f t="shared" si="86"/>
        <v>0</v>
      </c>
      <c r="R302" s="107">
        <f t="shared" si="86"/>
        <v>0</v>
      </c>
      <c r="S302" s="107">
        <f t="shared" si="86"/>
        <v>0</v>
      </c>
      <c r="T302" s="107">
        <f t="shared" si="86"/>
        <v>0</v>
      </c>
      <c r="U302" s="107">
        <f t="shared" si="86"/>
        <v>0</v>
      </c>
      <c r="V302" s="107">
        <f t="shared" si="86"/>
        <v>0</v>
      </c>
      <c r="W302" s="107">
        <f t="shared" si="86"/>
        <v>0</v>
      </c>
      <c r="X302" s="107">
        <f t="shared" si="86"/>
        <v>0</v>
      </c>
      <c r="Y302" s="107">
        <f t="shared" si="86"/>
        <v>0</v>
      </c>
      <c r="Z302" s="107">
        <f t="shared" si="86"/>
        <v>0</v>
      </c>
      <c r="AA302" s="107">
        <f t="shared" si="86"/>
        <v>0</v>
      </c>
      <c r="AB302" s="107">
        <f t="shared" si="86"/>
        <v>0</v>
      </c>
      <c r="AC302" s="107">
        <f t="shared" si="86"/>
        <v>0</v>
      </c>
      <c r="AD302" s="107">
        <f t="shared" si="86"/>
        <v>0</v>
      </c>
      <c r="AE302" s="107">
        <f t="shared" si="86"/>
        <v>0</v>
      </c>
      <c r="AF302" s="101"/>
      <c r="AG302" s="102">
        <f t="shared" si="37"/>
        <v>0</v>
      </c>
    </row>
    <row r="303" spans="1:33" ht="83.25" customHeight="1" x14ac:dyDescent="0.3">
      <c r="A303" s="778" t="s">
        <v>306</v>
      </c>
      <c r="B303" s="622"/>
      <c r="C303" s="110"/>
      <c r="D303" s="110"/>
      <c r="E303" s="110"/>
      <c r="F303" s="110"/>
      <c r="G303" s="110"/>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29"/>
      <c r="AG303" s="102">
        <f t="shared" si="37"/>
        <v>0</v>
      </c>
    </row>
    <row r="304" spans="1:33" x14ac:dyDescent="0.3">
      <c r="A304" s="618" t="s">
        <v>31</v>
      </c>
      <c r="B304" s="619">
        <f>B306+B307+B305+B308</f>
        <v>46839.6</v>
      </c>
      <c r="C304" s="113">
        <f>C306+C307+C305+C308</f>
        <v>423.4</v>
      </c>
      <c r="D304" s="114">
        <f>D306+D307+D305+D308</f>
        <v>423.4</v>
      </c>
      <c r="E304" s="113">
        <f>E306+E307+E305+E308</f>
        <v>423.4</v>
      </c>
      <c r="F304" s="113">
        <f>IFERROR(E304/B304*100,0)</f>
        <v>0.90393598578980183</v>
      </c>
      <c r="G304" s="113">
        <f>IFERROR(E304/C304*100,0)</f>
        <v>100</v>
      </c>
      <c r="H304" s="113">
        <f t="shared" ref="H304:AE304" si="88">H306+H307+H305+H308</f>
        <v>0</v>
      </c>
      <c r="I304" s="113">
        <f t="shared" si="88"/>
        <v>0</v>
      </c>
      <c r="J304" s="113">
        <f t="shared" si="88"/>
        <v>0</v>
      </c>
      <c r="K304" s="113">
        <f t="shared" si="88"/>
        <v>0</v>
      </c>
      <c r="L304" s="113">
        <f t="shared" si="88"/>
        <v>0</v>
      </c>
      <c r="M304" s="113">
        <f t="shared" si="88"/>
        <v>0</v>
      </c>
      <c r="N304" s="113">
        <f t="shared" si="88"/>
        <v>0</v>
      </c>
      <c r="O304" s="113">
        <f t="shared" si="88"/>
        <v>0</v>
      </c>
      <c r="P304" s="113">
        <f t="shared" si="88"/>
        <v>0</v>
      </c>
      <c r="Q304" s="113">
        <f t="shared" si="88"/>
        <v>0</v>
      </c>
      <c r="R304" s="113">
        <f t="shared" si="88"/>
        <v>423.4</v>
      </c>
      <c r="S304" s="113">
        <f t="shared" si="88"/>
        <v>423.4</v>
      </c>
      <c r="T304" s="113">
        <f t="shared" si="88"/>
        <v>43000</v>
      </c>
      <c r="U304" s="113">
        <f t="shared" si="88"/>
        <v>0</v>
      </c>
      <c r="V304" s="113">
        <f t="shared" si="88"/>
        <v>3416.2000000000003</v>
      </c>
      <c r="W304" s="113">
        <f t="shared" si="88"/>
        <v>0</v>
      </c>
      <c r="X304" s="113">
        <f t="shared" si="88"/>
        <v>0</v>
      </c>
      <c r="Y304" s="113">
        <f t="shared" si="88"/>
        <v>0</v>
      </c>
      <c r="Z304" s="113">
        <f t="shared" si="88"/>
        <v>0</v>
      </c>
      <c r="AA304" s="113">
        <f t="shared" si="88"/>
        <v>0</v>
      </c>
      <c r="AB304" s="113">
        <f t="shared" si="88"/>
        <v>0</v>
      </c>
      <c r="AC304" s="113">
        <f t="shared" si="88"/>
        <v>0</v>
      </c>
      <c r="AD304" s="113">
        <f t="shared" si="88"/>
        <v>0</v>
      </c>
      <c r="AE304" s="113">
        <f t="shared" si="88"/>
        <v>0</v>
      </c>
      <c r="AF304" s="29"/>
      <c r="AG304" s="102">
        <f t="shared" si="37"/>
        <v>-3.1832314562052488E-12</v>
      </c>
    </row>
    <row r="305" spans="1:33" x14ac:dyDescent="0.3">
      <c r="A305" s="621" t="s">
        <v>169</v>
      </c>
      <c r="B305" s="622">
        <f>J305+L305+N305+P305+R305+T305+V305+X305+Z305+AB305+AD305+H305</f>
        <v>0</v>
      </c>
      <c r="C305" s="117">
        <f>SUM(H305)</f>
        <v>0</v>
      </c>
      <c r="D305" s="118">
        <f>E305</f>
        <v>0</v>
      </c>
      <c r="E305" s="117">
        <f>SUM(I305,K305,M305,O305,Q305,S305,U305,W305,Y305,AA305,AC305,AE305)</f>
        <v>0</v>
      </c>
      <c r="F305" s="116">
        <f>IFERROR(E305/B305*100,0)</f>
        <v>0</v>
      </c>
      <c r="G305" s="116">
        <f>IFERROR(E305/C305*100,0)</f>
        <v>0</v>
      </c>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29"/>
      <c r="AG305" s="102">
        <f t="shared" si="37"/>
        <v>0</v>
      </c>
    </row>
    <row r="306" spans="1:33" x14ac:dyDescent="0.3">
      <c r="A306" s="621" t="s">
        <v>32</v>
      </c>
      <c r="B306" s="622">
        <f>J306+L306+N306+P306+R306+T306+V306+X306+Z306+AB306+AD306+H306</f>
        <v>0</v>
      </c>
      <c r="C306" s="117">
        <f>SUM(H306)</f>
        <v>0</v>
      </c>
      <c r="D306" s="118">
        <f>E306</f>
        <v>0</v>
      </c>
      <c r="E306" s="117">
        <f>SUM(I306,K306,M306,O306,Q306,S306,U306,W306,Y306,AA306,AC306,AE306)</f>
        <v>0</v>
      </c>
      <c r="F306" s="116">
        <f>IFERROR(E306/B306*100,0)</f>
        <v>0</v>
      </c>
      <c r="G306" s="116">
        <f>IFERROR(E306/C306*100,0)</f>
        <v>0</v>
      </c>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29"/>
      <c r="AG306" s="102">
        <f t="shared" si="37"/>
        <v>0</v>
      </c>
    </row>
    <row r="307" spans="1:33" x14ac:dyDescent="0.3">
      <c r="A307" s="621" t="s">
        <v>33</v>
      </c>
      <c r="B307" s="622">
        <f>J307+L307+N307+P307+R307+T307+V307+X307+Z307+AB307+AD307+H307</f>
        <v>46839.6</v>
      </c>
      <c r="C307" s="117">
        <f>H307+J307+L307+N307+P307+R307</f>
        <v>423.4</v>
      </c>
      <c r="D307" s="118">
        <f>E307</f>
        <v>423.4</v>
      </c>
      <c r="E307" s="117">
        <f>SUM(I307,K307,M307,O307,Q307,S307,U307,W307,Y307,AA307,AC307,AE307)</f>
        <v>423.4</v>
      </c>
      <c r="F307" s="116">
        <f>IFERROR(E307/B307*100,0)</f>
        <v>0.90393598578980183</v>
      </c>
      <c r="G307" s="116">
        <f>IFERROR(E307/C307*100,0)</f>
        <v>100</v>
      </c>
      <c r="H307" s="111"/>
      <c r="I307" s="111"/>
      <c r="J307" s="111"/>
      <c r="K307" s="111"/>
      <c r="L307" s="111"/>
      <c r="M307" s="111"/>
      <c r="N307" s="111"/>
      <c r="O307" s="111"/>
      <c r="P307" s="111"/>
      <c r="Q307" s="111"/>
      <c r="R307" s="111">
        <v>423.4</v>
      </c>
      <c r="S307" s="111">
        <v>423.4</v>
      </c>
      <c r="T307" s="111">
        <v>43000</v>
      </c>
      <c r="U307" s="111"/>
      <c r="V307" s="111">
        <f>2992.8+423.4</f>
        <v>3416.2000000000003</v>
      </c>
      <c r="W307" s="111"/>
      <c r="X307" s="111"/>
      <c r="Y307" s="111"/>
      <c r="Z307" s="111"/>
      <c r="AA307" s="111"/>
      <c r="AB307" s="111"/>
      <c r="AC307" s="111"/>
      <c r="AD307" s="111"/>
      <c r="AE307" s="111"/>
      <c r="AF307" s="29"/>
      <c r="AG307" s="102">
        <f t="shared" si="37"/>
        <v>-3.1832314562052488E-12</v>
      </c>
    </row>
    <row r="308" spans="1:33" x14ac:dyDescent="0.3">
      <c r="A308" s="621" t="s">
        <v>170</v>
      </c>
      <c r="B308" s="622"/>
      <c r="C308" s="117"/>
      <c r="D308" s="118"/>
      <c r="E308" s="117"/>
      <c r="F308" s="116"/>
      <c r="G308" s="116"/>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29"/>
      <c r="AG308" s="102">
        <f t="shared" si="37"/>
        <v>0</v>
      </c>
    </row>
    <row r="309" spans="1:33" s="97" customFormat="1" ht="61.5" customHeight="1" x14ac:dyDescent="0.3">
      <c r="A309" s="624" t="s">
        <v>307</v>
      </c>
      <c r="B309" s="619"/>
      <c r="C309" s="131"/>
      <c r="D309" s="131"/>
      <c r="E309" s="131"/>
      <c r="F309" s="131"/>
      <c r="G309" s="131"/>
      <c r="H309" s="212"/>
      <c r="I309" s="212"/>
      <c r="J309" s="212"/>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3"/>
      <c r="AG309" s="214">
        <f t="shared" si="37"/>
        <v>0</v>
      </c>
    </row>
    <row r="310" spans="1:33" s="97" customFormat="1" x14ac:dyDescent="0.3">
      <c r="A310" s="618" t="s">
        <v>31</v>
      </c>
      <c r="B310" s="619">
        <f>B312+B313+B311+B314</f>
        <v>228867.00290000002</v>
      </c>
      <c r="C310" s="113">
        <f>C312+C313+C311+C314</f>
        <v>96532.351749999987</v>
      </c>
      <c r="D310" s="114">
        <f>D312+D313+D311+D314</f>
        <v>123410.08000000002</v>
      </c>
      <c r="E310" s="113">
        <f>E312+E313+E311+E314</f>
        <v>123410.08000000002</v>
      </c>
      <c r="F310" s="113">
        <f>IFERROR(E310/B310*100,0)</f>
        <v>53.922181195304155</v>
      </c>
      <c r="G310" s="113">
        <f>IFERROR(E310/C310*100,0)</f>
        <v>127.84323365456601</v>
      </c>
      <c r="H310" s="113">
        <f t="shared" ref="H310:AE310" si="89">H312+H313+H311+H314</f>
        <v>15729.4</v>
      </c>
      <c r="I310" s="113">
        <f t="shared" si="89"/>
        <v>9416.6</v>
      </c>
      <c r="J310" s="113">
        <f t="shared" si="89"/>
        <v>28820.74</v>
      </c>
      <c r="K310" s="113">
        <f t="shared" si="89"/>
        <v>28921.500000000004</v>
      </c>
      <c r="L310" s="113">
        <f t="shared" si="89"/>
        <v>28307.33</v>
      </c>
      <c r="M310" s="113">
        <f t="shared" si="89"/>
        <v>29030.61</v>
      </c>
      <c r="N310" s="113">
        <f t="shared" si="89"/>
        <v>23674.88175</v>
      </c>
      <c r="O310" s="113">
        <f t="shared" si="89"/>
        <v>16432.27</v>
      </c>
      <c r="P310" s="113">
        <f t="shared" si="89"/>
        <v>24747.802199999998</v>
      </c>
      <c r="Q310" s="113">
        <f t="shared" si="89"/>
        <v>26912.510000000002</v>
      </c>
      <c r="R310" s="113">
        <f t="shared" si="89"/>
        <v>12251.597600000001</v>
      </c>
      <c r="S310" s="113">
        <f t="shared" si="89"/>
        <v>12696.59</v>
      </c>
      <c r="T310" s="113">
        <f t="shared" si="89"/>
        <v>0</v>
      </c>
      <c r="U310" s="113">
        <f t="shared" si="89"/>
        <v>0</v>
      </c>
      <c r="V310" s="113">
        <f t="shared" si="89"/>
        <v>0</v>
      </c>
      <c r="W310" s="113">
        <f t="shared" si="89"/>
        <v>0</v>
      </c>
      <c r="X310" s="113">
        <f t="shared" si="89"/>
        <v>19454.065900000001</v>
      </c>
      <c r="Y310" s="113">
        <f t="shared" si="89"/>
        <v>0</v>
      </c>
      <c r="Z310" s="113">
        <f t="shared" si="89"/>
        <v>30231.689699999995</v>
      </c>
      <c r="AA310" s="113">
        <f t="shared" si="89"/>
        <v>0</v>
      </c>
      <c r="AB310" s="113">
        <f t="shared" si="89"/>
        <v>23648.635700000003</v>
      </c>
      <c r="AC310" s="113">
        <f t="shared" si="89"/>
        <v>0</v>
      </c>
      <c r="AD310" s="113">
        <f t="shared" si="89"/>
        <v>22000.860049999999</v>
      </c>
      <c r="AE310" s="113">
        <f t="shared" si="89"/>
        <v>0</v>
      </c>
      <c r="AF310" s="213"/>
      <c r="AG310" s="214">
        <f t="shared" si="37"/>
        <v>3.637978807091713E-11</v>
      </c>
    </row>
    <row r="311" spans="1:33" s="97" customFormat="1" x14ac:dyDescent="0.3">
      <c r="A311" s="618" t="s">
        <v>169</v>
      </c>
      <c r="B311" s="619">
        <f>J311+L311+N311+P311+R311+T311+V311+X311+Z311+AB311+AD311+H311</f>
        <v>25292.802340000002</v>
      </c>
      <c r="C311" s="215">
        <f>H311+J311+L311+N311</f>
        <v>8381.7667500000007</v>
      </c>
      <c r="D311" s="216">
        <f>E311</f>
        <v>11832.380000000001</v>
      </c>
      <c r="E311" s="215">
        <f>SUM(I311,K311,M311,O311,Q311,S311,U311,W311,Y311,AA311,AC311,AE311)</f>
        <v>11832.380000000001</v>
      </c>
      <c r="F311" s="113">
        <f>IFERROR(E311/B311*100,0)</f>
        <v>46.781609411810237</v>
      </c>
      <c r="G311" s="113">
        <f>IFERROR(E311/C311*100,0)</f>
        <v>141.16808965126594</v>
      </c>
      <c r="H311" s="212">
        <f>H317+H323+H329</f>
        <v>1301.9000000000001</v>
      </c>
      <c r="I311" s="212">
        <f t="shared" ref="I311:AE314" si="90">I317+I323+I329</f>
        <v>1301.9000000000001</v>
      </c>
      <c r="J311" s="212">
        <f t="shared" si="90"/>
        <v>2713.7</v>
      </c>
      <c r="K311" s="212">
        <f t="shared" si="90"/>
        <v>2713.7</v>
      </c>
      <c r="L311" s="212">
        <f t="shared" si="90"/>
        <v>2898.5</v>
      </c>
      <c r="M311" s="212">
        <f t="shared" si="90"/>
        <v>2898.5</v>
      </c>
      <c r="N311" s="212">
        <f t="shared" si="90"/>
        <v>1467.6667499999999</v>
      </c>
      <c r="O311" s="212">
        <f t="shared" si="90"/>
        <v>1325.81</v>
      </c>
      <c r="P311" s="212">
        <f t="shared" si="90"/>
        <v>2860.0432000000001</v>
      </c>
      <c r="Q311" s="212">
        <f t="shared" si="90"/>
        <v>2860.04</v>
      </c>
      <c r="R311" s="212">
        <f t="shared" si="90"/>
        <v>914.33019999999999</v>
      </c>
      <c r="S311" s="212">
        <f t="shared" si="90"/>
        <v>732.43</v>
      </c>
      <c r="T311" s="212">
        <f t="shared" si="90"/>
        <v>0</v>
      </c>
      <c r="U311" s="212">
        <f t="shared" si="90"/>
        <v>0</v>
      </c>
      <c r="V311" s="212">
        <f t="shared" si="90"/>
        <v>0</v>
      </c>
      <c r="W311" s="212">
        <f t="shared" si="90"/>
        <v>0</v>
      </c>
      <c r="X311" s="212">
        <f t="shared" si="90"/>
        <v>3334.0848999999998</v>
      </c>
      <c r="Y311" s="212">
        <f t="shared" si="90"/>
        <v>0</v>
      </c>
      <c r="Z311" s="212">
        <f t="shared" si="90"/>
        <v>4295.6216999999997</v>
      </c>
      <c r="AA311" s="212">
        <f t="shared" si="90"/>
        <v>0</v>
      </c>
      <c r="AB311" s="212">
        <f t="shared" si="90"/>
        <v>2846.4506999999999</v>
      </c>
      <c r="AC311" s="212">
        <f t="shared" si="90"/>
        <v>0</v>
      </c>
      <c r="AD311" s="212">
        <f t="shared" si="90"/>
        <v>2660.5048900000002</v>
      </c>
      <c r="AE311" s="212">
        <f t="shared" si="90"/>
        <v>0</v>
      </c>
      <c r="AF311" s="213"/>
      <c r="AG311" s="214">
        <f t="shared" si="37"/>
        <v>0</v>
      </c>
    </row>
    <row r="312" spans="1:33" s="97" customFormat="1" x14ac:dyDescent="0.3">
      <c r="A312" s="618" t="s">
        <v>32</v>
      </c>
      <c r="B312" s="619">
        <f>J312+L312+N312+P312+R312+T312+V312+X312+Z312+AB312+AD312+H312</f>
        <v>172665.29885000002</v>
      </c>
      <c r="C312" s="215">
        <f>H312+J312+L312+N312</f>
        <v>74999.426749999999</v>
      </c>
      <c r="D312" s="216">
        <f>E312</f>
        <v>93827.32</v>
      </c>
      <c r="E312" s="215">
        <f>SUM(I312,K312,M312,O312,Q312,S312,U312,W312,Y312,AA312,AC312,AE312)</f>
        <v>93827.32</v>
      </c>
      <c r="F312" s="113">
        <f>IFERROR(E312/B312*100,0)</f>
        <v>54.340577188883131</v>
      </c>
      <c r="G312" s="113">
        <f>IFERROR(E312/C312*100,0)</f>
        <v>125.10404954528538</v>
      </c>
      <c r="H312" s="212">
        <f>H318+H324+H330</f>
        <v>11954.5</v>
      </c>
      <c r="I312" s="212">
        <f t="shared" ref="I312:W312" si="91">I318+I324+I330</f>
        <v>5641.7</v>
      </c>
      <c r="J312" s="212">
        <f t="shared" si="91"/>
        <v>22154.04</v>
      </c>
      <c r="K312" s="212">
        <f t="shared" si="91"/>
        <v>22254.800000000003</v>
      </c>
      <c r="L312" s="212">
        <f t="shared" si="91"/>
        <v>21802.27</v>
      </c>
      <c r="M312" s="212">
        <f t="shared" si="91"/>
        <v>22525.54</v>
      </c>
      <c r="N312" s="212">
        <f t="shared" si="91"/>
        <v>19088.616750000001</v>
      </c>
      <c r="O312" s="212">
        <f t="shared" si="91"/>
        <v>12314.810000000001</v>
      </c>
      <c r="P312" s="212">
        <f t="shared" si="91"/>
        <v>18776.3544</v>
      </c>
      <c r="Q312" s="212">
        <f t="shared" si="91"/>
        <v>20941.07</v>
      </c>
      <c r="R312" s="212">
        <f t="shared" si="91"/>
        <v>9767.7273999999998</v>
      </c>
      <c r="S312" s="212">
        <f t="shared" si="91"/>
        <v>10149.4</v>
      </c>
      <c r="T312" s="212">
        <f t="shared" si="91"/>
        <v>0</v>
      </c>
      <c r="U312" s="212">
        <f t="shared" si="91"/>
        <v>0</v>
      </c>
      <c r="V312" s="212">
        <f t="shared" si="91"/>
        <v>0</v>
      </c>
      <c r="W312" s="212">
        <f t="shared" si="91"/>
        <v>0</v>
      </c>
      <c r="X312" s="212">
        <f t="shared" si="90"/>
        <v>13574.9683</v>
      </c>
      <c r="Y312" s="212">
        <f t="shared" si="90"/>
        <v>0</v>
      </c>
      <c r="Z312" s="212">
        <f t="shared" si="90"/>
        <v>21989.971899999997</v>
      </c>
      <c r="AA312" s="212">
        <f t="shared" si="90"/>
        <v>0</v>
      </c>
      <c r="AB312" s="212">
        <f t="shared" si="90"/>
        <v>17676.175900000002</v>
      </c>
      <c r="AC312" s="212">
        <f t="shared" si="90"/>
        <v>0</v>
      </c>
      <c r="AD312" s="212">
        <f t="shared" si="90"/>
        <v>15880.674199999999</v>
      </c>
      <c r="AE312" s="212">
        <f t="shared" si="90"/>
        <v>0</v>
      </c>
      <c r="AF312" s="213"/>
      <c r="AG312" s="214">
        <f t="shared" si="37"/>
        <v>0</v>
      </c>
    </row>
    <row r="313" spans="1:33" s="97" customFormat="1" x14ac:dyDescent="0.3">
      <c r="A313" s="618" t="s">
        <v>33</v>
      </c>
      <c r="B313" s="619">
        <f>J313+L313+N313+P313+R313+T313+V313+X313+Z313+AB313+AD313+H313</f>
        <v>30908.901709999998</v>
      </c>
      <c r="C313" s="215">
        <f>H313+J313+L313+N313</f>
        <v>13151.15825</v>
      </c>
      <c r="D313" s="216">
        <f>E313</f>
        <v>17750.379999999997</v>
      </c>
      <c r="E313" s="215">
        <f>SUM(I313,K313,M313,O313,Q313,S313,U313,W313,Y313,AA313,AC313,AE313)</f>
        <v>17750.379999999997</v>
      </c>
      <c r="F313" s="113">
        <f>IFERROR(E313/B313*100,0)</f>
        <v>57.428051525548682</v>
      </c>
      <c r="G313" s="113">
        <f>IFERROR(E313/C313*100,0)</f>
        <v>134.97199001464375</v>
      </c>
      <c r="H313" s="212">
        <f>H319+H325+H331</f>
        <v>2473</v>
      </c>
      <c r="I313" s="212">
        <f t="shared" si="90"/>
        <v>2473</v>
      </c>
      <c r="J313" s="212">
        <f t="shared" si="90"/>
        <v>3953</v>
      </c>
      <c r="K313" s="212">
        <f t="shared" si="90"/>
        <v>3953</v>
      </c>
      <c r="L313" s="212">
        <f t="shared" si="90"/>
        <v>3606.56</v>
      </c>
      <c r="M313" s="212">
        <f t="shared" si="90"/>
        <v>3606.57</v>
      </c>
      <c r="N313" s="212">
        <f t="shared" si="90"/>
        <v>3118.59825</v>
      </c>
      <c r="O313" s="212">
        <f t="shared" si="90"/>
        <v>2791.65</v>
      </c>
      <c r="P313" s="212">
        <f t="shared" si="90"/>
        <v>3111.4045999999998</v>
      </c>
      <c r="Q313" s="212">
        <f t="shared" si="90"/>
        <v>3111.4</v>
      </c>
      <c r="R313" s="212">
        <f t="shared" si="90"/>
        <v>1569.54</v>
      </c>
      <c r="S313" s="212">
        <f t="shared" si="90"/>
        <v>1814.7600000000002</v>
      </c>
      <c r="T313" s="212">
        <f t="shared" si="90"/>
        <v>0</v>
      </c>
      <c r="U313" s="212">
        <f t="shared" si="90"/>
        <v>0</v>
      </c>
      <c r="V313" s="212">
        <f t="shared" si="90"/>
        <v>0</v>
      </c>
      <c r="W313" s="212">
        <f t="shared" si="90"/>
        <v>0</v>
      </c>
      <c r="X313" s="212">
        <f t="shared" si="90"/>
        <v>2545.0127000000002</v>
      </c>
      <c r="Y313" s="212">
        <f t="shared" si="90"/>
        <v>0</v>
      </c>
      <c r="Z313" s="212">
        <f t="shared" si="90"/>
        <v>3946.0960999999998</v>
      </c>
      <c r="AA313" s="212">
        <f t="shared" si="90"/>
        <v>0</v>
      </c>
      <c r="AB313" s="212">
        <f t="shared" si="90"/>
        <v>3126.0090999999998</v>
      </c>
      <c r="AC313" s="212">
        <f t="shared" si="90"/>
        <v>0</v>
      </c>
      <c r="AD313" s="212">
        <f t="shared" si="90"/>
        <v>3459.6809600000001</v>
      </c>
      <c r="AE313" s="212">
        <f t="shared" si="90"/>
        <v>0</v>
      </c>
      <c r="AF313" s="213"/>
      <c r="AG313" s="214">
        <f t="shared" si="37"/>
        <v>0</v>
      </c>
    </row>
    <row r="314" spans="1:33" s="97" customFormat="1" x14ac:dyDescent="0.3">
      <c r="A314" s="618" t="s">
        <v>170</v>
      </c>
      <c r="B314" s="619"/>
      <c r="C314" s="215"/>
      <c r="D314" s="216"/>
      <c r="E314" s="215"/>
      <c r="F314" s="113"/>
      <c r="G314" s="113"/>
      <c r="H314" s="212">
        <f>H320+H326+H332</f>
        <v>0</v>
      </c>
      <c r="I314" s="212">
        <f t="shared" si="90"/>
        <v>0</v>
      </c>
      <c r="J314" s="212">
        <f t="shared" si="90"/>
        <v>0</v>
      </c>
      <c r="K314" s="212">
        <f t="shared" si="90"/>
        <v>0</v>
      </c>
      <c r="L314" s="212">
        <f t="shared" si="90"/>
        <v>0</v>
      </c>
      <c r="M314" s="212">
        <f t="shared" si="90"/>
        <v>0</v>
      </c>
      <c r="N314" s="212">
        <f t="shared" si="90"/>
        <v>0</v>
      </c>
      <c r="O314" s="212">
        <f t="shared" si="90"/>
        <v>0</v>
      </c>
      <c r="P314" s="212">
        <f t="shared" si="90"/>
        <v>0</v>
      </c>
      <c r="Q314" s="212">
        <f t="shared" si="90"/>
        <v>0</v>
      </c>
      <c r="R314" s="212">
        <f t="shared" si="90"/>
        <v>0</v>
      </c>
      <c r="S314" s="212">
        <f t="shared" si="90"/>
        <v>0</v>
      </c>
      <c r="T314" s="212">
        <f t="shared" si="90"/>
        <v>0</v>
      </c>
      <c r="U314" s="212">
        <f t="shared" si="90"/>
        <v>0</v>
      </c>
      <c r="V314" s="212">
        <f t="shared" si="90"/>
        <v>0</v>
      </c>
      <c r="W314" s="212">
        <f t="shared" si="90"/>
        <v>0</v>
      </c>
      <c r="X314" s="212">
        <f t="shared" si="90"/>
        <v>0</v>
      </c>
      <c r="Y314" s="212">
        <f t="shared" si="90"/>
        <v>0</v>
      </c>
      <c r="Z314" s="212">
        <f t="shared" si="90"/>
        <v>0</v>
      </c>
      <c r="AA314" s="212">
        <f t="shared" si="90"/>
        <v>0</v>
      </c>
      <c r="AB314" s="212">
        <f t="shared" si="90"/>
        <v>0</v>
      </c>
      <c r="AC314" s="212">
        <f t="shared" si="90"/>
        <v>0</v>
      </c>
      <c r="AD314" s="212">
        <f t="shared" si="90"/>
        <v>0</v>
      </c>
      <c r="AE314" s="212">
        <f t="shared" si="90"/>
        <v>0</v>
      </c>
      <c r="AF314" s="213"/>
      <c r="AG314" s="214">
        <f t="shared" si="37"/>
        <v>0</v>
      </c>
    </row>
    <row r="315" spans="1:33" ht="61.5" customHeight="1" x14ac:dyDescent="0.3">
      <c r="A315" s="778" t="s">
        <v>308</v>
      </c>
      <c r="B315" s="622"/>
      <c r="C315" s="110"/>
      <c r="D315" s="110"/>
      <c r="E315" s="110"/>
      <c r="F315" s="110"/>
      <c r="G315" s="110"/>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29"/>
      <c r="AG315" s="102">
        <f t="shared" si="37"/>
        <v>0</v>
      </c>
    </row>
    <row r="316" spans="1:33" x14ac:dyDescent="0.3">
      <c r="A316" s="618" t="s">
        <v>31</v>
      </c>
      <c r="B316" s="619">
        <f>B318+B319+B317+B320</f>
        <v>69616.206900000019</v>
      </c>
      <c r="C316" s="113">
        <f>C318+C319+C317+C320</f>
        <v>33458.65855</v>
      </c>
      <c r="D316" s="114">
        <f>D318+D319+D317+D320</f>
        <v>32567.540000000005</v>
      </c>
      <c r="E316" s="113">
        <f>E318+E319+E317+E320</f>
        <v>32567.540000000005</v>
      </c>
      <c r="F316" s="113">
        <f>IFERROR(E316/B316*100,0)</f>
        <v>46.781549082071571</v>
      </c>
      <c r="G316" s="113">
        <f>IFERROR(E316/C316*100,0)</f>
        <v>97.336657867892924</v>
      </c>
      <c r="H316" s="113">
        <f t="shared" ref="H316:AE316" si="92">H318+H319+H317+H320</f>
        <v>3583.5</v>
      </c>
      <c r="I316" s="113">
        <f t="shared" si="92"/>
        <v>3583.5</v>
      </c>
      <c r="J316" s="113">
        <f t="shared" si="92"/>
        <v>7469.0999999999995</v>
      </c>
      <c r="K316" s="113">
        <f t="shared" si="92"/>
        <v>7469.0999999999995</v>
      </c>
      <c r="L316" s="113">
        <f t="shared" si="92"/>
        <v>7977.76</v>
      </c>
      <c r="M316" s="113">
        <f t="shared" si="92"/>
        <v>7977.7699999999995</v>
      </c>
      <c r="N316" s="113">
        <f t="shared" si="92"/>
        <v>6494.36175</v>
      </c>
      <c r="O316" s="113">
        <f t="shared" si="92"/>
        <v>3649.23</v>
      </c>
      <c r="P316" s="113">
        <f t="shared" si="92"/>
        <v>5464.7921999999999</v>
      </c>
      <c r="Q316" s="113">
        <f t="shared" si="92"/>
        <v>7629.5</v>
      </c>
      <c r="R316" s="113">
        <f t="shared" si="92"/>
        <v>2469.1446000000001</v>
      </c>
      <c r="S316" s="113">
        <f t="shared" si="92"/>
        <v>2258.44</v>
      </c>
      <c r="T316" s="113">
        <f t="shared" si="92"/>
        <v>0</v>
      </c>
      <c r="U316" s="113">
        <f t="shared" si="92"/>
        <v>0</v>
      </c>
      <c r="V316" s="113">
        <f t="shared" si="92"/>
        <v>0</v>
      </c>
      <c r="W316" s="113">
        <f t="shared" si="92"/>
        <v>0</v>
      </c>
      <c r="X316" s="113">
        <f t="shared" si="92"/>
        <v>9001.0609000000004</v>
      </c>
      <c r="Y316" s="113">
        <f t="shared" si="92"/>
        <v>0</v>
      </c>
      <c r="Z316" s="113">
        <f t="shared" si="92"/>
        <v>10241.3737</v>
      </c>
      <c r="AA316" s="113">
        <f t="shared" si="92"/>
        <v>0</v>
      </c>
      <c r="AB316" s="113">
        <f t="shared" si="92"/>
        <v>7804.4637000000002</v>
      </c>
      <c r="AC316" s="113">
        <f t="shared" si="92"/>
        <v>0</v>
      </c>
      <c r="AD316" s="113">
        <f t="shared" si="92"/>
        <v>9110.6500500000002</v>
      </c>
      <c r="AE316" s="113">
        <f t="shared" si="92"/>
        <v>0</v>
      </c>
      <c r="AF316" s="29"/>
      <c r="AG316" s="102">
        <f t="shared" si="37"/>
        <v>2.5465851649641991E-11</v>
      </c>
    </row>
    <row r="317" spans="1:33" x14ac:dyDescent="0.3">
      <c r="A317" s="621" t="s">
        <v>169</v>
      </c>
      <c r="B317" s="622">
        <f>J317+L317+N317+P317+R317+T317+V317+X317+Z317+AB317+AD317+H317</f>
        <v>25292.802340000002</v>
      </c>
      <c r="C317" s="117">
        <f>H317+J317+L317+N317+P317+R317</f>
        <v>12156.140150000001</v>
      </c>
      <c r="D317" s="118">
        <f>E317</f>
        <v>11832.380000000001</v>
      </c>
      <c r="E317" s="117">
        <f>SUM(I317,K317,M317,O317,Q317,S317,U317,W317,Y317,AA317,AC317,AE317)</f>
        <v>11832.380000000001</v>
      </c>
      <c r="F317" s="116">
        <f>IFERROR(E317/B317*100,0)</f>
        <v>46.781609411810237</v>
      </c>
      <c r="G317" s="116">
        <f>IFERROR(E317/C317*100,0)</f>
        <v>97.336653361963741</v>
      </c>
      <c r="H317" s="111">
        <v>1301.9000000000001</v>
      </c>
      <c r="I317" s="111">
        <v>1301.9000000000001</v>
      </c>
      <c r="J317" s="111">
        <v>2713.7</v>
      </c>
      <c r="K317" s="111">
        <v>2713.7</v>
      </c>
      <c r="L317" s="111">
        <v>2898.5</v>
      </c>
      <c r="M317" s="111">
        <v>2898.5</v>
      </c>
      <c r="N317" s="111">
        <f>2772.97675-148.08-1157.23</f>
        <v>1467.6667499999999</v>
      </c>
      <c r="O317" s="111">
        <v>1325.81</v>
      </c>
      <c r="P317" s="111">
        <v>2860.0432000000001</v>
      </c>
      <c r="Q317" s="111">
        <v>2860.04</v>
      </c>
      <c r="R317" s="111">
        <v>914.33019999999999</v>
      </c>
      <c r="S317" s="111">
        <v>732.43</v>
      </c>
      <c r="T317" s="111"/>
      <c r="U317" s="111"/>
      <c r="V317" s="111"/>
      <c r="W317" s="111"/>
      <c r="X317" s="111">
        <f>2028.7749+148.08+1157.23</f>
        <v>3334.0848999999998</v>
      </c>
      <c r="Y317" s="111"/>
      <c r="Z317" s="111">
        <f>1077+3218.6217</f>
        <v>4295.6216999999997</v>
      </c>
      <c r="AA317" s="111"/>
      <c r="AB317" s="111">
        <v>2846.4506999999999</v>
      </c>
      <c r="AC317" s="111"/>
      <c r="AD317" s="111">
        <v>2660.5048900000002</v>
      </c>
      <c r="AE317" s="111"/>
      <c r="AF317" s="29"/>
      <c r="AG317" s="102">
        <f t="shared" si="37"/>
        <v>0</v>
      </c>
    </row>
    <row r="318" spans="1:33" x14ac:dyDescent="0.3">
      <c r="A318" s="621" t="s">
        <v>32</v>
      </c>
      <c r="B318" s="622">
        <f>J318+L318+N318+P318+R318+T318+V318+X318+Z318+AB318+AD318+H318</f>
        <v>37939.302850000007</v>
      </c>
      <c r="C318" s="117">
        <f>H318+J318+L318+N318+P318+R318</f>
        <v>18234.215550000001</v>
      </c>
      <c r="D318" s="118">
        <f>E318</f>
        <v>17748.580000000002</v>
      </c>
      <c r="E318" s="117">
        <f>SUM(I318,K318,M318,O318,Q318,S318,U318,W318,Y318,AA318,AC318,AE318)</f>
        <v>17748.580000000002</v>
      </c>
      <c r="F318" s="116">
        <f>IFERROR(E318/B318*100,0)</f>
        <v>46.781513277068555</v>
      </c>
      <c r="G318" s="116">
        <f>IFERROR(E318/C318*100,0)</f>
        <v>97.336679778363163</v>
      </c>
      <c r="H318" s="111">
        <v>1953</v>
      </c>
      <c r="I318" s="111">
        <v>1953</v>
      </c>
      <c r="J318" s="111">
        <v>4070.4</v>
      </c>
      <c r="K318" s="111">
        <v>4070.4</v>
      </c>
      <c r="L318" s="111">
        <v>4347.7</v>
      </c>
      <c r="M318" s="111">
        <v>4347.7</v>
      </c>
      <c r="N318" s="111">
        <f>4146.31675+218.78</f>
        <v>4365.0967499999997</v>
      </c>
      <c r="O318" s="111">
        <v>1988.77</v>
      </c>
      <c r="P318" s="111">
        <f>4356.0644-2164.72</f>
        <v>2191.3444000000004</v>
      </c>
      <c r="Q318" s="111">
        <v>4356.0600000000004</v>
      </c>
      <c r="R318" s="111">
        <f>1525.4544+218.78-437.56</f>
        <v>1306.6744000000001</v>
      </c>
      <c r="S318" s="111">
        <v>1032.6500000000001</v>
      </c>
      <c r="T318" s="111">
        <v>0</v>
      </c>
      <c r="U318" s="111"/>
      <c r="V318" s="111">
        <v>0</v>
      </c>
      <c r="W318" s="111"/>
      <c r="X318" s="111">
        <f>3182.58+3078.7633-1557.38</f>
        <v>4703.9633000000003</v>
      </c>
      <c r="Y318" s="111"/>
      <c r="Z318" s="111">
        <v>4814.6558999999997</v>
      </c>
      <c r="AA318" s="111"/>
      <c r="AB318" s="111">
        <v>4295.6039000000001</v>
      </c>
      <c r="AC318" s="111"/>
      <c r="AD318" s="111">
        <f>2164.72+3726.1442</f>
        <v>5890.8642</v>
      </c>
      <c r="AE318" s="111"/>
      <c r="AF318" s="29"/>
      <c r="AG318" s="102">
        <f t="shared" si="37"/>
        <v>0</v>
      </c>
    </row>
    <row r="319" spans="1:33" x14ac:dyDescent="0.3">
      <c r="A319" s="621" t="s">
        <v>33</v>
      </c>
      <c r="B319" s="622">
        <f>J319+L319+N319+P319+R319+T319+V319+X319+Z319+AB319+AD319+H319</f>
        <v>6384.1017099999999</v>
      </c>
      <c r="C319" s="117">
        <f>H319+J319+L319+N319+P319+R319</f>
        <v>3068.3028499999996</v>
      </c>
      <c r="D319" s="118">
        <f>E319</f>
        <v>2986.5800000000004</v>
      </c>
      <c r="E319" s="117">
        <f>SUM(I319,K319,M319,O319,Q319,S319,U319,W319,Y319,AA319,AC319,AE319)</f>
        <v>2986.5800000000004</v>
      </c>
      <c r="F319" s="116">
        <f>IFERROR(E319/B319*100,0)</f>
        <v>46.781522846383353</v>
      </c>
      <c r="G319" s="116">
        <f>IFERROR(E319/C319*100,0)</f>
        <v>97.336545510818823</v>
      </c>
      <c r="H319" s="111">
        <v>328.6</v>
      </c>
      <c r="I319" s="111">
        <v>328.6</v>
      </c>
      <c r="J319" s="111">
        <v>685</v>
      </c>
      <c r="K319" s="111">
        <v>685</v>
      </c>
      <c r="L319" s="111">
        <v>731.56</v>
      </c>
      <c r="M319" s="111">
        <v>731.57</v>
      </c>
      <c r="N319" s="111">
        <f>736.01825-74.42</f>
        <v>661.59825000000001</v>
      </c>
      <c r="O319" s="111">
        <v>334.65</v>
      </c>
      <c r="P319" s="111">
        <f>769.2946-355.89</f>
        <v>413.40459999999996</v>
      </c>
      <c r="Q319" s="111">
        <v>413.4</v>
      </c>
      <c r="R319" s="111">
        <v>248.14</v>
      </c>
      <c r="S319" s="111">
        <v>493.36</v>
      </c>
      <c r="T319" s="111"/>
      <c r="U319" s="111"/>
      <c r="V319" s="111"/>
      <c r="W319" s="111"/>
      <c r="X319" s="111">
        <f>532.7027+74.42+355.89</f>
        <v>963.0127</v>
      </c>
      <c r="Y319" s="111"/>
      <c r="Z319" s="111">
        <f>356.4+774.6961</f>
        <v>1131.0961</v>
      </c>
      <c r="AA319" s="111"/>
      <c r="AB319" s="111">
        <v>662.40909999999997</v>
      </c>
      <c r="AC319" s="111"/>
      <c r="AD319" s="111">
        <f>19.97+539.31096</f>
        <v>559.28096000000005</v>
      </c>
      <c r="AE319" s="111"/>
      <c r="AF319" s="29"/>
      <c r="AG319" s="102">
        <f t="shared" si="37"/>
        <v>0</v>
      </c>
    </row>
    <row r="320" spans="1:33" x14ac:dyDescent="0.3">
      <c r="A320" s="115" t="s">
        <v>170</v>
      </c>
      <c r="B320" s="116"/>
      <c r="C320" s="117"/>
      <c r="D320" s="118"/>
      <c r="E320" s="117"/>
      <c r="F320" s="116"/>
      <c r="G320" s="116"/>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29"/>
      <c r="AG320" s="102">
        <f t="shared" si="37"/>
        <v>0</v>
      </c>
    </row>
    <row r="321" spans="1:42" ht="39.75" customHeight="1" x14ac:dyDescent="0.3">
      <c r="A321" s="778" t="s">
        <v>309</v>
      </c>
      <c r="B321" s="622"/>
      <c r="C321" s="630"/>
      <c r="D321" s="630"/>
      <c r="E321" s="630"/>
      <c r="F321" s="630"/>
      <c r="G321" s="630"/>
      <c r="H321" s="519"/>
      <c r="I321" s="519"/>
      <c r="J321" s="519"/>
      <c r="K321" s="519"/>
      <c r="L321" s="519"/>
      <c r="M321" s="519"/>
      <c r="N321" s="519"/>
      <c r="O321" s="519"/>
      <c r="P321" s="519"/>
      <c r="Q321" s="519"/>
      <c r="R321" s="519"/>
      <c r="S321" s="519"/>
      <c r="T321" s="519"/>
      <c r="U321" s="519"/>
      <c r="V321" s="519"/>
      <c r="W321" s="519"/>
      <c r="X321" s="519"/>
      <c r="Y321" s="519"/>
      <c r="Z321" s="519"/>
      <c r="AA321" s="519"/>
      <c r="AB321" s="519"/>
      <c r="AC321" s="519"/>
      <c r="AD321" s="519"/>
      <c r="AE321" s="519"/>
      <c r="AF321" s="615"/>
      <c r="AG321" s="616">
        <f t="shared" si="37"/>
        <v>0</v>
      </c>
      <c r="AH321" s="617"/>
      <c r="AI321" s="617"/>
      <c r="AJ321" s="617"/>
      <c r="AK321" s="617"/>
      <c r="AL321" s="617"/>
      <c r="AM321" s="617"/>
      <c r="AN321" s="617"/>
      <c r="AO321" s="617"/>
      <c r="AP321" s="617"/>
    </row>
    <row r="322" spans="1:42" x14ac:dyDescent="0.3">
      <c r="A322" s="618" t="s">
        <v>31</v>
      </c>
      <c r="B322" s="619">
        <f>B324+B325+B323+B326</f>
        <v>24524.800000000003</v>
      </c>
      <c r="C322" s="619">
        <f>C324+C325+C323+C326</f>
        <v>14763.8</v>
      </c>
      <c r="D322" s="779">
        <f>D324+D325+D323+D326</f>
        <v>14763.8</v>
      </c>
      <c r="E322" s="619">
        <f>E324+E325+E323+E326</f>
        <v>14763.8</v>
      </c>
      <c r="F322" s="619">
        <f>IFERROR(E322/B322*100,0)</f>
        <v>60.199471555323584</v>
      </c>
      <c r="G322" s="619">
        <f>IFERROR(E322/C322*100,0)</f>
        <v>100</v>
      </c>
      <c r="H322" s="619">
        <f t="shared" ref="H322:AE322" si="93">H324+H325+H323+H326</f>
        <v>2144.4</v>
      </c>
      <c r="I322" s="619">
        <f t="shared" si="93"/>
        <v>2144.4</v>
      </c>
      <c r="J322" s="619">
        <f t="shared" si="93"/>
        <v>3268</v>
      </c>
      <c r="K322" s="619">
        <f t="shared" si="93"/>
        <v>3268</v>
      </c>
      <c r="L322" s="619">
        <f t="shared" si="93"/>
        <v>2875</v>
      </c>
      <c r="M322" s="619">
        <f t="shared" si="93"/>
        <v>2875</v>
      </c>
      <c r="N322" s="619">
        <f t="shared" si="93"/>
        <v>2457</v>
      </c>
      <c r="O322" s="619">
        <f t="shared" si="93"/>
        <v>2457</v>
      </c>
      <c r="P322" s="619">
        <f t="shared" si="93"/>
        <v>2698</v>
      </c>
      <c r="Q322" s="619">
        <f t="shared" si="93"/>
        <v>2698</v>
      </c>
      <c r="R322" s="619">
        <f t="shared" si="93"/>
        <v>1321.4</v>
      </c>
      <c r="S322" s="619">
        <f t="shared" si="93"/>
        <v>1321.4</v>
      </c>
      <c r="T322" s="619">
        <f t="shared" si="93"/>
        <v>0</v>
      </c>
      <c r="U322" s="619">
        <f t="shared" si="93"/>
        <v>0</v>
      </c>
      <c r="V322" s="619">
        <f t="shared" si="93"/>
        <v>0</v>
      </c>
      <c r="W322" s="619">
        <f t="shared" si="93"/>
        <v>0</v>
      </c>
      <c r="X322" s="619">
        <f t="shared" si="93"/>
        <v>1582</v>
      </c>
      <c r="Y322" s="619">
        <f t="shared" si="93"/>
        <v>0</v>
      </c>
      <c r="Z322" s="619">
        <f t="shared" si="93"/>
        <v>2815</v>
      </c>
      <c r="AA322" s="619">
        <f t="shared" si="93"/>
        <v>0</v>
      </c>
      <c r="AB322" s="619">
        <f t="shared" si="93"/>
        <v>2463.6</v>
      </c>
      <c r="AC322" s="619">
        <f t="shared" si="93"/>
        <v>0</v>
      </c>
      <c r="AD322" s="619">
        <f t="shared" si="93"/>
        <v>2900.4</v>
      </c>
      <c r="AE322" s="619">
        <f t="shared" si="93"/>
        <v>0</v>
      </c>
      <c r="AF322" s="615"/>
      <c r="AG322" s="616">
        <f t="shared" si="37"/>
        <v>0</v>
      </c>
      <c r="AH322" s="617"/>
      <c r="AI322" s="617"/>
      <c r="AJ322" s="617"/>
      <c r="AK322" s="617"/>
      <c r="AL322" s="617"/>
      <c r="AM322" s="617"/>
      <c r="AN322" s="617"/>
      <c r="AO322" s="617"/>
      <c r="AP322" s="617"/>
    </row>
    <row r="323" spans="1:42" x14ac:dyDescent="0.3">
      <c r="A323" s="621" t="s">
        <v>169</v>
      </c>
      <c r="B323" s="622">
        <f>J323+L323+N323+P323+R323+T323+V323+X323+Z323+AB323+AD323+H323</f>
        <v>0</v>
      </c>
      <c r="C323" s="777">
        <f>SUM(H323)</f>
        <v>0</v>
      </c>
      <c r="D323" s="780">
        <f>E323</f>
        <v>0</v>
      </c>
      <c r="E323" s="777">
        <f>SUM(I323,K323,M323,O323,Q323,S323,U323,W323,Y323,AA323,AC323,AE323)</f>
        <v>0</v>
      </c>
      <c r="F323" s="622">
        <f>IFERROR(E323/B323*100,0)</f>
        <v>0</v>
      </c>
      <c r="G323" s="622">
        <f>IFERROR(E323/C323*100,0)</f>
        <v>0</v>
      </c>
      <c r="H323" s="519"/>
      <c r="I323" s="519"/>
      <c r="J323" s="519"/>
      <c r="K323" s="519"/>
      <c r="L323" s="519"/>
      <c r="M323" s="519"/>
      <c r="N323" s="519"/>
      <c r="O323" s="519"/>
      <c r="P323" s="519"/>
      <c r="Q323" s="519"/>
      <c r="R323" s="519"/>
      <c r="S323" s="519"/>
      <c r="T323" s="519"/>
      <c r="U323" s="519"/>
      <c r="V323" s="519"/>
      <c r="W323" s="519"/>
      <c r="X323" s="519"/>
      <c r="Y323" s="519"/>
      <c r="Z323" s="519"/>
      <c r="AA323" s="519"/>
      <c r="AB323" s="519"/>
      <c r="AC323" s="519"/>
      <c r="AD323" s="519"/>
      <c r="AE323" s="519"/>
      <c r="AF323" s="615"/>
      <c r="AG323" s="616">
        <f t="shared" si="37"/>
        <v>0</v>
      </c>
      <c r="AH323" s="617"/>
      <c r="AI323" s="617"/>
      <c r="AJ323" s="617"/>
      <c r="AK323" s="617"/>
      <c r="AL323" s="617"/>
      <c r="AM323" s="617"/>
      <c r="AN323" s="617"/>
      <c r="AO323" s="617"/>
      <c r="AP323" s="617"/>
    </row>
    <row r="324" spans="1:42" x14ac:dyDescent="0.3">
      <c r="A324" s="621" t="s">
        <v>32</v>
      </c>
      <c r="B324" s="622">
        <f>J324+L324+N324+P324+R324+T324+V324+X324+Z324+AB324+AD324+H324</f>
        <v>0</v>
      </c>
      <c r="C324" s="777">
        <f>SUM(H324)</f>
        <v>0</v>
      </c>
      <c r="D324" s="780">
        <f>E324</f>
        <v>0</v>
      </c>
      <c r="E324" s="777">
        <f>SUM(I324,K324,M324,O324,Q324,S324,U324,W324,Y324,AA324,AC324,AE324)</f>
        <v>0</v>
      </c>
      <c r="F324" s="622">
        <f>IFERROR(E324/B324*100,0)</f>
        <v>0</v>
      </c>
      <c r="G324" s="622">
        <f>IFERROR(E324/C324*100,0)</f>
        <v>0</v>
      </c>
      <c r="H324" s="519"/>
      <c r="I324" s="519"/>
      <c r="J324" s="519"/>
      <c r="K324" s="519"/>
      <c r="L324" s="519"/>
      <c r="M324" s="519"/>
      <c r="N324" s="519"/>
      <c r="O324" s="519"/>
      <c r="P324" s="519"/>
      <c r="Q324" s="519"/>
      <c r="R324" s="519"/>
      <c r="S324" s="519"/>
      <c r="T324" s="519"/>
      <c r="U324" s="519"/>
      <c r="V324" s="519"/>
      <c r="W324" s="519"/>
      <c r="X324" s="519"/>
      <c r="Y324" s="519"/>
      <c r="Z324" s="519"/>
      <c r="AA324" s="519"/>
      <c r="AB324" s="519"/>
      <c r="AC324" s="519"/>
      <c r="AD324" s="519"/>
      <c r="AE324" s="519"/>
      <c r="AF324" s="615"/>
      <c r="AG324" s="616">
        <f t="shared" si="37"/>
        <v>0</v>
      </c>
      <c r="AH324" s="617"/>
      <c r="AI324" s="617"/>
      <c r="AJ324" s="617"/>
      <c r="AK324" s="617"/>
      <c r="AL324" s="617"/>
      <c r="AM324" s="617"/>
      <c r="AN324" s="617"/>
      <c r="AO324" s="617"/>
      <c r="AP324" s="617"/>
    </row>
    <row r="325" spans="1:42" x14ac:dyDescent="0.3">
      <c r="A325" s="621" t="s">
        <v>33</v>
      </c>
      <c r="B325" s="622">
        <f>J325+L325+N325+P325+R325+T325+V325+X325+Z325+AB325+AD325+H325</f>
        <v>24524.800000000003</v>
      </c>
      <c r="C325" s="777">
        <f>H325+J325+L325+N325+P325+R325</f>
        <v>14763.8</v>
      </c>
      <c r="D325" s="780">
        <f>E325</f>
        <v>14763.8</v>
      </c>
      <c r="E325" s="777">
        <f>SUM(I325,K325,M325,O325,Q325,S325,U325,W325,Y325,AA325,AC325,AE325)</f>
        <v>14763.8</v>
      </c>
      <c r="F325" s="622">
        <f>IFERROR(E325/B325*100,0)</f>
        <v>60.199471555323584</v>
      </c>
      <c r="G325" s="622">
        <f>IFERROR(E325/C325*100,0)</f>
        <v>100</v>
      </c>
      <c r="H325" s="519">
        <v>2144.4</v>
      </c>
      <c r="I325" s="519">
        <v>2144.4</v>
      </c>
      <c r="J325" s="519">
        <v>3268</v>
      </c>
      <c r="K325" s="519">
        <v>3268</v>
      </c>
      <c r="L325" s="519">
        <v>2875</v>
      </c>
      <c r="M325" s="519">
        <v>2875</v>
      </c>
      <c r="N325" s="519">
        <v>2457</v>
      </c>
      <c r="O325" s="519">
        <v>2457</v>
      </c>
      <c r="P325" s="519">
        <v>2698</v>
      </c>
      <c r="Q325" s="519">
        <v>2698</v>
      </c>
      <c r="R325" s="519">
        <v>1321.4</v>
      </c>
      <c r="S325" s="519">
        <v>1321.4</v>
      </c>
      <c r="T325" s="519"/>
      <c r="U325" s="519"/>
      <c r="V325" s="519">
        <v>0</v>
      </c>
      <c r="W325" s="519"/>
      <c r="X325" s="519">
        <v>1582</v>
      </c>
      <c r="Y325" s="519"/>
      <c r="Z325" s="519">
        <v>2815</v>
      </c>
      <c r="AA325" s="519"/>
      <c r="AB325" s="519">
        <v>2463.6</v>
      </c>
      <c r="AC325" s="519"/>
      <c r="AD325" s="519">
        <v>2900.4</v>
      </c>
      <c r="AE325" s="519"/>
      <c r="AF325" s="615"/>
      <c r="AG325" s="616">
        <f t="shared" si="37"/>
        <v>0</v>
      </c>
      <c r="AH325" s="617"/>
      <c r="AI325" s="617"/>
      <c r="AJ325" s="617"/>
      <c r="AK325" s="617"/>
      <c r="AL325" s="617"/>
      <c r="AM325" s="617"/>
      <c r="AN325" s="617"/>
      <c r="AO325" s="617"/>
      <c r="AP325" s="617"/>
    </row>
    <row r="326" spans="1:42" x14ac:dyDescent="0.3">
      <c r="A326" s="621" t="s">
        <v>170</v>
      </c>
      <c r="B326" s="622"/>
      <c r="C326" s="777"/>
      <c r="D326" s="780"/>
      <c r="E326" s="777"/>
      <c r="F326" s="622"/>
      <c r="G326" s="622"/>
      <c r="H326" s="519"/>
      <c r="I326" s="519"/>
      <c r="J326" s="519"/>
      <c r="K326" s="519"/>
      <c r="L326" s="519"/>
      <c r="M326" s="519"/>
      <c r="N326" s="519"/>
      <c r="O326" s="519"/>
      <c r="P326" s="519"/>
      <c r="Q326" s="519"/>
      <c r="R326" s="519"/>
      <c r="S326" s="519"/>
      <c r="T326" s="519"/>
      <c r="U326" s="519"/>
      <c r="V326" s="519"/>
      <c r="W326" s="519"/>
      <c r="X326" s="519"/>
      <c r="Y326" s="519"/>
      <c r="Z326" s="519"/>
      <c r="AA326" s="519"/>
      <c r="AB326" s="519"/>
      <c r="AC326" s="519"/>
      <c r="AD326" s="519"/>
      <c r="AE326" s="519"/>
      <c r="AF326" s="615"/>
      <c r="AG326" s="616">
        <f t="shared" si="37"/>
        <v>0</v>
      </c>
      <c r="AH326" s="617"/>
      <c r="AI326" s="617"/>
      <c r="AJ326" s="617"/>
      <c r="AK326" s="617"/>
      <c r="AL326" s="617"/>
      <c r="AM326" s="617"/>
      <c r="AN326" s="617"/>
      <c r="AO326" s="617"/>
      <c r="AP326" s="617"/>
    </row>
    <row r="327" spans="1:42" ht="133.5" customHeight="1" x14ac:dyDescent="0.3">
      <c r="A327" s="778" t="s">
        <v>310</v>
      </c>
      <c r="B327" s="622"/>
      <c r="C327" s="630"/>
      <c r="D327" s="630"/>
      <c r="E327" s="630"/>
      <c r="F327" s="630"/>
      <c r="G327" s="630"/>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19"/>
      <c r="AD327" s="519"/>
      <c r="AE327" s="519"/>
      <c r="AF327" s="615"/>
      <c r="AG327" s="616">
        <f t="shared" si="37"/>
        <v>0</v>
      </c>
      <c r="AH327" s="617"/>
      <c r="AI327" s="617"/>
      <c r="AJ327" s="617"/>
      <c r="AK327" s="617"/>
      <c r="AL327" s="617"/>
      <c r="AM327" s="617"/>
      <c r="AN327" s="617"/>
      <c r="AO327" s="617"/>
      <c r="AP327" s="617"/>
    </row>
    <row r="328" spans="1:42" x14ac:dyDescent="0.3">
      <c r="A328" s="618" t="s">
        <v>31</v>
      </c>
      <c r="B328" s="619">
        <f>B330+B331+B329+B332</f>
        <v>134725.99599999998</v>
      </c>
      <c r="C328" s="619">
        <f>C330+C331+C329+C332</f>
        <v>85309.292999999991</v>
      </c>
      <c r="D328" s="779">
        <f>D330+D331+D329+D332</f>
        <v>76078.740000000005</v>
      </c>
      <c r="E328" s="619">
        <f>E330+E331+E329+E332</f>
        <v>76078.740000000005</v>
      </c>
      <c r="F328" s="619">
        <f>IFERROR(E328/B328*100,0)</f>
        <v>56.46923552897691</v>
      </c>
      <c r="G328" s="619">
        <f>IFERROR(E328/C328*100,0)</f>
        <v>89.179897435089529</v>
      </c>
      <c r="H328" s="619">
        <f t="shared" ref="H328:AE328" si="94">H330+H331+H329+H332</f>
        <v>10001.5</v>
      </c>
      <c r="I328" s="619">
        <f t="shared" si="94"/>
        <v>3688.7</v>
      </c>
      <c r="J328" s="619">
        <f t="shared" si="94"/>
        <v>18083.64</v>
      </c>
      <c r="K328" s="619">
        <f t="shared" si="94"/>
        <v>18184.400000000001</v>
      </c>
      <c r="L328" s="619">
        <f t="shared" si="94"/>
        <v>17454.57</v>
      </c>
      <c r="M328" s="619">
        <f t="shared" si="94"/>
        <v>18177.84</v>
      </c>
      <c r="N328" s="619">
        <f t="shared" si="94"/>
        <v>14723.52</v>
      </c>
      <c r="O328" s="619">
        <f t="shared" si="94"/>
        <v>10326.040000000001</v>
      </c>
      <c r="P328" s="619">
        <f t="shared" si="94"/>
        <v>16585.009999999998</v>
      </c>
      <c r="Q328" s="619">
        <f t="shared" si="94"/>
        <v>16585.009999999998</v>
      </c>
      <c r="R328" s="619">
        <f t="shared" si="94"/>
        <v>8461.0529999999999</v>
      </c>
      <c r="S328" s="619">
        <f t="shared" si="94"/>
        <v>9116.75</v>
      </c>
      <c r="T328" s="619">
        <f t="shared" si="94"/>
        <v>0</v>
      </c>
      <c r="U328" s="619">
        <f t="shared" si="94"/>
        <v>0</v>
      </c>
      <c r="V328" s="619">
        <f t="shared" si="94"/>
        <v>0</v>
      </c>
      <c r="W328" s="619">
        <f t="shared" si="94"/>
        <v>0</v>
      </c>
      <c r="X328" s="619">
        <f t="shared" si="94"/>
        <v>8871.005000000001</v>
      </c>
      <c r="Y328" s="619">
        <f t="shared" si="94"/>
        <v>0</v>
      </c>
      <c r="Z328" s="619">
        <f t="shared" si="94"/>
        <v>17175.315999999999</v>
      </c>
      <c r="AA328" s="619">
        <f t="shared" si="94"/>
        <v>0</v>
      </c>
      <c r="AB328" s="619">
        <f t="shared" si="94"/>
        <v>13380.572</v>
      </c>
      <c r="AC328" s="619">
        <f t="shared" si="94"/>
        <v>0</v>
      </c>
      <c r="AD328" s="619">
        <f t="shared" si="94"/>
        <v>9989.81</v>
      </c>
      <c r="AE328" s="619">
        <f t="shared" si="94"/>
        <v>0</v>
      </c>
      <c r="AF328" s="615"/>
      <c r="AG328" s="616">
        <f t="shared" si="37"/>
        <v>0</v>
      </c>
      <c r="AH328" s="617"/>
      <c r="AI328" s="617"/>
      <c r="AJ328" s="617"/>
      <c r="AK328" s="617"/>
      <c r="AL328" s="617"/>
      <c r="AM328" s="617"/>
      <c r="AN328" s="617"/>
      <c r="AO328" s="617"/>
      <c r="AP328" s="617"/>
    </row>
    <row r="329" spans="1:42" x14ac:dyDescent="0.3">
      <c r="A329" s="621" t="s">
        <v>169</v>
      </c>
      <c r="B329" s="622">
        <f>J329+L329+N329+P329+R329+T329+V329+X329+Z329+AB329+AD329+H329</f>
        <v>0</v>
      </c>
      <c r="C329" s="777">
        <f>SUM(H329)</f>
        <v>0</v>
      </c>
      <c r="D329" s="780">
        <f>E329</f>
        <v>0</v>
      </c>
      <c r="E329" s="777">
        <f>SUM(I329,K329,M329,O329,Q329,S329,U329,W329,Y329,AA329,AC329,AE329)</f>
        <v>0</v>
      </c>
      <c r="F329" s="622">
        <f>IFERROR(E329/B329*100,0)</f>
        <v>0</v>
      </c>
      <c r="G329" s="622">
        <f>IFERROR(E329/C329*100,0)</f>
        <v>0</v>
      </c>
      <c r="H329" s="519"/>
      <c r="I329" s="519"/>
      <c r="J329" s="519"/>
      <c r="K329" s="519"/>
      <c r="L329" s="519"/>
      <c r="M329" s="519"/>
      <c r="N329" s="519"/>
      <c r="O329" s="519"/>
      <c r="P329" s="519"/>
      <c r="Q329" s="519"/>
      <c r="R329" s="519"/>
      <c r="S329" s="519"/>
      <c r="T329" s="519"/>
      <c r="U329" s="519"/>
      <c r="V329" s="519"/>
      <c r="W329" s="519"/>
      <c r="X329" s="519"/>
      <c r="Y329" s="519"/>
      <c r="Z329" s="519"/>
      <c r="AA329" s="519"/>
      <c r="AB329" s="519"/>
      <c r="AC329" s="519"/>
      <c r="AD329" s="519"/>
      <c r="AE329" s="519"/>
      <c r="AF329" s="615"/>
      <c r="AG329" s="616">
        <f t="shared" si="37"/>
        <v>0</v>
      </c>
      <c r="AH329" s="617"/>
      <c r="AI329" s="617"/>
      <c r="AJ329" s="617"/>
      <c r="AK329" s="617"/>
      <c r="AL329" s="617"/>
      <c r="AM329" s="617"/>
      <c r="AN329" s="617"/>
      <c r="AO329" s="617"/>
      <c r="AP329" s="617"/>
    </row>
    <row r="330" spans="1:42" s="697" customFormat="1" ht="62.25" customHeight="1" x14ac:dyDescent="0.3">
      <c r="A330" s="621" t="s">
        <v>32</v>
      </c>
      <c r="B330" s="622">
        <f>J330+L330+N330+P330+R330+T330+V330+X330+Z330+AB330+AD330+H330</f>
        <v>134725.99599999998</v>
      </c>
      <c r="C330" s="777">
        <f>H330+J330+L330+N330+P330+R330</f>
        <v>85309.292999999991</v>
      </c>
      <c r="D330" s="780">
        <f>E330</f>
        <v>76078.740000000005</v>
      </c>
      <c r="E330" s="777">
        <f>SUM(I330,K330,M330,O330,Q330,S330,U330,W330,Y330,AA330,AC330,AE330)</f>
        <v>76078.740000000005</v>
      </c>
      <c r="F330" s="622">
        <f>IFERROR(E330/B330*100,0)</f>
        <v>56.46923552897691</v>
      </c>
      <c r="G330" s="622">
        <f>IFERROR(E330/C330*100,0)</f>
        <v>89.179897435089529</v>
      </c>
      <c r="H330" s="519">
        <v>10001.5</v>
      </c>
      <c r="I330" s="519">
        <v>3688.7</v>
      </c>
      <c r="J330" s="519">
        <v>18083.64</v>
      </c>
      <c r="K330" s="519">
        <v>18184.400000000001</v>
      </c>
      <c r="L330" s="519">
        <v>17454.57</v>
      </c>
      <c r="M330" s="519">
        <v>18177.84</v>
      </c>
      <c r="N330" s="519">
        <v>14723.52</v>
      </c>
      <c r="O330" s="519">
        <v>10326.040000000001</v>
      </c>
      <c r="P330" s="519">
        <v>16585.009999999998</v>
      </c>
      <c r="Q330" s="519">
        <v>16585.009999999998</v>
      </c>
      <c r="R330" s="519">
        <f>6378.063+2082.99</f>
        <v>8461.0529999999999</v>
      </c>
      <c r="S330" s="519">
        <v>9116.75</v>
      </c>
      <c r="T330" s="519">
        <v>0</v>
      </c>
      <c r="U330" s="519"/>
      <c r="V330" s="519"/>
      <c r="W330" s="519"/>
      <c r="X330" s="519">
        <f>10953.995-2082.99</f>
        <v>8871.005000000001</v>
      </c>
      <c r="Y330" s="519"/>
      <c r="Z330" s="519">
        <v>17175.315999999999</v>
      </c>
      <c r="AA330" s="519"/>
      <c r="AB330" s="519">
        <v>13380.572</v>
      </c>
      <c r="AC330" s="519"/>
      <c r="AD330" s="519">
        <v>9989.81</v>
      </c>
      <c r="AE330" s="519"/>
      <c r="AF330" s="781" t="s">
        <v>501</v>
      </c>
      <c r="AG330" s="616">
        <f t="shared" si="37"/>
        <v>0</v>
      </c>
      <c r="AH330" s="782">
        <f>C330-E330</f>
        <v>9230.5529999999853</v>
      </c>
      <c r="AI330" s="617"/>
      <c r="AJ330" s="617"/>
      <c r="AK330" s="617"/>
      <c r="AL330" s="617"/>
      <c r="AM330" s="617"/>
      <c r="AN330" s="617"/>
      <c r="AO330" s="617"/>
      <c r="AP330" s="617"/>
    </row>
    <row r="331" spans="1:42" x14ac:dyDescent="0.3">
      <c r="A331" s="115" t="s">
        <v>33</v>
      </c>
      <c r="B331" s="622">
        <f>J331+L331+N331+P331+R331+T331+V331+X331+Z331+AB331+AD331+H331</f>
        <v>0</v>
      </c>
      <c r="C331" s="117">
        <f>SUM(H331)</f>
        <v>0</v>
      </c>
      <c r="D331" s="118">
        <f>E331</f>
        <v>0</v>
      </c>
      <c r="E331" s="117">
        <f>SUM(I331,K331,M331,O331,Q331,S331,U331,W331,Y331,AA331,AC331,AE331)</f>
        <v>0</v>
      </c>
      <c r="F331" s="116">
        <f>IFERROR(E331/B331*100,0)</f>
        <v>0</v>
      </c>
      <c r="G331" s="116">
        <f>IFERROR(E331/C331*100,0)</f>
        <v>0</v>
      </c>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29"/>
      <c r="AG331" s="102">
        <f t="shared" si="37"/>
        <v>0</v>
      </c>
    </row>
    <row r="332" spans="1:42" x14ac:dyDescent="0.3">
      <c r="A332" s="115" t="s">
        <v>170</v>
      </c>
      <c r="B332" s="116"/>
      <c r="C332" s="117"/>
      <c r="D332" s="118"/>
      <c r="E332" s="117"/>
      <c r="F332" s="116"/>
      <c r="G332" s="116"/>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29"/>
      <c r="AG332" s="102">
        <f t="shared" si="37"/>
        <v>0</v>
      </c>
    </row>
    <row r="333" spans="1:42" ht="50.25" customHeight="1" x14ac:dyDescent="0.3">
      <c r="A333" s="98" t="s">
        <v>311</v>
      </c>
      <c r="B333" s="143"/>
      <c r="C333" s="144"/>
      <c r="D333" s="144"/>
      <c r="E333" s="144"/>
      <c r="F333" s="144"/>
      <c r="G333" s="144"/>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01"/>
      <c r="AG333" s="102">
        <f t="shared" si="37"/>
        <v>0</v>
      </c>
    </row>
    <row r="334" spans="1:42" x14ac:dyDescent="0.3">
      <c r="A334" s="145" t="s">
        <v>31</v>
      </c>
      <c r="B334" s="104">
        <f>B335+B336+B337+B338</f>
        <v>4534.2</v>
      </c>
      <c r="C334" s="104">
        <f>C335+C336+C337+C338</f>
        <v>1829</v>
      </c>
      <c r="D334" s="104">
        <f>D335+D336+D337+D338</f>
        <v>1549</v>
      </c>
      <c r="E334" s="104">
        <f>E335+E336+E337+E338</f>
        <v>1549</v>
      </c>
      <c r="F334" s="107">
        <f>IFERROR(E334/B334*100,0)</f>
        <v>34.162586564333289</v>
      </c>
      <c r="G334" s="107">
        <f>IFERROR(E334/C334*100,0)</f>
        <v>84.691088026243847</v>
      </c>
      <c r="H334" s="104">
        <f t="shared" ref="H334:AE334" si="95">H335+H336+H337+H338</f>
        <v>0</v>
      </c>
      <c r="I334" s="104">
        <f t="shared" si="95"/>
        <v>0</v>
      </c>
      <c r="J334" s="104">
        <f t="shared" si="95"/>
        <v>0</v>
      </c>
      <c r="K334" s="104">
        <f t="shared" si="95"/>
        <v>0</v>
      </c>
      <c r="L334" s="104">
        <f t="shared" si="95"/>
        <v>1829</v>
      </c>
      <c r="M334" s="104">
        <f t="shared" si="95"/>
        <v>824</v>
      </c>
      <c r="N334" s="104">
        <f t="shared" si="95"/>
        <v>0</v>
      </c>
      <c r="O334" s="104">
        <f t="shared" si="95"/>
        <v>725</v>
      </c>
      <c r="P334" s="104">
        <f t="shared" si="95"/>
        <v>0</v>
      </c>
      <c r="Q334" s="104">
        <f t="shared" si="95"/>
        <v>0</v>
      </c>
      <c r="R334" s="104">
        <f t="shared" si="95"/>
        <v>0</v>
      </c>
      <c r="S334" s="104">
        <f t="shared" si="95"/>
        <v>0</v>
      </c>
      <c r="T334" s="104">
        <f t="shared" si="95"/>
        <v>0</v>
      </c>
      <c r="U334" s="104">
        <f t="shared" si="95"/>
        <v>0</v>
      </c>
      <c r="V334" s="104">
        <f t="shared" si="95"/>
        <v>360</v>
      </c>
      <c r="W334" s="104">
        <f t="shared" si="95"/>
        <v>0</v>
      </c>
      <c r="X334" s="104">
        <f t="shared" si="95"/>
        <v>0</v>
      </c>
      <c r="Y334" s="104">
        <f t="shared" si="95"/>
        <v>0</v>
      </c>
      <c r="Z334" s="104">
        <f t="shared" si="95"/>
        <v>0</v>
      </c>
      <c r="AA334" s="104">
        <f t="shared" si="95"/>
        <v>0</v>
      </c>
      <c r="AB334" s="104">
        <f t="shared" si="95"/>
        <v>0</v>
      </c>
      <c r="AC334" s="104">
        <f t="shared" si="95"/>
        <v>0</v>
      </c>
      <c r="AD334" s="104">
        <f t="shared" si="95"/>
        <v>2345.1999999999998</v>
      </c>
      <c r="AE334" s="104">
        <f t="shared" si="95"/>
        <v>0</v>
      </c>
      <c r="AF334" s="101"/>
      <c r="AG334" s="102">
        <f t="shared" si="37"/>
        <v>0</v>
      </c>
    </row>
    <row r="335" spans="1:42" x14ac:dyDescent="0.3">
      <c r="A335" s="146" t="s">
        <v>169</v>
      </c>
      <c r="B335" s="107">
        <f t="shared" ref="B335:E338" si="96">B341+B347</f>
        <v>0</v>
      </c>
      <c r="C335" s="107">
        <f>C341+C347</f>
        <v>0</v>
      </c>
      <c r="D335" s="107">
        <f t="shared" si="96"/>
        <v>0</v>
      </c>
      <c r="E335" s="107">
        <f t="shared" si="96"/>
        <v>0</v>
      </c>
      <c r="F335" s="107"/>
      <c r="G335" s="107"/>
      <c r="H335" s="107">
        <f t="shared" ref="H335:AE338" si="97">H341+H347</f>
        <v>0</v>
      </c>
      <c r="I335" s="107">
        <f t="shared" si="97"/>
        <v>0</v>
      </c>
      <c r="J335" s="107">
        <f t="shared" si="97"/>
        <v>0</v>
      </c>
      <c r="K335" s="107">
        <f t="shared" si="97"/>
        <v>0</v>
      </c>
      <c r="L335" s="107">
        <f t="shared" si="97"/>
        <v>0</v>
      </c>
      <c r="M335" s="107">
        <f t="shared" si="97"/>
        <v>0</v>
      </c>
      <c r="N335" s="107">
        <f t="shared" si="97"/>
        <v>0</v>
      </c>
      <c r="O335" s="107">
        <f t="shared" si="97"/>
        <v>0</v>
      </c>
      <c r="P335" s="107">
        <f t="shared" si="97"/>
        <v>0</v>
      </c>
      <c r="Q335" s="107">
        <f t="shared" si="97"/>
        <v>0</v>
      </c>
      <c r="R335" s="107">
        <f t="shared" si="97"/>
        <v>0</v>
      </c>
      <c r="S335" s="107">
        <f t="shared" si="97"/>
        <v>0</v>
      </c>
      <c r="T335" s="107">
        <f t="shared" si="97"/>
        <v>0</v>
      </c>
      <c r="U335" s="107">
        <f t="shared" si="97"/>
        <v>0</v>
      </c>
      <c r="V335" s="107">
        <f t="shared" si="97"/>
        <v>0</v>
      </c>
      <c r="W335" s="107">
        <f t="shared" si="97"/>
        <v>0</v>
      </c>
      <c r="X335" s="107">
        <f t="shared" si="97"/>
        <v>0</v>
      </c>
      <c r="Y335" s="107">
        <f>Y341+Y347</f>
        <v>0</v>
      </c>
      <c r="Z335" s="107">
        <f t="shared" ref="Z335:AE335" si="98">Z341+Z347</f>
        <v>0</v>
      </c>
      <c r="AA335" s="107">
        <f t="shared" si="98"/>
        <v>0</v>
      </c>
      <c r="AB335" s="107">
        <f t="shared" si="98"/>
        <v>0</v>
      </c>
      <c r="AC335" s="107">
        <f t="shared" si="98"/>
        <v>0</v>
      </c>
      <c r="AD335" s="107">
        <f t="shared" si="98"/>
        <v>0</v>
      </c>
      <c r="AE335" s="107">
        <f t="shared" si="98"/>
        <v>0</v>
      </c>
      <c r="AF335" s="101"/>
      <c r="AG335" s="102">
        <f t="shared" si="37"/>
        <v>0</v>
      </c>
    </row>
    <row r="336" spans="1:42" x14ac:dyDescent="0.3">
      <c r="A336" s="146" t="s">
        <v>32</v>
      </c>
      <c r="B336" s="107">
        <f t="shared" si="96"/>
        <v>2189</v>
      </c>
      <c r="C336" s="107">
        <f>C342+C348</f>
        <v>1829</v>
      </c>
      <c r="D336" s="107">
        <f t="shared" si="96"/>
        <v>1549</v>
      </c>
      <c r="E336" s="107">
        <f t="shared" si="96"/>
        <v>1549</v>
      </c>
      <c r="F336" s="107"/>
      <c r="G336" s="107"/>
      <c r="H336" s="107">
        <f t="shared" si="97"/>
        <v>0</v>
      </c>
      <c r="I336" s="107">
        <f t="shared" si="97"/>
        <v>0</v>
      </c>
      <c r="J336" s="107">
        <f t="shared" si="97"/>
        <v>0</v>
      </c>
      <c r="K336" s="107">
        <f t="shared" si="97"/>
        <v>0</v>
      </c>
      <c r="L336" s="107">
        <f t="shared" si="97"/>
        <v>1829</v>
      </c>
      <c r="M336" s="107">
        <f t="shared" si="97"/>
        <v>824</v>
      </c>
      <c r="N336" s="107">
        <f t="shared" si="97"/>
        <v>0</v>
      </c>
      <c r="O336" s="107">
        <f t="shared" si="97"/>
        <v>725</v>
      </c>
      <c r="P336" s="107">
        <f t="shared" si="97"/>
        <v>0</v>
      </c>
      <c r="Q336" s="107">
        <f t="shared" si="97"/>
        <v>0</v>
      </c>
      <c r="R336" s="107">
        <f t="shared" si="97"/>
        <v>0</v>
      </c>
      <c r="S336" s="107">
        <f t="shared" si="97"/>
        <v>0</v>
      </c>
      <c r="T336" s="107">
        <f t="shared" si="97"/>
        <v>0</v>
      </c>
      <c r="U336" s="107">
        <f t="shared" si="97"/>
        <v>0</v>
      </c>
      <c r="V336" s="107">
        <f t="shared" si="97"/>
        <v>360</v>
      </c>
      <c r="W336" s="107">
        <f t="shared" si="97"/>
        <v>0</v>
      </c>
      <c r="X336" s="107">
        <f t="shared" si="97"/>
        <v>0</v>
      </c>
      <c r="Y336" s="107">
        <f t="shared" si="97"/>
        <v>0</v>
      </c>
      <c r="Z336" s="107">
        <f t="shared" si="97"/>
        <v>0</v>
      </c>
      <c r="AA336" s="107">
        <f t="shared" si="97"/>
        <v>0</v>
      </c>
      <c r="AB336" s="107">
        <f t="shared" si="97"/>
        <v>0</v>
      </c>
      <c r="AC336" s="107">
        <f t="shared" si="97"/>
        <v>0</v>
      </c>
      <c r="AD336" s="107">
        <f t="shared" si="97"/>
        <v>0</v>
      </c>
      <c r="AE336" s="107">
        <f t="shared" si="97"/>
        <v>0</v>
      </c>
      <c r="AF336" s="101"/>
      <c r="AG336" s="102">
        <f t="shared" si="37"/>
        <v>0</v>
      </c>
    </row>
    <row r="337" spans="1:33" x14ac:dyDescent="0.3">
      <c r="A337" s="146" t="s">
        <v>33</v>
      </c>
      <c r="B337" s="107">
        <f t="shared" si="96"/>
        <v>2345.1999999999998</v>
      </c>
      <c r="C337" s="107">
        <f t="shared" si="96"/>
        <v>0</v>
      </c>
      <c r="D337" s="107">
        <f t="shared" si="96"/>
        <v>0</v>
      </c>
      <c r="E337" s="107">
        <f t="shared" si="96"/>
        <v>0</v>
      </c>
      <c r="F337" s="107">
        <f>IFERROR(E337/B337*100,0)</f>
        <v>0</v>
      </c>
      <c r="G337" s="107">
        <f>IFERROR(E337/C337*100,0)</f>
        <v>0</v>
      </c>
      <c r="H337" s="107">
        <f t="shared" si="97"/>
        <v>0</v>
      </c>
      <c r="I337" s="107">
        <f t="shared" si="97"/>
        <v>0</v>
      </c>
      <c r="J337" s="107">
        <f t="shared" si="97"/>
        <v>0</v>
      </c>
      <c r="K337" s="107">
        <f t="shared" si="97"/>
        <v>0</v>
      </c>
      <c r="L337" s="107">
        <f t="shared" si="97"/>
        <v>0</v>
      </c>
      <c r="M337" s="107">
        <f t="shared" si="97"/>
        <v>0</v>
      </c>
      <c r="N337" s="107">
        <f t="shared" si="97"/>
        <v>0</v>
      </c>
      <c r="O337" s="107">
        <f t="shared" si="97"/>
        <v>0</v>
      </c>
      <c r="P337" s="107">
        <f t="shared" si="97"/>
        <v>0</v>
      </c>
      <c r="Q337" s="107">
        <f t="shared" si="97"/>
        <v>0</v>
      </c>
      <c r="R337" s="107">
        <f t="shared" si="97"/>
        <v>0</v>
      </c>
      <c r="S337" s="107">
        <f t="shared" si="97"/>
        <v>0</v>
      </c>
      <c r="T337" s="107">
        <f t="shared" si="97"/>
        <v>0</v>
      </c>
      <c r="U337" s="107">
        <f t="shared" si="97"/>
        <v>0</v>
      </c>
      <c r="V337" s="107">
        <f t="shared" si="97"/>
        <v>0</v>
      </c>
      <c r="W337" s="107">
        <f t="shared" si="97"/>
        <v>0</v>
      </c>
      <c r="X337" s="107">
        <f t="shared" si="97"/>
        <v>0</v>
      </c>
      <c r="Y337" s="107">
        <f t="shared" si="97"/>
        <v>0</v>
      </c>
      <c r="Z337" s="107">
        <f t="shared" si="97"/>
        <v>0</v>
      </c>
      <c r="AA337" s="107">
        <f t="shared" si="97"/>
        <v>0</v>
      </c>
      <c r="AB337" s="107">
        <f t="shared" si="97"/>
        <v>0</v>
      </c>
      <c r="AC337" s="107">
        <f t="shared" si="97"/>
        <v>0</v>
      </c>
      <c r="AD337" s="107">
        <f t="shared" si="97"/>
        <v>2345.1999999999998</v>
      </c>
      <c r="AE337" s="107">
        <f t="shared" si="97"/>
        <v>0</v>
      </c>
      <c r="AF337" s="101"/>
      <c r="AG337" s="102">
        <f t="shared" si="37"/>
        <v>0</v>
      </c>
    </row>
    <row r="338" spans="1:33" x14ac:dyDescent="0.3">
      <c r="A338" s="146" t="s">
        <v>170</v>
      </c>
      <c r="B338" s="107">
        <f t="shared" si="96"/>
        <v>0</v>
      </c>
      <c r="C338" s="107">
        <f t="shared" si="96"/>
        <v>0</v>
      </c>
      <c r="D338" s="107">
        <f t="shared" si="96"/>
        <v>0</v>
      </c>
      <c r="E338" s="107">
        <f t="shared" si="96"/>
        <v>0</v>
      </c>
      <c r="F338" s="107"/>
      <c r="G338" s="107"/>
      <c r="H338" s="107">
        <f t="shared" si="97"/>
        <v>0</v>
      </c>
      <c r="I338" s="107">
        <f t="shared" si="97"/>
        <v>0</v>
      </c>
      <c r="J338" s="107">
        <f t="shared" si="97"/>
        <v>0</v>
      </c>
      <c r="K338" s="107">
        <f t="shared" si="97"/>
        <v>0</v>
      </c>
      <c r="L338" s="107">
        <f t="shared" si="97"/>
        <v>0</v>
      </c>
      <c r="M338" s="107">
        <f t="shared" si="97"/>
        <v>0</v>
      </c>
      <c r="N338" s="107">
        <f t="shared" si="97"/>
        <v>0</v>
      </c>
      <c r="O338" s="107">
        <f t="shared" si="97"/>
        <v>0</v>
      </c>
      <c r="P338" s="107">
        <f t="shared" si="97"/>
        <v>0</v>
      </c>
      <c r="Q338" s="107">
        <f t="shared" si="97"/>
        <v>0</v>
      </c>
      <c r="R338" s="107">
        <f t="shared" si="97"/>
        <v>0</v>
      </c>
      <c r="S338" s="107">
        <f t="shared" si="97"/>
        <v>0</v>
      </c>
      <c r="T338" s="107">
        <f t="shared" si="97"/>
        <v>0</v>
      </c>
      <c r="U338" s="107">
        <f t="shared" si="97"/>
        <v>0</v>
      </c>
      <c r="V338" s="107">
        <f t="shared" si="97"/>
        <v>0</v>
      </c>
      <c r="W338" s="107">
        <f t="shared" si="97"/>
        <v>0</v>
      </c>
      <c r="X338" s="107">
        <f t="shared" si="97"/>
        <v>0</v>
      </c>
      <c r="Y338" s="107">
        <f t="shared" si="97"/>
        <v>0</v>
      </c>
      <c r="Z338" s="107">
        <f t="shared" si="97"/>
        <v>0</v>
      </c>
      <c r="AA338" s="107">
        <f t="shared" si="97"/>
        <v>0</v>
      </c>
      <c r="AB338" s="107">
        <f t="shared" si="97"/>
        <v>0</v>
      </c>
      <c r="AC338" s="107">
        <f t="shared" si="97"/>
        <v>0</v>
      </c>
      <c r="AD338" s="107">
        <f t="shared" si="97"/>
        <v>0</v>
      </c>
      <c r="AE338" s="107">
        <f t="shared" si="97"/>
        <v>0</v>
      </c>
      <c r="AF338" s="101"/>
      <c r="AG338" s="102">
        <f t="shared" si="37"/>
        <v>0</v>
      </c>
    </row>
    <row r="339" spans="1:33" ht="40.5" customHeight="1" x14ac:dyDescent="0.3">
      <c r="A339" s="778" t="s">
        <v>312</v>
      </c>
      <c r="B339" s="109"/>
      <c r="C339" s="110"/>
      <c r="D339" s="110"/>
      <c r="E339" s="110"/>
      <c r="F339" s="110"/>
      <c r="G339" s="110"/>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29"/>
      <c r="AG339" s="102">
        <f t="shared" si="37"/>
        <v>0</v>
      </c>
    </row>
    <row r="340" spans="1:33" x14ac:dyDescent="0.3">
      <c r="A340" s="112" t="s">
        <v>31</v>
      </c>
      <c r="B340" s="113">
        <f>B342+B343+B341+B344</f>
        <v>2189</v>
      </c>
      <c r="C340" s="113">
        <f>C342+C343+C341+C344</f>
        <v>1829</v>
      </c>
      <c r="D340" s="114">
        <f>D342+D343+D341+D344</f>
        <v>1549</v>
      </c>
      <c r="E340" s="113">
        <f>E342+E343+E341+E344</f>
        <v>1549</v>
      </c>
      <c r="F340" s="113">
        <f>IFERROR(E340/B340*100,0)</f>
        <v>70.762905436272277</v>
      </c>
      <c r="G340" s="113">
        <f>IFERROR(E340/C340*100,0)</f>
        <v>84.691088026243847</v>
      </c>
      <c r="H340" s="113">
        <f t="shared" ref="H340:AE340" si="99">H342+H343+H341+H344</f>
        <v>0</v>
      </c>
      <c r="I340" s="113">
        <f t="shared" si="99"/>
        <v>0</v>
      </c>
      <c r="J340" s="113">
        <f t="shared" si="99"/>
        <v>0</v>
      </c>
      <c r="K340" s="113">
        <f t="shared" si="99"/>
        <v>0</v>
      </c>
      <c r="L340" s="113">
        <f t="shared" si="99"/>
        <v>1829</v>
      </c>
      <c r="M340" s="113">
        <f t="shared" si="99"/>
        <v>824</v>
      </c>
      <c r="N340" s="113">
        <f t="shared" si="99"/>
        <v>0</v>
      </c>
      <c r="O340" s="113">
        <f t="shared" si="99"/>
        <v>725</v>
      </c>
      <c r="P340" s="113">
        <f t="shared" si="99"/>
        <v>0</v>
      </c>
      <c r="Q340" s="113">
        <f t="shared" si="99"/>
        <v>0</v>
      </c>
      <c r="R340" s="113">
        <f t="shared" si="99"/>
        <v>0</v>
      </c>
      <c r="S340" s="113">
        <f t="shared" si="99"/>
        <v>0</v>
      </c>
      <c r="T340" s="113">
        <f t="shared" si="99"/>
        <v>0</v>
      </c>
      <c r="U340" s="113">
        <f t="shared" si="99"/>
        <v>0</v>
      </c>
      <c r="V340" s="113">
        <f t="shared" si="99"/>
        <v>360</v>
      </c>
      <c r="W340" s="113">
        <f t="shared" si="99"/>
        <v>0</v>
      </c>
      <c r="X340" s="113">
        <f t="shared" si="99"/>
        <v>0</v>
      </c>
      <c r="Y340" s="113">
        <f t="shared" si="99"/>
        <v>0</v>
      </c>
      <c r="Z340" s="113">
        <f t="shared" si="99"/>
        <v>0</v>
      </c>
      <c r="AA340" s="113">
        <f t="shared" si="99"/>
        <v>0</v>
      </c>
      <c r="AB340" s="113">
        <f t="shared" si="99"/>
        <v>0</v>
      </c>
      <c r="AC340" s="113">
        <f t="shared" si="99"/>
        <v>0</v>
      </c>
      <c r="AD340" s="113">
        <f t="shared" si="99"/>
        <v>0</v>
      </c>
      <c r="AE340" s="113">
        <f t="shared" si="99"/>
        <v>0</v>
      </c>
      <c r="AF340" s="29"/>
      <c r="AG340" s="102">
        <f t="shared" si="37"/>
        <v>0</v>
      </c>
    </row>
    <row r="341" spans="1:33" x14ac:dyDescent="0.3">
      <c r="A341" s="115" t="s">
        <v>169</v>
      </c>
      <c r="B341" s="116">
        <f>J341+L341+N341+P341+R341+T341+V341+X341+Z341+AB341+AD341+H341</f>
        <v>0</v>
      </c>
      <c r="C341" s="117">
        <f>SUM(H341)</f>
        <v>0</v>
      </c>
      <c r="D341" s="118">
        <f>E341</f>
        <v>0</v>
      </c>
      <c r="E341" s="117">
        <f>SUM(I341,K341,M341,O341,Q341,S341,U341,W341,Y341,AA341,AC341,AE341)</f>
        <v>0</v>
      </c>
      <c r="F341" s="116">
        <f>IFERROR(E341/B341*100,0)</f>
        <v>0</v>
      </c>
      <c r="G341" s="116">
        <f>IFERROR(E341/C341*100,0)</f>
        <v>0</v>
      </c>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29"/>
      <c r="AG341" s="102">
        <f t="shared" si="37"/>
        <v>0</v>
      </c>
    </row>
    <row r="342" spans="1:33" x14ac:dyDescent="0.3">
      <c r="A342" s="115" t="s">
        <v>32</v>
      </c>
      <c r="B342" s="116">
        <f>J342+L342+N342+P342+R342+T342+V342+X342+Z342+AB342+AD342+H342</f>
        <v>2189</v>
      </c>
      <c r="C342" s="117">
        <f>H342+J342+L342+N342</f>
        <v>1829</v>
      </c>
      <c r="D342" s="118">
        <f>E342</f>
        <v>1549</v>
      </c>
      <c r="E342" s="117">
        <f>SUM(I342,K342,M342,O342,Q342,S342,U342,W342,Y342,AA342,AC342,AE342)</f>
        <v>1549</v>
      </c>
      <c r="F342" s="116">
        <f>IFERROR(E342/B342*100,0)</f>
        <v>70.762905436272277</v>
      </c>
      <c r="G342" s="116">
        <f>IFERROR(E342/C342*100,0)</f>
        <v>84.691088026243847</v>
      </c>
      <c r="H342" s="111"/>
      <c r="I342" s="111"/>
      <c r="J342" s="111"/>
      <c r="K342" s="111"/>
      <c r="L342" s="111">
        <v>1829</v>
      </c>
      <c r="M342" s="111">
        <v>824</v>
      </c>
      <c r="N342" s="111"/>
      <c r="O342" s="111">
        <v>725</v>
      </c>
      <c r="P342" s="111"/>
      <c r="Q342" s="111"/>
      <c r="R342" s="111"/>
      <c r="S342" s="111"/>
      <c r="T342" s="111"/>
      <c r="U342" s="111"/>
      <c r="V342" s="111">
        <v>360</v>
      </c>
      <c r="W342" s="111"/>
      <c r="X342" s="111"/>
      <c r="Y342" s="111"/>
      <c r="Z342" s="111"/>
      <c r="AA342" s="111"/>
      <c r="AB342" s="111"/>
      <c r="AC342" s="111"/>
      <c r="AD342" s="111"/>
      <c r="AE342" s="111"/>
      <c r="AF342" s="29"/>
      <c r="AG342" s="102">
        <f t="shared" si="37"/>
        <v>0</v>
      </c>
    </row>
    <row r="343" spans="1:33" x14ac:dyDescent="0.3">
      <c r="A343" s="115" t="s">
        <v>33</v>
      </c>
      <c r="B343" s="116">
        <f>J343+L343+N343+P343+R343+T343+V343+X343+Z343+AB343+AD343+H343</f>
        <v>0</v>
      </c>
      <c r="C343" s="117">
        <f>SUM(H343)</f>
        <v>0</v>
      </c>
      <c r="D343" s="118">
        <f>E343</f>
        <v>0</v>
      </c>
      <c r="E343" s="117">
        <f>SUM(I343,K343,M343,O343,Q343,S343,U343,W343,Y343,AA343,AC343,AE343)</f>
        <v>0</v>
      </c>
      <c r="F343" s="116">
        <f>IFERROR(E343/B343*100,0)</f>
        <v>0</v>
      </c>
      <c r="G343" s="116">
        <f>IFERROR(E343/C343*100,0)</f>
        <v>0</v>
      </c>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29"/>
      <c r="AG343" s="102">
        <f t="shared" si="37"/>
        <v>0</v>
      </c>
    </row>
    <row r="344" spans="1:33" x14ac:dyDescent="0.3">
      <c r="A344" s="115" t="s">
        <v>170</v>
      </c>
      <c r="B344" s="116"/>
      <c r="C344" s="117"/>
      <c r="D344" s="118"/>
      <c r="E344" s="117"/>
      <c r="F344" s="116"/>
      <c r="G344" s="116"/>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29"/>
      <c r="AG344" s="102">
        <f t="shared" si="37"/>
        <v>0</v>
      </c>
    </row>
    <row r="345" spans="1:33" ht="40.5" customHeight="1" x14ac:dyDescent="0.3">
      <c r="A345" s="778" t="s">
        <v>537</v>
      </c>
      <c r="B345" s="109"/>
      <c r="C345" s="110"/>
      <c r="D345" s="110"/>
      <c r="E345" s="110"/>
      <c r="F345" s="110"/>
      <c r="G345" s="110"/>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29"/>
      <c r="AG345" s="102">
        <f t="shared" si="37"/>
        <v>0</v>
      </c>
    </row>
    <row r="346" spans="1:33" x14ac:dyDescent="0.3">
      <c r="A346" s="112" t="s">
        <v>31</v>
      </c>
      <c r="B346" s="113">
        <f>B348+B349+B347+B350</f>
        <v>2345.1999999999998</v>
      </c>
      <c r="C346" s="113">
        <f>C348+C349+C347+C350</f>
        <v>0</v>
      </c>
      <c r="D346" s="114">
        <f>D348+D349+D347+D350</f>
        <v>0</v>
      </c>
      <c r="E346" s="113">
        <f>E348+E349+E347+E350</f>
        <v>0</v>
      </c>
      <c r="F346" s="113">
        <f>IFERROR(E346/B346*100,0)</f>
        <v>0</v>
      </c>
      <c r="G346" s="113">
        <f>IFERROR(E346/C346*100,0)</f>
        <v>0</v>
      </c>
      <c r="H346" s="113">
        <f t="shared" ref="H346:AE346" si="100">H348+H349+H347+H350</f>
        <v>0</v>
      </c>
      <c r="I346" s="113">
        <f t="shared" si="100"/>
        <v>0</v>
      </c>
      <c r="J346" s="113">
        <f t="shared" si="100"/>
        <v>0</v>
      </c>
      <c r="K346" s="113">
        <f t="shared" si="100"/>
        <v>0</v>
      </c>
      <c r="L346" s="113">
        <f t="shared" si="100"/>
        <v>0</v>
      </c>
      <c r="M346" s="113">
        <f t="shared" si="100"/>
        <v>0</v>
      </c>
      <c r="N346" s="113">
        <f t="shared" si="100"/>
        <v>0</v>
      </c>
      <c r="O346" s="113">
        <f t="shared" si="100"/>
        <v>0</v>
      </c>
      <c r="P346" s="113">
        <f t="shared" si="100"/>
        <v>0</v>
      </c>
      <c r="Q346" s="113">
        <f t="shared" si="100"/>
        <v>0</v>
      </c>
      <c r="R346" s="113">
        <f t="shared" si="100"/>
        <v>0</v>
      </c>
      <c r="S346" s="113">
        <f t="shared" si="100"/>
        <v>0</v>
      </c>
      <c r="T346" s="113">
        <f t="shared" si="100"/>
        <v>0</v>
      </c>
      <c r="U346" s="113">
        <f t="shared" si="100"/>
        <v>0</v>
      </c>
      <c r="V346" s="113">
        <f t="shared" si="100"/>
        <v>0</v>
      </c>
      <c r="W346" s="113">
        <f t="shared" si="100"/>
        <v>0</v>
      </c>
      <c r="X346" s="113">
        <f t="shared" si="100"/>
        <v>0</v>
      </c>
      <c r="Y346" s="113">
        <f t="shared" si="100"/>
        <v>0</v>
      </c>
      <c r="Z346" s="113">
        <f t="shared" si="100"/>
        <v>0</v>
      </c>
      <c r="AA346" s="113">
        <f t="shared" si="100"/>
        <v>0</v>
      </c>
      <c r="AB346" s="113">
        <f t="shared" si="100"/>
        <v>0</v>
      </c>
      <c r="AC346" s="113">
        <f t="shared" si="100"/>
        <v>0</v>
      </c>
      <c r="AD346" s="113">
        <f t="shared" si="100"/>
        <v>2345.1999999999998</v>
      </c>
      <c r="AE346" s="113">
        <f t="shared" si="100"/>
        <v>0</v>
      </c>
      <c r="AF346" s="29"/>
      <c r="AG346" s="102">
        <f t="shared" si="37"/>
        <v>0</v>
      </c>
    </row>
    <row r="347" spans="1:33" x14ac:dyDescent="0.3">
      <c r="A347" s="115" t="s">
        <v>169</v>
      </c>
      <c r="B347" s="116">
        <f>J347+L347+N347+P347+R347+T347+V347+X347+Z347+AB347+AD347+H347</f>
        <v>0</v>
      </c>
      <c r="C347" s="117">
        <f>SUM(H347)</f>
        <v>0</v>
      </c>
      <c r="D347" s="118">
        <f>E347</f>
        <v>0</v>
      </c>
      <c r="E347" s="117">
        <f>SUM(I347,K347,M347,O347,Q347,S347,U347,W347,Y347,AA347,AC347,AE347)</f>
        <v>0</v>
      </c>
      <c r="F347" s="116">
        <f>IFERROR(E347/B347*100,0)</f>
        <v>0</v>
      </c>
      <c r="G347" s="116">
        <f>IFERROR(E347/C347*100,0)</f>
        <v>0</v>
      </c>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29"/>
      <c r="AG347" s="102">
        <f t="shared" si="37"/>
        <v>0</v>
      </c>
    </row>
    <row r="348" spans="1:33" x14ac:dyDescent="0.3">
      <c r="A348" s="115" t="s">
        <v>32</v>
      </c>
      <c r="B348" s="116">
        <f>J348+L348+N348+P348+R348+T348+V348+X348+Z348+AB348+AD348+H348</f>
        <v>0</v>
      </c>
      <c r="C348" s="117">
        <f>SUM(H348)</f>
        <v>0</v>
      </c>
      <c r="D348" s="118">
        <f>E348</f>
        <v>0</v>
      </c>
      <c r="E348" s="117">
        <f>SUM(I348,K348,M348,O348,Q348,S348,U348,W348,Y348,AA348,AC348,AE348)</f>
        <v>0</v>
      </c>
      <c r="F348" s="116">
        <f>IFERROR(E348/B348*100,0)</f>
        <v>0</v>
      </c>
      <c r="G348" s="116">
        <f>IFERROR(E348/C348*100,0)</f>
        <v>0</v>
      </c>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29"/>
      <c r="AG348" s="102">
        <f t="shared" si="37"/>
        <v>0</v>
      </c>
    </row>
    <row r="349" spans="1:33" x14ac:dyDescent="0.3">
      <c r="A349" s="115" t="s">
        <v>33</v>
      </c>
      <c r="B349" s="622">
        <f>J349+L349+N349+P349+R349+T349+V349+X349+Z349+AB349+AD349+H349</f>
        <v>2345.1999999999998</v>
      </c>
      <c r="C349" s="117">
        <f>SUM(H349)</f>
        <v>0</v>
      </c>
      <c r="D349" s="118">
        <f>E349</f>
        <v>0</v>
      </c>
      <c r="E349" s="117">
        <f>SUM(I349,K349,M349,O349,Q349,S349,U349,W349,Y349,AA349,AC349,AE349)</f>
        <v>0</v>
      </c>
      <c r="F349" s="116">
        <f>IFERROR(E349/B349*100,0)</f>
        <v>0</v>
      </c>
      <c r="G349" s="116">
        <f>IFERROR(E349/C349*100,0)</f>
        <v>0</v>
      </c>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v>2345.1999999999998</v>
      </c>
      <c r="AE349" s="111"/>
      <c r="AF349" s="29"/>
      <c r="AG349" s="102">
        <f t="shared" si="37"/>
        <v>0</v>
      </c>
    </row>
    <row r="350" spans="1:33" x14ac:dyDescent="0.3">
      <c r="A350" s="115" t="s">
        <v>170</v>
      </c>
      <c r="B350" s="116"/>
      <c r="C350" s="117"/>
      <c r="D350" s="118"/>
      <c r="E350" s="117"/>
      <c r="F350" s="116"/>
      <c r="G350" s="116"/>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29"/>
      <c r="AG350" s="102">
        <f t="shared" si="37"/>
        <v>0</v>
      </c>
    </row>
    <row r="351" spans="1:33" x14ac:dyDescent="0.3">
      <c r="A351" s="148" t="s">
        <v>217</v>
      </c>
      <c r="B351" s="149">
        <f>B352+B353+B354+B355</f>
        <v>4823732.5953899994</v>
      </c>
      <c r="C351" s="846">
        <f>C352+C353+C354</f>
        <v>1267467.88316</v>
      </c>
      <c r="D351" s="846">
        <f>D352+D353+D354</f>
        <v>1704420.62163</v>
      </c>
      <c r="E351" s="846">
        <f>E352+E353+E354</f>
        <v>1704368.6150000002</v>
      </c>
      <c r="F351" s="846">
        <f t="shared" ref="F351:F365" si="101">IFERROR(E351/B351*100,0)</f>
        <v>35.332982939992377</v>
      </c>
      <c r="G351" s="846">
        <f t="shared" ref="G351:G365" si="102">IFERROR(E351/C351*100,0)</f>
        <v>134.47035918186242</v>
      </c>
      <c r="H351" s="846">
        <f t="shared" ref="H351:AE351" si="103">H352+H353+H354+H355</f>
        <v>257831.14190999995</v>
      </c>
      <c r="I351" s="846">
        <f t="shared" si="103"/>
        <v>109716.07</v>
      </c>
      <c r="J351" s="846">
        <f t="shared" si="103"/>
        <v>340210.04240999999</v>
      </c>
      <c r="K351" s="846">
        <f t="shared" si="103"/>
        <v>311065.93700000003</v>
      </c>
      <c r="L351" s="846">
        <f t="shared" si="103"/>
        <v>299972.96004999999</v>
      </c>
      <c r="M351" s="846">
        <f t="shared" si="103"/>
        <v>256481.05800000002</v>
      </c>
      <c r="N351" s="846">
        <f t="shared" si="103"/>
        <v>335009.85444999998</v>
      </c>
      <c r="O351" s="846">
        <f t="shared" si="103"/>
        <v>267967.36999999994</v>
      </c>
      <c r="P351" s="846">
        <f t="shared" si="103"/>
        <v>493233.24200999993</v>
      </c>
      <c r="Q351" s="846">
        <f t="shared" si="103"/>
        <v>493174.10000000003</v>
      </c>
      <c r="R351" s="846">
        <f t="shared" si="103"/>
        <v>287669.64208000002</v>
      </c>
      <c r="S351" s="846">
        <f t="shared" si="103"/>
        <v>281704.90999999997</v>
      </c>
      <c r="T351" s="846">
        <f t="shared" si="103"/>
        <v>223981.31479999999</v>
      </c>
      <c r="U351" s="846">
        <f t="shared" si="103"/>
        <v>0</v>
      </c>
      <c r="V351" s="846">
        <f t="shared" si="103"/>
        <v>126347.27129999999</v>
      </c>
      <c r="W351" s="846">
        <f t="shared" si="103"/>
        <v>0</v>
      </c>
      <c r="X351" s="149">
        <f t="shared" si="103"/>
        <v>173137.47573999999</v>
      </c>
      <c r="Y351" s="149">
        <f t="shared" si="103"/>
        <v>0</v>
      </c>
      <c r="Z351" s="149">
        <f t="shared" si="103"/>
        <v>209483.90850999998</v>
      </c>
      <c r="AA351" s="149">
        <f t="shared" si="103"/>
        <v>0</v>
      </c>
      <c r="AB351" s="787">
        <f t="shared" si="103"/>
        <v>695938.88014999987</v>
      </c>
      <c r="AC351" s="149">
        <f t="shared" si="103"/>
        <v>0</v>
      </c>
      <c r="AD351" s="787">
        <f t="shared" si="103"/>
        <v>1380916.86198</v>
      </c>
      <c r="AE351" s="149">
        <f t="shared" si="103"/>
        <v>0</v>
      </c>
      <c r="AF351" s="149"/>
      <c r="AG351" s="102">
        <f>B351-H351-J351-L351-N351-P351-R351-T351-V351-X351-Z351-AB351-AD351</f>
        <v>0</v>
      </c>
    </row>
    <row r="352" spans="1:33" x14ac:dyDescent="0.3">
      <c r="A352" s="150" t="s">
        <v>169</v>
      </c>
      <c r="B352" s="151">
        <f t="shared" ref="B352:E354" si="104">B13+B25+B32+B62+B80+B128+B149+B163+B175+B188+B206+B236+B256+B268+B275+B299+B335</f>
        <v>305128.80637000001</v>
      </c>
      <c r="C352" s="843">
        <f>C13+C25+C32+C62+C80+C128+C149+C163+C175+C188+C206+C236+C256+C268+C275+C299+C335</f>
        <v>33556.188760000005</v>
      </c>
      <c r="D352" s="843">
        <f t="shared" si="104"/>
        <v>60171.572010000004</v>
      </c>
      <c r="E352" s="843">
        <f t="shared" si="104"/>
        <v>60151.270000000004</v>
      </c>
      <c r="F352" s="843">
        <f t="shared" si="101"/>
        <v>19.713402584173064</v>
      </c>
      <c r="G352" s="843">
        <f t="shared" si="102"/>
        <v>179.25536904745911</v>
      </c>
      <c r="H352" s="843">
        <f t="shared" ref="H352:AE352" si="105">H13+H25+H32+H62+H80+H128+H149+H163+H175+H188+H206+H236+H256+H268+H275+H299+H335</f>
        <v>5384.18</v>
      </c>
      <c r="I352" s="843">
        <f t="shared" si="105"/>
        <v>5314.2000000000007</v>
      </c>
      <c r="J352" s="843">
        <f t="shared" si="105"/>
        <v>6807.63</v>
      </c>
      <c r="K352" s="843">
        <f t="shared" si="105"/>
        <v>6685.9</v>
      </c>
      <c r="L352" s="843">
        <f t="shared" si="105"/>
        <v>7174.4</v>
      </c>
      <c r="M352" s="843">
        <f t="shared" si="105"/>
        <v>7158.7599999999993</v>
      </c>
      <c r="N352" s="843">
        <f t="shared" si="105"/>
        <v>14042.376749999999</v>
      </c>
      <c r="O352" s="843">
        <f t="shared" si="105"/>
        <v>13401.96</v>
      </c>
      <c r="P352" s="843">
        <f t="shared" si="105"/>
        <v>13168.085210000001</v>
      </c>
      <c r="Q352" s="843">
        <f t="shared" si="105"/>
        <v>13168.080000000002</v>
      </c>
      <c r="R352" s="843">
        <f t="shared" si="105"/>
        <v>14672.260199999999</v>
      </c>
      <c r="S352" s="843">
        <f t="shared" si="105"/>
        <v>14422.37</v>
      </c>
      <c r="T352" s="843">
        <f t="shared" si="105"/>
        <v>8908.7999999999993</v>
      </c>
      <c r="U352" s="843">
        <f t="shared" si="105"/>
        <v>0</v>
      </c>
      <c r="V352" s="843">
        <f t="shared" si="105"/>
        <v>32.28</v>
      </c>
      <c r="W352" s="843">
        <f t="shared" si="105"/>
        <v>0</v>
      </c>
      <c r="X352" s="151">
        <f t="shared" si="105"/>
        <v>3349.5748999999996</v>
      </c>
      <c r="Y352" s="151">
        <f t="shared" si="105"/>
        <v>0</v>
      </c>
      <c r="Z352" s="151">
        <f t="shared" si="105"/>
        <v>14555.5417</v>
      </c>
      <c r="AA352" s="151">
        <f t="shared" si="105"/>
        <v>0</v>
      </c>
      <c r="AB352" s="151">
        <f t="shared" si="105"/>
        <v>214338.86272</v>
      </c>
      <c r="AC352" s="151">
        <f t="shared" si="105"/>
        <v>0</v>
      </c>
      <c r="AD352" s="151">
        <f t="shared" si="105"/>
        <v>2694.8148900000001</v>
      </c>
      <c r="AE352" s="151">
        <f t="shared" si="105"/>
        <v>0</v>
      </c>
      <c r="AF352" s="151"/>
      <c r="AG352" s="102">
        <f t="shared" si="37"/>
        <v>8.6401996668428183E-12</v>
      </c>
    </row>
    <row r="353" spans="1:33" x14ac:dyDescent="0.3">
      <c r="A353" s="150" t="s">
        <v>32</v>
      </c>
      <c r="B353" s="151">
        <f t="shared" si="104"/>
        <v>3283274.4939899994</v>
      </c>
      <c r="C353" s="151">
        <f t="shared" si="104"/>
        <v>900832.15273999993</v>
      </c>
      <c r="D353" s="151">
        <f t="shared" si="104"/>
        <v>1221715.00462</v>
      </c>
      <c r="E353" s="151">
        <f t="shared" si="104"/>
        <v>1221683.3</v>
      </c>
      <c r="F353" s="151">
        <f t="shared" si="101"/>
        <v>37.209295239745529</v>
      </c>
      <c r="G353" s="151">
        <f t="shared" si="102"/>
        <v>135.6171953103682</v>
      </c>
      <c r="H353" s="151">
        <f t="shared" ref="H353:AE353" si="106">H14+H26+H33+H63+H81+H129+H150+H164+H176+H189+H207+H237+H257+H269+H276+H300+H336</f>
        <v>181751.87999999998</v>
      </c>
      <c r="I353" s="151">
        <f t="shared" si="106"/>
        <v>39614.799999999996</v>
      </c>
      <c r="J353" s="151">
        <f t="shared" si="106"/>
        <v>240841.75979000004</v>
      </c>
      <c r="K353" s="151">
        <f t="shared" si="106"/>
        <v>212218.7</v>
      </c>
      <c r="L353" s="151">
        <f t="shared" si="106"/>
        <v>218725.58578999998</v>
      </c>
      <c r="M353" s="151">
        <f t="shared" si="106"/>
        <v>177509.57</v>
      </c>
      <c r="N353" s="151">
        <f t="shared" si="106"/>
        <v>254832.07253999996</v>
      </c>
      <c r="O353" s="151">
        <f t="shared" si="106"/>
        <v>185180.93999999997</v>
      </c>
      <c r="P353" s="151">
        <f t="shared" si="106"/>
        <v>407674.29255999997</v>
      </c>
      <c r="Q353" s="151">
        <f t="shared" si="106"/>
        <v>409839</v>
      </c>
      <c r="R353" s="151">
        <f t="shared" si="106"/>
        <v>196665.73141000001</v>
      </c>
      <c r="S353" s="151">
        <f t="shared" si="106"/>
        <v>197320.28999999998</v>
      </c>
      <c r="T353" s="151">
        <f t="shared" si="106"/>
        <v>131101.06379000001</v>
      </c>
      <c r="U353" s="151">
        <f t="shared" si="106"/>
        <v>0</v>
      </c>
      <c r="V353" s="151">
        <f t="shared" si="106"/>
        <v>92570.265790000005</v>
      </c>
      <c r="W353" s="151">
        <f t="shared" si="106"/>
        <v>0</v>
      </c>
      <c r="X353" s="151">
        <f t="shared" si="106"/>
        <v>134118.90732</v>
      </c>
      <c r="Y353" s="151">
        <f t="shared" si="106"/>
        <v>0</v>
      </c>
      <c r="Z353" s="151">
        <f t="shared" si="106"/>
        <v>149253.84591999999</v>
      </c>
      <c r="AA353" s="151">
        <f t="shared" si="106"/>
        <v>0</v>
      </c>
      <c r="AB353" s="151">
        <f t="shared" si="106"/>
        <v>383639.38991999999</v>
      </c>
      <c r="AC353" s="151">
        <f t="shared" si="106"/>
        <v>0</v>
      </c>
      <c r="AD353" s="151">
        <f t="shared" si="106"/>
        <v>892099.69916000008</v>
      </c>
      <c r="AE353" s="151">
        <f t="shared" si="106"/>
        <v>0</v>
      </c>
      <c r="AF353" s="151"/>
      <c r="AG353" s="102">
        <f t="shared" si="37"/>
        <v>0</v>
      </c>
    </row>
    <row r="354" spans="1:33" x14ac:dyDescent="0.3">
      <c r="A354" s="150" t="s">
        <v>33</v>
      </c>
      <c r="B354" s="843">
        <f t="shared" si="104"/>
        <v>895140.46502999996</v>
      </c>
      <c r="C354" s="151">
        <f t="shared" si="104"/>
        <v>333079.54166000005</v>
      </c>
      <c r="D354" s="151">
        <f t="shared" si="104"/>
        <v>422534.04500000004</v>
      </c>
      <c r="E354" s="151">
        <f t="shared" si="104"/>
        <v>422534.04500000004</v>
      </c>
      <c r="F354" s="151">
        <f t="shared" si="101"/>
        <v>47.203099570058995</v>
      </c>
      <c r="G354" s="151">
        <f>IFERROR(E354/C354*100,0)</f>
        <v>126.85679909795033</v>
      </c>
      <c r="H354" s="151">
        <f t="shared" ref="H354:AE354" si="107">H15+H27+H34+H64+H82+H130+H151+H165+H177+H190+H208+H238+H258+H270+H277+H301+H337</f>
        <v>70695.081909999994</v>
      </c>
      <c r="I354" s="151">
        <f t="shared" si="107"/>
        <v>64787.07</v>
      </c>
      <c r="J354" s="151">
        <f t="shared" si="107"/>
        <v>92560.652619999979</v>
      </c>
      <c r="K354" s="151">
        <f t="shared" si="107"/>
        <v>92161.337</v>
      </c>
      <c r="L354" s="151">
        <f t="shared" si="107"/>
        <v>70842.974259999988</v>
      </c>
      <c r="M354" s="151">
        <f t="shared" si="107"/>
        <v>68582.728000000003</v>
      </c>
      <c r="N354" s="151">
        <f t="shared" si="107"/>
        <v>61842.905160000009</v>
      </c>
      <c r="O354" s="151">
        <f t="shared" si="107"/>
        <v>65273.469999999994</v>
      </c>
      <c r="P354" s="151">
        <f t="shared" si="107"/>
        <v>66690.864239999995</v>
      </c>
      <c r="Q354" s="151">
        <f t="shared" si="107"/>
        <v>64467.02</v>
      </c>
      <c r="R354" s="151">
        <f t="shared" si="107"/>
        <v>73631.820469999991</v>
      </c>
      <c r="S354" s="151">
        <f t="shared" si="107"/>
        <v>67262.42</v>
      </c>
      <c r="T354" s="151">
        <f t="shared" si="107"/>
        <v>83971.45100999999</v>
      </c>
      <c r="U354" s="151">
        <f t="shared" si="107"/>
        <v>0</v>
      </c>
      <c r="V354" s="151">
        <f t="shared" si="107"/>
        <v>33744.725509999989</v>
      </c>
      <c r="W354" s="151">
        <f t="shared" si="107"/>
        <v>0</v>
      </c>
      <c r="X354" s="151">
        <f t="shared" si="107"/>
        <v>35668.993519999996</v>
      </c>
      <c r="Y354" s="151">
        <f t="shared" si="107"/>
        <v>0</v>
      </c>
      <c r="Z354" s="151">
        <f t="shared" si="107"/>
        <v>45674.52089</v>
      </c>
      <c r="AA354" s="151">
        <f t="shared" si="107"/>
        <v>0</v>
      </c>
      <c r="AB354" s="151">
        <f t="shared" si="107"/>
        <v>87902.687509999989</v>
      </c>
      <c r="AC354" s="151">
        <f t="shared" si="107"/>
        <v>0</v>
      </c>
      <c r="AD354" s="151">
        <f t="shared" si="107"/>
        <v>171913.78792999999</v>
      </c>
      <c r="AE354" s="151">
        <f t="shared" si="107"/>
        <v>0</v>
      </c>
      <c r="AF354" s="151"/>
      <c r="AG354" s="102">
        <f t="shared" si="37"/>
        <v>0</v>
      </c>
    </row>
    <row r="355" spans="1:33" x14ac:dyDescent="0.3">
      <c r="A355" s="152" t="s">
        <v>170</v>
      </c>
      <c r="B355" s="843">
        <f>H355+J355+L355+N355+P355+R355+T355+V355+X355+AB355+AD355</f>
        <v>340188.83</v>
      </c>
      <c r="C355" s="151">
        <f>C16+C28+C35+C65+C83+C131+C152+C166+C178+C191+C209+C239+C259+C271+C278+C302+C338+C41</f>
        <v>15922.33</v>
      </c>
      <c r="D355" s="151">
        <f>D16+D28+D35+D65+D83+D131+D152+D166+D178+D191+D209+D239+D259+D271+D278+D302+D338</f>
        <v>15740.83</v>
      </c>
      <c r="E355" s="151">
        <f>E16+E28+E35+E65+E83+E131+E152+E166+E178+E191+E209+E239+E259+E271+E278+E302+E338</f>
        <v>15740.83</v>
      </c>
      <c r="F355" s="151">
        <f t="shared" si="101"/>
        <v>4.6270860803983478</v>
      </c>
      <c r="G355" s="151">
        <f t="shared" si="102"/>
        <v>98.860091456463977</v>
      </c>
      <c r="H355" s="151">
        <f t="shared" ref="H355:AE355" si="108">H16+H28+H35+H65+H83+H131+H152+H166+H178+H191+H209+H239+H259+H271+H278+H302+H338</f>
        <v>0</v>
      </c>
      <c r="I355" s="151">
        <f t="shared" si="108"/>
        <v>0</v>
      </c>
      <c r="J355" s="151">
        <f t="shared" si="108"/>
        <v>0</v>
      </c>
      <c r="K355" s="151">
        <f t="shared" si="108"/>
        <v>0</v>
      </c>
      <c r="L355" s="151">
        <f t="shared" si="108"/>
        <v>3230</v>
      </c>
      <c r="M355" s="151">
        <f t="shared" si="108"/>
        <v>3230</v>
      </c>
      <c r="N355" s="151">
        <f t="shared" si="108"/>
        <v>4292.5</v>
      </c>
      <c r="O355" s="151">
        <f t="shared" si="108"/>
        <v>4111</v>
      </c>
      <c r="P355" s="151">
        <f t="shared" si="108"/>
        <v>5700</v>
      </c>
      <c r="Q355" s="151">
        <f t="shared" si="108"/>
        <v>5700</v>
      </c>
      <c r="R355" s="151">
        <f t="shared" si="108"/>
        <v>2699.83</v>
      </c>
      <c r="S355" s="151">
        <f t="shared" si="108"/>
        <v>2699.83</v>
      </c>
      <c r="T355" s="151">
        <f t="shared" si="108"/>
        <v>0</v>
      </c>
      <c r="U355" s="151">
        <f t="shared" si="108"/>
        <v>0</v>
      </c>
      <c r="V355" s="151">
        <f t="shared" si="108"/>
        <v>0</v>
      </c>
      <c r="W355" s="151">
        <f t="shared" si="108"/>
        <v>0</v>
      </c>
      <c r="X355" s="151">
        <f t="shared" si="108"/>
        <v>0</v>
      </c>
      <c r="Y355" s="151">
        <f t="shared" si="108"/>
        <v>0</v>
      </c>
      <c r="Z355" s="151">
        <f t="shared" si="108"/>
        <v>0</v>
      </c>
      <c r="AA355" s="151">
        <f t="shared" si="108"/>
        <v>0</v>
      </c>
      <c r="AB355" s="151">
        <f t="shared" si="108"/>
        <v>10057.94</v>
      </c>
      <c r="AC355" s="151">
        <f t="shared" si="108"/>
        <v>0</v>
      </c>
      <c r="AD355" s="151">
        <f t="shared" si="108"/>
        <v>314208.56</v>
      </c>
      <c r="AE355" s="151">
        <f t="shared" si="108"/>
        <v>0</v>
      </c>
      <c r="AF355" s="151"/>
      <c r="AG355" s="102">
        <f t="shared" si="37"/>
        <v>0</v>
      </c>
    </row>
    <row r="356" spans="1:33" ht="37.5" x14ac:dyDescent="0.3">
      <c r="A356" s="148" t="s">
        <v>218</v>
      </c>
      <c r="B356" s="149">
        <f>B357+B358+B359+B360</f>
        <v>1652524.33134</v>
      </c>
      <c r="C356" s="149">
        <f>C357+C358+C359</f>
        <v>1020.1676299999999</v>
      </c>
      <c r="D356" s="149">
        <f>D357+D358+D359</f>
        <v>1017.3946299999999</v>
      </c>
      <c r="E356" s="149">
        <f>E357+E358+E359</f>
        <v>965.38800000000003</v>
      </c>
      <c r="F356" s="149">
        <f t="shared" si="101"/>
        <v>5.8418988555356738E-2</v>
      </c>
      <c r="G356" s="149">
        <f t="shared" si="102"/>
        <v>94.630330507546105</v>
      </c>
      <c r="H356" s="149">
        <f t="shared" ref="H356:AE356" si="109">H357+H358+H359+H360</f>
        <v>2</v>
      </c>
      <c r="I356" s="149">
        <f t="shared" si="109"/>
        <v>2</v>
      </c>
      <c r="J356" s="149">
        <f t="shared" si="109"/>
        <v>262.52300000000002</v>
      </c>
      <c r="K356" s="149">
        <f t="shared" si="109"/>
        <v>262.57</v>
      </c>
      <c r="L356" s="149">
        <f t="shared" si="109"/>
        <v>178.89000000000001</v>
      </c>
      <c r="M356" s="149">
        <f t="shared" si="109"/>
        <v>178.05799999999999</v>
      </c>
      <c r="N356" s="149">
        <f t="shared" si="109"/>
        <v>92.240000000000009</v>
      </c>
      <c r="O356" s="149">
        <f t="shared" si="109"/>
        <v>24.48</v>
      </c>
      <c r="P356" s="149">
        <f t="shared" si="109"/>
        <v>176.8364</v>
      </c>
      <c r="Q356" s="149">
        <f t="shared" si="109"/>
        <v>176.83</v>
      </c>
      <c r="R356" s="149">
        <f t="shared" si="109"/>
        <v>307.67823000000004</v>
      </c>
      <c r="S356" s="149">
        <f t="shared" si="109"/>
        <v>321.45</v>
      </c>
      <c r="T356" s="149">
        <f t="shared" si="109"/>
        <v>0.55500000000000005</v>
      </c>
      <c r="U356" s="149">
        <f t="shared" si="109"/>
        <v>0</v>
      </c>
      <c r="V356" s="149">
        <f t="shared" si="109"/>
        <v>33.122</v>
      </c>
      <c r="W356" s="149">
        <f t="shared" si="109"/>
        <v>0</v>
      </c>
      <c r="X356" s="149">
        <f t="shared" si="109"/>
        <v>75.910229999999999</v>
      </c>
      <c r="Y356" s="149">
        <f t="shared" si="109"/>
        <v>0</v>
      </c>
      <c r="Z356" s="149">
        <f t="shared" si="109"/>
        <v>25352.76023</v>
      </c>
      <c r="AA356" s="149">
        <f t="shared" si="109"/>
        <v>0</v>
      </c>
      <c r="AB356" s="149">
        <f t="shared" si="109"/>
        <v>532265.03224999993</v>
      </c>
      <c r="AC356" s="149">
        <f t="shared" si="109"/>
        <v>0</v>
      </c>
      <c r="AD356" s="149">
        <f t="shared" si="109"/>
        <v>1093776.7840000002</v>
      </c>
      <c r="AE356" s="149">
        <f t="shared" si="109"/>
        <v>0</v>
      </c>
      <c r="AF356" s="149"/>
      <c r="AG356" s="102">
        <f t="shared" si="37"/>
        <v>0</v>
      </c>
    </row>
    <row r="357" spans="1:33" x14ac:dyDescent="0.3">
      <c r="A357" s="150" t="s">
        <v>169</v>
      </c>
      <c r="B357" s="151">
        <f t="shared" ref="B357:E360" si="110">B13+B25+B163+B175+B256+B268</f>
        <v>222131.40402999998</v>
      </c>
      <c r="C357" s="151">
        <f>C13+C25+C163+C175+C256+C268</f>
        <v>296.99200999999999</v>
      </c>
      <c r="D357" s="151">
        <f t="shared" si="110"/>
        <v>296.99200999999999</v>
      </c>
      <c r="E357" s="151">
        <f t="shared" si="110"/>
        <v>276.69</v>
      </c>
      <c r="F357" s="151">
        <f t="shared" si="101"/>
        <v>0.1245614059877061</v>
      </c>
      <c r="G357" s="151">
        <f t="shared" si="102"/>
        <v>93.164122496090044</v>
      </c>
      <c r="H357" s="151">
        <f t="shared" ref="H357:AE357" si="111">H13+H25+H163+H175+H256+H268</f>
        <v>0</v>
      </c>
      <c r="I357" s="151">
        <f t="shared" si="111"/>
        <v>0</v>
      </c>
      <c r="J357" s="151">
        <f t="shared" si="111"/>
        <v>47.78</v>
      </c>
      <c r="K357" s="151">
        <f t="shared" si="111"/>
        <v>47.9</v>
      </c>
      <c r="L357" s="151">
        <f t="shared" si="111"/>
        <v>65.98</v>
      </c>
      <c r="M357" s="151">
        <f t="shared" si="111"/>
        <v>65.86</v>
      </c>
      <c r="N357" s="151">
        <f t="shared" si="111"/>
        <v>35.630000000000003</v>
      </c>
      <c r="O357" s="151">
        <f t="shared" si="111"/>
        <v>9.15</v>
      </c>
      <c r="P357" s="151">
        <f t="shared" si="111"/>
        <v>68.342010000000002</v>
      </c>
      <c r="Q357" s="151">
        <f t="shared" si="111"/>
        <v>68.34</v>
      </c>
      <c r="R357" s="151">
        <f t="shared" si="111"/>
        <v>79.260000000000005</v>
      </c>
      <c r="S357" s="151">
        <f t="shared" si="111"/>
        <v>85.44</v>
      </c>
      <c r="T357" s="151">
        <f t="shared" si="111"/>
        <v>0</v>
      </c>
      <c r="U357" s="151">
        <f t="shared" si="111"/>
        <v>0</v>
      </c>
      <c r="V357" s="151">
        <f t="shared" si="111"/>
        <v>32.28</v>
      </c>
      <c r="W357" s="151">
        <f t="shared" si="111"/>
        <v>0</v>
      </c>
      <c r="X357" s="151">
        <f t="shared" si="111"/>
        <v>15.489999999999998</v>
      </c>
      <c r="Y357" s="151">
        <f t="shared" si="111"/>
        <v>0</v>
      </c>
      <c r="Z357" s="151">
        <f t="shared" si="111"/>
        <v>10259.92</v>
      </c>
      <c r="AA357" s="151">
        <f t="shared" si="111"/>
        <v>0</v>
      </c>
      <c r="AB357" s="151">
        <f t="shared" si="111"/>
        <v>211492.41202000002</v>
      </c>
      <c r="AC357" s="151">
        <f t="shared" si="111"/>
        <v>0</v>
      </c>
      <c r="AD357" s="151">
        <f t="shared" si="111"/>
        <v>34.31</v>
      </c>
      <c r="AE357" s="151">
        <f t="shared" si="111"/>
        <v>0</v>
      </c>
      <c r="AF357" s="151"/>
      <c r="AG357" s="102">
        <f t="shared" si="37"/>
        <v>-6.0538241086760536E-11</v>
      </c>
    </row>
    <row r="358" spans="1:33" x14ac:dyDescent="0.3">
      <c r="A358" s="150" t="s">
        <v>32</v>
      </c>
      <c r="B358" s="151">
        <f t="shared" si="110"/>
        <v>931573.69530999998</v>
      </c>
      <c r="C358" s="151">
        <f t="shared" si="110"/>
        <v>464.46461999999997</v>
      </c>
      <c r="D358" s="151">
        <f t="shared" si="110"/>
        <v>464.46461999999997</v>
      </c>
      <c r="E358" s="151">
        <f t="shared" si="110"/>
        <v>432.76</v>
      </c>
      <c r="F358" s="151">
        <f t="shared" si="101"/>
        <v>4.6454725179417004E-2</v>
      </c>
      <c r="G358" s="151">
        <f t="shared" si="102"/>
        <v>93.173942936708514</v>
      </c>
      <c r="H358" s="151">
        <f t="shared" ref="H358:AE358" si="112">H14+H26+H164+H176+H257+H269</f>
        <v>0</v>
      </c>
      <c r="I358" s="151">
        <f t="shared" si="112"/>
        <v>0</v>
      </c>
      <c r="J358" s="151">
        <f t="shared" si="112"/>
        <v>74.73</v>
      </c>
      <c r="K358" s="151">
        <f t="shared" si="112"/>
        <v>74.7</v>
      </c>
      <c r="L358" s="151">
        <f t="shared" si="112"/>
        <v>103.2</v>
      </c>
      <c r="M358" s="151">
        <f t="shared" si="112"/>
        <v>103.21</v>
      </c>
      <c r="N358" s="151">
        <f t="shared" si="112"/>
        <v>55.68</v>
      </c>
      <c r="O358" s="151">
        <f t="shared" si="112"/>
        <v>14.34</v>
      </c>
      <c r="P358" s="151">
        <f t="shared" si="112"/>
        <v>106.77439</v>
      </c>
      <c r="Q358" s="151">
        <f t="shared" si="112"/>
        <v>106.77</v>
      </c>
      <c r="R358" s="151">
        <f t="shared" si="112"/>
        <v>124.08023</v>
      </c>
      <c r="S358" s="151">
        <f t="shared" si="112"/>
        <v>133.74</v>
      </c>
      <c r="T358" s="151">
        <f t="shared" si="112"/>
        <v>0</v>
      </c>
      <c r="U358" s="151">
        <f t="shared" si="112"/>
        <v>0</v>
      </c>
      <c r="V358" s="151">
        <f t="shared" si="112"/>
        <v>0.1</v>
      </c>
      <c r="W358" s="151">
        <f t="shared" si="112"/>
        <v>0</v>
      </c>
      <c r="X358" s="151">
        <f t="shared" si="112"/>
        <v>59.430230000000002</v>
      </c>
      <c r="Y358" s="151">
        <f t="shared" si="112"/>
        <v>0</v>
      </c>
      <c r="Z358" s="151">
        <f t="shared" si="112"/>
        <v>12567.92023</v>
      </c>
      <c r="AA358" s="151">
        <f t="shared" si="112"/>
        <v>0</v>
      </c>
      <c r="AB358" s="151">
        <f t="shared" si="112"/>
        <v>258503.70022999999</v>
      </c>
      <c r="AC358" s="151">
        <f t="shared" si="112"/>
        <v>0</v>
      </c>
      <c r="AD358" s="151">
        <f t="shared" si="112"/>
        <v>659978.08000000007</v>
      </c>
      <c r="AE358" s="151">
        <f t="shared" si="112"/>
        <v>0</v>
      </c>
      <c r="AF358" s="151"/>
      <c r="AG358" s="102">
        <f t="shared" si="37"/>
        <v>0</v>
      </c>
    </row>
    <row r="359" spans="1:33" x14ac:dyDescent="0.3">
      <c r="A359" s="150" t="s">
        <v>33</v>
      </c>
      <c r="B359" s="151">
        <f t="shared" si="110"/>
        <v>177030.23199999999</v>
      </c>
      <c r="C359" s="151">
        <f t="shared" si="110"/>
        <v>258.71100000000001</v>
      </c>
      <c r="D359" s="151">
        <f t="shared" si="110"/>
        <v>255.93800000000002</v>
      </c>
      <c r="E359" s="151">
        <f t="shared" si="110"/>
        <v>255.93800000000002</v>
      </c>
      <c r="F359" s="151">
        <f t="shared" si="101"/>
        <v>0.14457304670989757</v>
      </c>
      <c r="G359" s="151">
        <f t="shared" si="102"/>
        <v>98.928147624182969</v>
      </c>
      <c r="H359" s="151">
        <f t="shared" ref="H359:AE359" si="113">H15+H27+H165+H177+H258+H270</f>
        <v>2</v>
      </c>
      <c r="I359" s="151">
        <f t="shared" si="113"/>
        <v>2</v>
      </c>
      <c r="J359" s="151">
        <f t="shared" si="113"/>
        <v>140.01300000000001</v>
      </c>
      <c r="K359" s="151">
        <f t="shared" si="113"/>
        <v>139.97</v>
      </c>
      <c r="L359" s="151">
        <f t="shared" si="113"/>
        <v>9.7100000000000009</v>
      </c>
      <c r="M359" s="151">
        <f t="shared" si="113"/>
        <v>8.9879999999999995</v>
      </c>
      <c r="N359" s="151">
        <f t="shared" si="113"/>
        <v>0.93</v>
      </c>
      <c r="O359" s="151">
        <f t="shared" si="113"/>
        <v>0.99</v>
      </c>
      <c r="P359" s="151">
        <f t="shared" si="113"/>
        <v>1.72</v>
      </c>
      <c r="Q359" s="151">
        <f t="shared" si="113"/>
        <v>1.72</v>
      </c>
      <c r="R359" s="151">
        <f t="shared" si="113"/>
        <v>104.33800000000001</v>
      </c>
      <c r="S359" s="151">
        <f t="shared" si="113"/>
        <v>102.27</v>
      </c>
      <c r="T359" s="151">
        <f t="shared" si="113"/>
        <v>0.55500000000000005</v>
      </c>
      <c r="U359" s="151">
        <f t="shared" si="113"/>
        <v>0</v>
      </c>
      <c r="V359" s="151">
        <f t="shared" si="113"/>
        <v>0.74199999999999999</v>
      </c>
      <c r="W359" s="151">
        <f t="shared" si="113"/>
        <v>0</v>
      </c>
      <c r="X359" s="151">
        <f t="shared" si="113"/>
        <v>0.99</v>
      </c>
      <c r="Y359" s="151">
        <f t="shared" si="113"/>
        <v>0</v>
      </c>
      <c r="Z359" s="151">
        <f t="shared" si="113"/>
        <v>2524.92</v>
      </c>
      <c r="AA359" s="151">
        <f t="shared" si="113"/>
        <v>0</v>
      </c>
      <c r="AB359" s="151">
        <f t="shared" si="113"/>
        <v>52210.98</v>
      </c>
      <c r="AC359" s="151">
        <f t="shared" si="113"/>
        <v>0</v>
      </c>
      <c r="AD359" s="151">
        <f t="shared" si="113"/>
        <v>122033.334</v>
      </c>
      <c r="AE359" s="151">
        <f t="shared" si="113"/>
        <v>0</v>
      </c>
      <c r="AF359" s="151"/>
      <c r="AG359" s="102">
        <f t="shared" ref="AG359:AG370" si="114">B359-H359-J359-L359-N359-P359-R359-T359-V359-X359-Z359-AB359-AD359</f>
        <v>0</v>
      </c>
    </row>
    <row r="360" spans="1:33" x14ac:dyDescent="0.3">
      <c r="A360" s="152" t="s">
        <v>170</v>
      </c>
      <c r="B360" s="151">
        <f t="shared" si="110"/>
        <v>321789</v>
      </c>
      <c r="C360" s="151">
        <f t="shared" si="110"/>
        <v>0</v>
      </c>
      <c r="D360" s="151">
        <f t="shared" si="110"/>
        <v>0</v>
      </c>
      <c r="E360" s="151">
        <f t="shared" si="110"/>
        <v>0</v>
      </c>
      <c r="F360" s="151">
        <f t="shared" si="101"/>
        <v>0</v>
      </c>
      <c r="G360" s="151">
        <f t="shared" si="102"/>
        <v>0</v>
      </c>
      <c r="H360" s="151">
        <f t="shared" ref="H360:AE360" si="115">H16+H28+H166+H178+H259+H271</f>
        <v>0</v>
      </c>
      <c r="I360" s="151">
        <f t="shared" si="115"/>
        <v>0</v>
      </c>
      <c r="J360" s="151">
        <f t="shared" si="115"/>
        <v>0</v>
      </c>
      <c r="K360" s="151">
        <f t="shared" si="115"/>
        <v>0</v>
      </c>
      <c r="L360" s="151">
        <f t="shared" si="115"/>
        <v>0</v>
      </c>
      <c r="M360" s="151">
        <f t="shared" si="115"/>
        <v>0</v>
      </c>
      <c r="N360" s="151">
        <f t="shared" si="115"/>
        <v>0</v>
      </c>
      <c r="O360" s="151">
        <f t="shared" si="115"/>
        <v>0</v>
      </c>
      <c r="P360" s="151">
        <f t="shared" si="115"/>
        <v>0</v>
      </c>
      <c r="Q360" s="151">
        <f t="shared" si="115"/>
        <v>0</v>
      </c>
      <c r="R360" s="151">
        <f t="shared" si="115"/>
        <v>0</v>
      </c>
      <c r="S360" s="151">
        <f t="shared" si="115"/>
        <v>0</v>
      </c>
      <c r="T360" s="151">
        <f t="shared" si="115"/>
        <v>0</v>
      </c>
      <c r="U360" s="151">
        <f t="shared" si="115"/>
        <v>0</v>
      </c>
      <c r="V360" s="151">
        <f t="shared" si="115"/>
        <v>0</v>
      </c>
      <c r="W360" s="151">
        <f t="shared" si="115"/>
        <v>0</v>
      </c>
      <c r="X360" s="151">
        <f t="shared" si="115"/>
        <v>0</v>
      </c>
      <c r="Y360" s="151">
        <f t="shared" si="115"/>
        <v>0</v>
      </c>
      <c r="Z360" s="151">
        <f t="shared" si="115"/>
        <v>0</v>
      </c>
      <c r="AA360" s="151">
        <f t="shared" si="115"/>
        <v>0</v>
      </c>
      <c r="AB360" s="151">
        <f t="shared" si="115"/>
        <v>10057.94</v>
      </c>
      <c r="AC360" s="151">
        <f t="shared" si="115"/>
        <v>0</v>
      </c>
      <c r="AD360" s="151">
        <f t="shared" si="115"/>
        <v>311731.06</v>
      </c>
      <c r="AE360" s="151">
        <f t="shared" si="115"/>
        <v>0</v>
      </c>
      <c r="AF360" s="151"/>
      <c r="AG360" s="102">
        <f t="shared" si="114"/>
        <v>0</v>
      </c>
    </row>
    <row r="361" spans="1:33" ht="37.5" x14ac:dyDescent="0.3">
      <c r="A361" s="148" t="s">
        <v>219</v>
      </c>
      <c r="B361" s="149">
        <f>B362+B363+B364+B365</f>
        <v>3171208.2640499994</v>
      </c>
      <c r="C361" s="149">
        <f>C362+C363+C364</f>
        <v>1266447.7155299999</v>
      </c>
      <c r="D361" s="149">
        <f>D362+D363+D364</f>
        <v>1703403.2270000002</v>
      </c>
      <c r="E361" s="149">
        <f>E362+E363+E364</f>
        <v>1703403.2270000002</v>
      </c>
      <c r="F361" s="149">
        <f t="shared" si="101"/>
        <v>53.714643920123919</v>
      </c>
      <c r="G361" s="149">
        <f t="shared" si="102"/>
        <v>134.50245170896275</v>
      </c>
      <c r="H361" s="149">
        <f t="shared" ref="H361:AE361" si="116">H362+H363+H364+H365</f>
        <v>257829.14190999995</v>
      </c>
      <c r="I361" s="149">
        <f t="shared" si="116"/>
        <v>109714.07</v>
      </c>
      <c r="J361" s="149">
        <f t="shared" si="116"/>
        <v>339947.51941000001</v>
      </c>
      <c r="K361" s="149">
        <f t="shared" si="116"/>
        <v>310803.36699999997</v>
      </c>
      <c r="L361" s="149">
        <f t="shared" si="116"/>
        <v>299794.07004999998</v>
      </c>
      <c r="M361" s="149">
        <f t="shared" si="116"/>
        <v>256303</v>
      </c>
      <c r="N361" s="149">
        <f t="shared" si="116"/>
        <v>334917.61444999999</v>
      </c>
      <c r="O361" s="149">
        <f t="shared" si="116"/>
        <v>267942.88999999996</v>
      </c>
      <c r="P361" s="149">
        <f t="shared" si="116"/>
        <v>493056.40561000002</v>
      </c>
      <c r="Q361" s="149">
        <f t="shared" si="116"/>
        <v>492997.26999999996</v>
      </c>
      <c r="R361" s="149">
        <f t="shared" si="116"/>
        <v>287361.96385000006</v>
      </c>
      <c r="S361" s="149">
        <f t="shared" si="116"/>
        <v>281383.46000000002</v>
      </c>
      <c r="T361" s="149">
        <f t="shared" si="116"/>
        <v>223980.7598</v>
      </c>
      <c r="U361" s="149">
        <f t="shared" si="116"/>
        <v>0</v>
      </c>
      <c r="V361" s="149">
        <f t="shared" si="116"/>
        <v>126314.14929999999</v>
      </c>
      <c r="W361" s="149">
        <f t="shared" si="116"/>
        <v>0</v>
      </c>
      <c r="X361" s="149">
        <f t="shared" si="116"/>
        <v>173061.56550999999</v>
      </c>
      <c r="Y361" s="149">
        <f t="shared" si="116"/>
        <v>0</v>
      </c>
      <c r="Z361" s="149">
        <f t="shared" si="116"/>
        <v>184131.14827999999</v>
      </c>
      <c r="AA361" s="149">
        <f t="shared" si="116"/>
        <v>0</v>
      </c>
      <c r="AB361" s="149">
        <f t="shared" si="116"/>
        <v>163673.84789999999</v>
      </c>
      <c r="AC361" s="149">
        <f t="shared" si="116"/>
        <v>0</v>
      </c>
      <c r="AD361" s="149">
        <f t="shared" si="116"/>
        <v>287140.07798</v>
      </c>
      <c r="AE361" s="149">
        <f t="shared" si="116"/>
        <v>0</v>
      </c>
      <c r="AF361" s="149"/>
      <c r="AG361" s="102">
        <f t="shared" si="114"/>
        <v>-6.9849193096160889E-10</v>
      </c>
    </row>
    <row r="362" spans="1:33" x14ac:dyDescent="0.3">
      <c r="A362" s="150" t="s">
        <v>169</v>
      </c>
      <c r="B362" s="151">
        <f t="shared" ref="B362:E364" si="117">B32+B62+B80+B128+B149+B188+B206+B236+B275+B299+B335</f>
        <v>82997.402340000001</v>
      </c>
      <c r="C362" s="151">
        <f t="shared" si="117"/>
        <v>33259.196750000003</v>
      </c>
      <c r="D362" s="151">
        <f t="shared" si="117"/>
        <v>59874.58</v>
      </c>
      <c r="E362" s="151">
        <f t="shared" si="117"/>
        <v>59874.58</v>
      </c>
      <c r="F362" s="151">
        <f t="shared" si="101"/>
        <v>72.140305975749655</v>
      </c>
      <c r="G362" s="151">
        <f t="shared" si="102"/>
        <v>180.02413122018649</v>
      </c>
      <c r="H362" s="151">
        <f t="shared" ref="H362:AE362" si="118">H32+H62+H80+H128+H149+H188+H206+H236+H275+H299+H335</f>
        <v>5384.18</v>
      </c>
      <c r="I362" s="151">
        <f t="shared" si="118"/>
        <v>5314.2000000000007</v>
      </c>
      <c r="J362" s="151">
        <f t="shared" si="118"/>
        <v>6759.85</v>
      </c>
      <c r="K362" s="151">
        <f t="shared" si="118"/>
        <v>6638</v>
      </c>
      <c r="L362" s="151">
        <f t="shared" si="118"/>
        <v>7108.42</v>
      </c>
      <c r="M362" s="151">
        <f t="shared" si="118"/>
        <v>7092.9</v>
      </c>
      <c r="N362" s="151">
        <f t="shared" si="118"/>
        <v>14006.74675</v>
      </c>
      <c r="O362" s="151">
        <f t="shared" si="118"/>
        <v>13392.81</v>
      </c>
      <c r="P362" s="151">
        <f t="shared" si="118"/>
        <v>13099.743200000001</v>
      </c>
      <c r="Q362" s="151">
        <f t="shared" si="118"/>
        <v>13099.740000000002</v>
      </c>
      <c r="R362" s="151">
        <f t="shared" si="118"/>
        <v>14593.000199999999</v>
      </c>
      <c r="S362" s="151">
        <f t="shared" si="118"/>
        <v>14336.93</v>
      </c>
      <c r="T362" s="151">
        <f t="shared" si="118"/>
        <v>8908.7999999999993</v>
      </c>
      <c r="U362" s="151">
        <f t="shared" si="118"/>
        <v>0</v>
      </c>
      <c r="V362" s="151">
        <f t="shared" si="118"/>
        <v>0</v>
      </c>
      <c r="W362" s="151">
        <f t="shared" si="118"/>
        <v>0</v>
      </c>
      <c r="X362" s="151">
        <f t="shared" si="118"/>
        <v>3334.0848999999998</v>
      </c>
      <c r="Y362" s="151">
        <f t="shared" si="118"/>
        <v>0</v>
      </c>
      <c r="Z362" s="151">
        <f t="shared" si="118"/>
        <v>4295.6216999999997</v>
      </c>
      <c r="AA362" s="151">
        <f t="shared" si="118"/>
        <v>0</v>
      </c>
      <c r="AB362" s="151">
        <f t="shared" si="118"/>
        <v>2846.4506999999999</v>
      </c>
      <c r="AC362" s="151">
        <f t="shared" si="118"/>
        <v>0</v>
      </c>
      <c r="AD362" s="151">
        <f t="shared" si="118"/>
        <v>2660.5048900000002</v>
      </c>
      <c r="AE362" s="151">
        <f t="shared" si="118"/>
        <v>0</v>
      </c>
      <c r="AF362" s="151"/>
      <c r="AG362" s="102">
        <f t="shared" si="114"/>
        <v>0</v>
      </c>
    </row>
    <row r="363" spans="1:33" x14ac:dyDescent="0.3">
      <c r="A363" s="150" t="s">
        <v>32</v>
      </c>
      <c r="B363" s="151">
        <f t="shared" si="117"/>
        <v>2351700.7986799995</v>
      </c>
      <c r="C363" s="151">
        <f t="shared" si="117"/>
        <v>900367.68811999995</v>
      </c>
      <c r="D363" s="151">
        <f t="shared" si="117"/>
        <v>1221250.54</v>
      </c>
      <c r="E363" s="151">
        <f t="shared" si="117"/>
        <v>1221250.54</v>
      </c>
      <c r="F363" s="151">
        <f t="shared" si="101"/>
        <v>51.930523673993022</v>
      </c>
      <c r="G363" s="151">
        <f t="shared" si="102"/>
        <v>135.63909013105692</v>
      </c>
      <c r="H363" s="151">
        <f t="shared" ref="H363:AE363" si="119">H33+H63+H81+H129+H150+H189+H207+H237+H276+H300+H336</f>
        <v>181751.87999999998</v>
      </c>
      <c r="I363" s="151">
        <f t="shared" si="119"/>
        <v>39614.799999999996</v>
      </c>
      <c r="J363" s="151">
        <f t="shared" si="119"/>
        <v>240767.02979000003</v>
      </c>
      <c r="K363" s="151">
        <f t="shared" si="119"/>
        <v>212144</v>
      </c>
      <c r="L363" s="151">
        <f t="shared" si="119"/>
        <v>218622.38578999997</v>
      </c>
      <c r="M363" s="151">
        <f t="shared" si="119"/>
        <v>177406.36000000002</v>
      </c>
      <c r="N363" s="151">
        <f t="shared" si="119"/>
        <v>254776.39253999997</v>
      </c>
      <c r="O363" s="151">
        <f t="shared" si="119"/>
        <v>185166.59999999998</v>
      </c>
      <c r="P363" s="151">
        <f t="shared" si="119"/>
        <v>407567.51817</v>
      </c>
      <c r="Q363" s="151">
        <f t="shared" si="119"/>
        <v>409732.23</v>
      </c>
      <c r="R363" s="151">
        <f t="shared" si="119"/>
        <v>196541.65118000002</v>
      </c>
      <c r="S363" s="151">
        <f t="shared" si="119"/>
        <v>197186.55</v>
      </c>
      <c r="T363" s="151">
        <f t="shared" si="119"/>
        <v>131101.06379000001</v>
      </c>
      <c r="U363" s="151">
        <f t="shared" si="119"/>
        <v>0</v>
      </c>
      <c r="V363" s="151">
        <f t="shared" si="119"/>
        <v>92570.165789999999</v>
      </c>
      <c r="W363" s="151">
        <f t="shared" si="119"/>
        <v>0</v>
      </c>
      <c r="X363" s="151">
        <f t="shared" si="119"/>
        <v>134059.47709</v>
      </c>
      <c r="Y363" s="151">
        <f t="shared" si="119"/>
        <v>0</v>
      </c>
      <c r="Z363" s="151">
        <f t="shared" si="119"/>
        <v>136685.92569</v>
      </c>
      <c r="AA363" s="151">
        <f t="shared" si="119"/>
        <v>0</v>
      </c>
      <c r="AB363" s="151">
        <f t="shared" si="119"/>
        <v>125135.68969</v>
      </c>
      <c r="AC363" s="151">
        <f t="shared" si="119"/>
        <v>0</v>
      </c>
      <c r="AD363" s="151">
        <f t="shared" si="119"/>
        <v>232121.61916</v>
      </c>
      <c r="AE363" s="151">
        <f t="shared" si="119"/>
        <v>0</v>
      </c>
      <c r="AF363" s="151"/>
      <c r="AG363" s="102">
        <f t="shared" si="114"/>
        <v>-4.3655745685100555E-10</v>
      </c>
    </row>
    <row r="364" spans="1:33" x14ac:dyDescent="0.3">
      <c r="A364" s="150" t="s">
        <v>33</v>
      </c>
      <c r="B364" s="151">
        <f t="shared" si="117"/>
        <v>718110.23302999989</v>
      </c>
      <c r="C364" s="151">
        <f t="shared" si="117"/>
        <v>332820.83066000004</v>
      </c>
      <c r="D364" s="151">
        <f t="shared" si="117"/>
        <v>422278.10700000008</v>
      </c>
      <c r="E364" s="151">
        <f t="shared" si="117"/>
        <v>422278.10700000008</v>
      </c>
      <c r="F364" s="151">
        <f t="shared" si="101"/>
        <v>58.804078757969592</v>
      </c>
      <c r="G364" s="151">
        <f t="shared" si="102"/>
        <v>126.87850882488392</v>
      </c>
      <c r="H364" s="151">
        <f t="shared" ref="H364:AE364" si="120">H34+H64+H82+H130+H151+H190+H208+H238+H277+H301+H337</f>
        <v>70693.081909999994</v>
      </c>
      <c r="I364" s="151">
        <f t="shared" si="120"/>
        <v>64785.07</v>
      </c>
      <c r="J364" s="151">
        <f t="shared" si="120"/>
        <v>92420.639619999973</v>
      </c>
      <c r="K364" s="151">
        <f t="shared" si="120"/>
        <v>92021.366999999998</v>
      </c>
      <c r="L364" s="151">
        <f t="shared" si="120"/>
        <v>70833.264259999996</v>
      </c>
      <c r="M364" s="151">
        <f t="shared" si="120"/>
        <v>68573.740000000005</v>
      </c>
      <c r="N364" s="151">
        <f t="shared" si="120"/>
        <v>61841.975160000009</v>
      </c>
      <c r="O364" s="151">
        <f t="shared" si="120"/>
        <v>65272.480000000003</v>
      </c>
      <c r="P364" s="151">
        <f t="shared" si="120"/>
        <v>66689.144239999994</v>
      </c>
      <c r="Q364" s="151">
        <f t="shared" si="120"/>
        <v>64465.299999999996</v>
      </c>
      <c r="R364" s="151">
        <f t="shared" si="120"/>
        <v>73527.482470000003</v>
      </c>
      <c r="S364" s="151">
        <f t="shared" si="120"/>
        <v>67160.149999999994</v>
      </c>
      <c r="T364" s="151">
        <f t="shared" si="120"/>
        <v>83970.896009999997</v>
      </c>
      <c r="U364" s="151">
        <f t="shared" si="120"/>
        <v>0</v>
      </c>
      <c r="V364" s="151">
        <f t="shared" si="120"/>
        <v>33743.983509999991</v>
      </c>
      <c r="W364" s="151">
        <f t="shared" si="120"/>
        <v>0</v>
      </c>
      <c r="X364" s="151">
        <f t="shared" si="120"/>
        <v>35668.003520000006</v>
      </c>
      <c r="Y364" s="151">
        <f t="shared" si="120"/>
        <v>0</v>
      </c>
      <c r="Z364" s="151">
        <f t="shared" si="120"/>
        <v>43149.600890000002</v>
      </c>
      <c r="AA364" s="151">
        <f t="shared" si="120"/>
        <v>0</v>
      </c>
      <c r="AB364" s="151">
        <f t="shared" si="120"/>
        <v>35691.70751</v>
      </c>
      <c r="AC364" s="151">
        <f t="shared" si="120"/>
        <v>0</v>
      </c>
      <c r="AD364" s="151">
        <f t="shared" si="120"/>
        <v>49880.453929999996</v>
      </c>
      <c r="AE364" s="151">
        <f t="shared" si="120"/>
        <v>0</v>
      </c>
      <c r="AF364" s="151"/>
      <c r="AG364" s="102">
        <f t="shared" si="114"/>
        <v>5.8207660913467407E-11</v>
      </c>
    </row>
    <row r="365" spans="1:33" x14ac:dyDescent="0.3">
      <c r="A365" s="152" t="s">
        <v>170</v>
      </c>
      <c r="B365" s="151">
        <f>B35+B65+B83+B131+B152+B191+B209+B239+B278+B302+B338</f>
        <v>18399.830000000002</v>
      </c>
      <c r="C365" s="151">
        <f>C138+C101+C41</f>
        <v>15922.33</v>
      </c>
      <c r="D365" s="151">
        <f>D35+D65+D83+D131+D152+D191+D209+D239+D278+D302+D338</f>
        <v>15740.83</v>
      </c>
      <c r="E365" s="151">
        <f>E35+E65+E83+E131+E152+E191+E209+E239+E278+E302+E338</f>
        <v>15740.83</v>
      </c>
      <c r="F365" s="151">
        <f t="shared" si="101"/>
        <v>85.548779526767362</v>
      </c>
      <c r="G365" s="151">
        <f t="shared" si="102"/>
        <v>98.860091456463977</v>
      </c>
      <c r="H365" s="151">
        <f t="shared" ref="H365:AE365" si="121">H35+H65+H83+H131+H152+H191+H209+H239+H278+H302+H338</f>
        <v>0</v>
      </c>
      <c r="I365" s="151">
        <f t="shared" si="121"/>
        <v>0</v>
      </c>
      <c r="J365" s="151">
        <f t="shared" si="121"/>
        <v>0</v>
      </c>
      <c r="K365" s="151">
        <f t="shared" si="121"/>
        <v>0</v>
      </c>
      <c r="L365" s="151">
        <f t="shared" si="121"/>
        <v>3230</v>
      </c>
      <c r="M365" s="151">
        <f t="shared" si="121"/>
        <v>3230</v>
      </c>
      <c r="N365" s="151">
        <f t="shared" si="121"/>
        <v>4292.5</v>
      </c>
      <c r="O365" s="151">
        <f t="shared" si="121"/>
        <v>4111</v>
      </c>
      <c r="P365" s="151">
        <f t="shared" si="121"/>
        <v>5700</v>
      </c>
      <c r="Q365" s="151">
        <f t="shared" si="121"/>
        <v>5700</v>
      </c>
      <c r="R365" s="151">
        <f t="shared" si="121"/>
        <v>2699.83</v>
      </c>
      <c r="S365" s="151">
        <f t="shared" si="121"/>
        <v>2699.83</v>
      </c>
      <c r="T365" s="151">
        <f t="shared" si="121"/>
        <v>0</v>
      </c>
      <c r="U365" s="151">
        <f t="shared" si="121"/>
        <v>0</v>
      </c>
      <c r="V365" s="151">
        <f t="shared" si="121"/>
        <v>0</v>
      </c>
      <c r="W365" s="151">
        <f t="shared" si="121"/>
        <v>0</v>
      </c>
      <c r="X365" s="151">
        <f t="shared" si="121"/>
        <v>0</v>
      </c>
      <c r="Y365" s="151">
        <f t="shared" si="121"/>
        <v>0</v>
      </c>
      <c r="Z365" s="151">
        <f t="shared" si="121"/>
        <v>0</v>
      </c>
      <c r="AA365" s="151">
        <f t="shared" si="121"/>
        <v>0</v>
      </c>
      <c r="AB365" s="151">
        <f t="shared" si="121"/>
        <v>0</v>
      </c>
      <c r="AC365" s="151">
        <f t="shared" si="121"/>
        <v>0</v>
      </c>
      <c r="AD365" s="151">
        <f t="shared" si="121"/>
        <v>2477.5</v>
      </c>
      <c r="AE365" s="151">
        <f t="shared" si="121"/>
        <v>0</v>
      </c>
      <c r="AF365" s="151"/>
      <c r="AG365" s="102">
        <f t="shared" si="114"/>
        <v>0</v>
      </c>
    </row>
    <row r="366" spans="1:33" x14ac:dyDescent="0.3">
      <c r="B366" s="155">
        <f t="shared" ref="B366:E370" si="122">B351-B356-B361</f>
        <v>0</v>
      </c>
      <c r="C366" s="155">
        <f t="shared" si="122"/>
        <v>0</v>
      </c>
      <c r="D366" s="155">
        <f t="shared" si="122"/>
        <v>0</v>
      </c>
      <c r="E366" s="155">
        <f t="shared" si="122"/>
        <v>0</v>
      </c>
      <c r="F366" s="155"/>
      <c r="G366" s="155"/>
      <c r="H366" s="155">
        <f t="shared" ref="H366:AE370" si="123">H351-H356-H361</f>
        <v>0</v>
      </c>
      <c r="I366" s="155">
        <f t="shared" si="123"/>
        <v>0</v>
      </c>
      <c r="J366" s="155">
        <f t="shared" si="123"/>
        <v>0</v>
      </c>
      <c r="K366" s="155">
        <f t="shared" si="123"/>
        <v>0</v>
      </c>
      <c r="L366" s="155">
        <f t="shared" si="123"/>
        <v>0</v>
      </c>
      <c r="M366" s="155">
        <f t="shared" si="123"/>
        <v>0</v>
      </c>
      <c r="N366" s="155">
        <f t="shared" si="123"/>
        <v>0</v>
      </c>
      <c r="O366" s="155">
        <f t="shared" si="123"/>
        <v>0</v>
      </c>
      <c r="P366" s="155">
        <f t="shared" si="123"/>
        <v>0</v>
      </c>
      <c r="Q366" s="155">
        <f t="shared" si="123"/>
        <v>0</v>
      </c>
      <c r="R366" s="155">
        <f t="shared" si="123"/>
        <v>0</v>
      </c>
      <c r="S366" s="155">
        <f t="shared" si="123"/>
        <v>0</v>
      </c>
      <c r="T366" s="155">
        <f t="shared" si="123"/>
        <v>0</v>
      </c>
      <c r="U366" s="155">
        <f t="shared" si="123"/>
        <v>0</v>
      </c>
      <c r="V366" s="155">
        <f t="shared" si="123"/>
        <v>0</v>
      </c>
      <c r="W366" s="155">
        <f t="shared" si="123"/>
        <v>0</v>
      </c>
      <c r="X366" s="155">
        <f t="shared" si="123"/>
        <v>0</v>
      </c>
      <c r="Y366" s="155">
        <f t="shared" si="123"/>
        <v>0</v>
      </c>
      <c r="Z366" s="155">
        <f t="shared" si="123"/>
        <v>0</v>
      </c>
      <c r="AA366" s="155">
        <f t="shared" si="123"/>
        <v>0</v>
      </c>
      <c r="AB366" s="155">
        <f t="shared" si="123"/>
        <v>0</v>
      </c>
      <c r="AC366" s="155">
        <f t="shared" si="123"/>
        <v>0</v>
      </c>
      <c r="AD366" s="155">
        <f t="shared" si="123"/>
        <v>0</v>
      </c>
      <c r="AE366" s="155">
        <f t="shared" si="123"/>
        <v>0</v>
      </c>
      <c r="AG366" s="102">
        <f t="shared" si="114"/>
        <v>0</v>
      </c>
    </row>
    <row r="367" spans="1:33" x14ac:dyDescent="0.3">
      <c r="A367" s="156" t="s">
        <v>169</v>
      </c>
      <c r="B367" s="155">
        <f t="shared" si="122"/>
        <v>0</v>
      </c>
      <c r="C367" s="155">
        <f>C352-C357-C362</f>
        <v>0</v>
      </c>
      <c r="D367" s="155">
        <f t="shared" si="122"/>
        <v>0</v>
      </c>
      <c r="E367" s="155">
        <f t="shared" si="122"/>
        <v>0</v>
      </c>
      <c r="F367" s="155"/>
      <c r="G367" s="155"/>
      <c r="H367" s="155">
        <f t="shared" si="123"/>
        <v>0</v>
      </c>
      <c r="I367" s="155">
        <f t="shared" si="123"/>
        <v>0</v>
      </c>
      <c r="J367" s="155">
        <f t="shared" si="123"/>
        <v>0</v>
      </c>
      <c r="K367" s="155">
        <f t="shared" si="123"/>
        <v>0</v>
      </c>
      <c r="L367" s="155">
        <f t="shared" si="123"/>
        <v>0</v>
      </c>
      <c r="M367" s="155">
        <f t="shared" si="123"/>
        <v>0</v>
      </c>
      <c r="N367" s="155">
        <f t="shared" si="123"/>
        <v>0</v>
      </c>
      <c r="O367" s="155">
        <f t="shared" si="123"/>
        <v>0</v>
      </c>
      <c r="P367" s="155">
        <f t="shared" si="123"/>
        <v>0</v>
      </c>
      <c r="Q367" s="155">
        <f t="shared" si="123"/>
        <v>0</v>
      </c>
      <c r="R367" s="155">
        <f t="shared" si="123"/>
        <v>0</v>
      </c>
      <c r="S367" s="155">
        <f t="shared" si="123"/>
        <v>0</v>
      </c>
      <c r="T367" s="155">
        <f t="shared" si="123"/>
        <v>0</v>
      </c>
      <c r="U367" s="155">
        <f t="shared" si="123"/>
        <v>0</v>
      </c>
      <c r="V367" s="155">
        <f t="shared" si="123"/>
        <v>0</v>
      </c>
      <c r="W367" s="155">
        <f t="shared" si="123"/>
        <v>0</v>
      </c>
      <c r="X367" s="155">
        <f t="shared" si="123"/>
        <v>0</v>
      </c>
      <c r="Y367" s="155">
        <f t="shared" si="123"/>
        <v>0</v>
      </c>
      <c r="Z367" s="155">
        <f t="shared" si="123"/>
        <v>0</v>
      </c>
      <c r="AA367" s="155">
        <f t="shared" si="123"/>
        <v>0</v>
      </c>
      <c r="AB367" s="155">
        <f t="shared" si="123"/>
        <v>-1.3187673175707459E-11</v>
      </c>
      <c r="AC367" s="155">
        <f t="shared" si="123"/>
        <v>0</v>
      </c>
      <c r="AD367" s="155">
        <f t="shared" si="123"/>
        <v>0</v>
      </c>
      <c r="AE367" s="155">
        <f t="shared" si="123"/>
        <v>0</v>
      </c>
      <c r="AG367" s="102">
        <f t="shared" si="114"/>
        <v>1.3187673175707459E-11</v>
      </c>
    </row>
    <row r="368" spans="1:33" x14ac:dyDescent="0.3">
      <c r="A368" s="156" t="s">
        <v>32</v>
      </c>
      <c r="B368" s="155">
        <f t="shared" si="122"/>
        <v>0</v>
      </c>
      <c r="C368" s="155">
        <f t="shared" si="122"/>
        <v>0</v>
      </c>
      <c r="D368" s="155">
        <f t="shared" si="122"/>
        <v>0</v>
      </c>
      <c r="E368" s="155">
        <f t="shared" si="122"/>
        <v>0</v>
      </c>
      <c r="F368" s="155"/>
      <c r="G368" s="155"/>
      <c r="H368" s="155">
        <f t="shared" si="123"/>
        <v>0</v>
      </c>
      <c r="I368" s="155">
        <f t="shared" si="123"/>
        <v>0</v>
      </c>
      <c r="J368" s="155">
        <f t="shared" si="123"/>
        <v>0</v>
      </c>
      <c r="K368" s="155">
        <f t="shared" si="123"/>
        <v>0</v>
      </c>
      <c r="L368" s="155">
        <f t="shared" si="123"/>
        <v>0</v>
      </c>
      <c r="M368" s="155">
        <f t="shared" si="123"/>
        <v>0</v>
      </c>
      <c r="N368" s="155">
        <f t="shared" si="123"/>
        <v>0</v>
      </c>
      <c r="O368" s="155">
        <f t="shared" si="123"/>
        <v>0</v>
      </c>
      <c r="P368" s="155">
        <f t="shared" si="123"/>
        <v>0</v>
      </c>
      <c r="Q368" s="155">
        <f t="shared" si="123"/>
        <v>0</v>
      </c>
      <c r="R368" s="155">
        <f t="shared" si="123"/>
        <v>0</v>
      </c>
      <c r="S368" s="155">
        <f t="shared" si="123"/>
        <v>0</v>
      </c>
      <c r="T368" s="155">
        <f t="shared" si="123"/>
        <v>0</v>
      </c>
      <c r="U368" s="155">
        <f t="shared" si="123"/>
        <v>0</v>
      </c>
      <c r="V368" s="155">
        <f t="shared" si="123"/>
        <v>0</v>
      </c>
      <c r="W368" s="155">
        <f t="shared" si="123"/>
        <v>0</v>
      </c>
      <c r="X368" s="155">
        <f t="shared" si="123"/>
        <v>0</v>
      </c>
      <c r="Y368" s="155">
        <f t="shared" si="123"/>
        <v>0</v>
      </c>
      <c r="Z368" s="155">
        <f t="shared" si="123"/>
        <v>0</v>
      </c>
      <c r="AA368" s="155">
        <f t="shared" si="123"/>
        <v>0</v>
      </c>
      <c r="AB368" s="155">
        <f t="shared" si="123"/>
        <v>0</v>
      </c>
      <c r="AC368" s="155">
        <f t="shared" si="123"/>
        <v>0</v>
      </c>
      <c r="AD368" s="155">
        <f t="shared" si="123"/>
        <v>0</v>
      </c>
      <c r="AE368" s="155">
        <f t="shared" si="123"/>
        <v>0</v>
      </c>
      <c r="AG368" s="102">
        <f t="shared" si="114"/>
        <v>0</v>
      </c>
    </row>
    <row r="369" spans="1:33" x14ac:dyDescent="0.3">
      <c r="A369" s="156" t="s">
        <v>33</v>
      </c>
      <c r="B369" s="155">
        <f t="shared" si="122"/>
        <v>0</v>
      </c>
      <c r="C369" s="155">
        <f>C354-C359-C364</f>
        <v>0</v>
      </c>
      <c r="D369" s="155">
        <f t="shared" si="122"/>
        <v>0</v>
      </c>
      <c r="E369" s="155">
        <f t="shared" si="122"/>
        <v>0</v>
      </c>
      <c r="F369" s="155"/>
      <c r="G369" s="155"/>
      <c r="H369" s="155">
        <f t="shared" si="123"/>
        <v>0</v>
      </c>
      <c r="I369" s="155">
        <f t="shared" si="123"/>
        <v>0</v>
      </c>
      <c r="J369" s="155">
        <f t="shared" si="123"/>
        <v>0</v>
      </c>
      <c r="K369" s="155">
        <f t="shared" si="123"/>
        <v>0</v>
      </c>
      <c r="L369" s="155">
        <f t="shared" si="123"/>
        <v>0</v>
      </c>
      <c r="M369" s="155">
        <f t="shared" si="123"/>
        <v>0</v>
      </c>
      <c r="N369" s="155">
        <f t="shared" si="123"/>
        <v>0</v>
      </c>
      <c r="O369" s="155">
        <f t="shared" si="123"/>
        <v>0</v>
      </c>
      <c r="P369" s="155">
        <f t="shared" si="123"/>
        <v>0</v>
      </c>
      <c r="Q369" s="155">
        <f t="shared" si="123"/>
        <v>0</v>
      </c>
      <c r="R369" s="155">
        <f t="shared" si="123"/>
        <v>0</v>
      </c>
      <c r="S369" s="155">
        <f t="shared" si="123"/>
        <v>0</v>
      </c>
      <c r="T369" s="155">
        <f t="shared" si="123"/>
        <v>0</v>
      </c>
      <c r="U369" s="155">
        <f t="shared" si="123"/>
        <v>0</v>
      </c>
      <c r="V369" s="155">
        <f t="shared" si="123"/>
        <v>0</v>
      </c>
      <c r="W369" s="155">
        <f t="shared" si="123"/>
        <v>0</v>
      </c>
      <c r="X369" s="155">
        <f t="shared" si="123"/>
        <v>0</v>
      </c>
      <c r="Y369" s="155">
        <f t="shared" si="123"/>
        <v>0</v>
      </c>
      <c r="Z369" s="155">
        <f t="shared" si="123"/>
        <v>0</v>
      </c>
      <c r="AA369" s="155">
        <f t="shared" si="123"/>
        <v>0</v>
      </c>
      <c r="AB369" s="155">
        <f t="shared" si="123"/>
        <v>0</v>
      </c>
      <c r="AC369" s="155">
        <f t="shared" si="123"/>
        <v>0</v>
      </c>
      <c r="AD369" s="155">
        <f t="shared" si="123"/>
        <v>0</v>
      </c>
      <c r="AE369" s="155">
        <f t="shared" si="123"/>
        <v>0</v>
      </c>
      <c r="AG369" s="102">
        <f t="shared" si="114"/>
        <v>0</v>
      </c>
    </row>
    <row r="370" spans="1:33" x14ac:dyDescent="0.3">
      <c r="A370" s="156" t="s">
        <v>170</v>
      </c>
      <c r="B370" s="155">
        <f t="shared" si="122"/>
        <v>0</v>
      </c>
      <c r="C370" s="155">
        <f>C355-C360-C365</f>
        <v>0</v>
      </c>
      <c r="D370" s="155">
        <f t="shared" si="122"/>
        <v>0</v>
      </c>
      <c r="E370" s="155">
        <f t="shared" si="122"/>
        <v>0</v>
      </c>
      <c r="F370" s="155"/>
      <c r="G370" s="155"/>
      <c r="H370" s="155">
        <f t="shared" si="123"/>
        <v>0</v>
      </c>
      <c r="I370" s="155">
        <f t="shared" si="123"/>
        <v>0</v>
      </c>
      <c r="J370" s="155">
        <f t="shared" si="123"/>
        <v>0</v>
      </c>
      <c r="K370" s="155">
        <f t="shared" si="123"/>
        <v>0</v>
      </c>
      <c r="L370" s="155">
        <f t="shared" si="123"/>
        <v>0</v>
      </c>
      <c r="M370" s="155">
        <f t="shared" si="123"/>
        <v>0</v>
      </c>
      <c r="N370" s="155">
        <f t="shared" si="123"/>
        <v>0</v>
      </c>
      <c r="O370" s="155">
        <f t="shared" si="123"/>
        <v>0</v>
      </c>
      <c r="P370" s="155">
        <f t="shared" si="123"/>
        <v>0</v>
      </c>
      <c r="Q370" s="155">
        <f t="shared" si="123"/>
        <v>0</v>
      </c>
      <c r="R370" s="155">
        <f t="shared" si="123"/>
        <v>0</v>
      </c>
      <c r="S370" s="155">
        <f t="shared" si="123"/>
        <v>0</v>
      </c>
      <c r="T370" s="155">
        <f t="shared" si="123"/>
        <v>0</v>
      </c>
      <c r="U370" s="155">
        <f t="shared" si="123"/>
        <v>0</v>
      </c>
      <c r="V370" s="155">
        <f t="shared" si="123"/>
        <v>0</v>
      </c>
      <c r="W370" s="155">
        <f t="shared" si="123"/>
        <v>0</v>
      </c>
      <c r="X370" s="155">
        <f t="shared" si="123"/>
        <v>0</v>
      </c>
      <c r="Y370" s="155">
        <f t="shared" si="123"/>
        <v>0</v>
      </c>
      <c r="Z370" s="155">
        <f t="shared" si="123"/>
        <v>0</v>
      </c>
      <c r="AA370" s="155">
        <f t="shared" si="123"/>
        <v>0</v>
      </c>
      <c r="AB370" s="155">
        <f t="shared" si="123"/>
        <v>0</v>
      </c>
      <c r="AC370" s="155">
        <f t="shared" si="123"/>
        <v>0</v>
      </c>
      <c r="AD370" s="155">
        <f t="shared" si="123"/>
        <v>0</v>
      </c>
      <c r="AE370" s="155">
        <f t="shared" si="123"/>
        <v>0</v>
      </c>
      <c r="AG370" s="102">
        <f t="shared" si="114"/>
        <v>0</v>
      </c>
    </row>
    <row r="372" spans="1:33" x14ac:dyDescent="0.3">
      <c r="B372" s="155">
        <f t="shared" ref="B372:AE372" si="124">B19+B25+B38+B44+B50+B68+B74+B92+B98+B104+B110+B116+B122+B134+B141+B155+B169+B181+B194+B200+B212+B218+B224+B230+B242+B248+B262+B268+B281+B287+B293+B305+B317+B323+B329+B341+B347-B352</f>
        <v>0</v>
      </c>
      <c r="C372" s="155">
        <f>C19+C25+C38+C44+C50+C68+C74+C92+C98+C104+C110+C116+C122+C134+C141+C155+C169+C181+C194+C200+C212+C218+C224+C230+C242+C248+C262+C268+C281+C287+C293+C305+C317+C323+C329+C341+C347-C352</f>
        <v>27692.743399999999</v>
      </c>
      <c r="D372" s="155">
        <f t="shared" si="124"/>
        <v>0</v>
      </c>
      <c r="E372" s="155">
        <f t="shared" si="124"/>
        <v>0</v>
      </c>
      <c r="F372" s="155">
        <f t="shared" si="124"/>
        <v>171.12070306711277</v>
      </c>
      <c r="G372" s="155">
        <f t="shared" si="124"/>
        <v>109.70101159625244</v>
      </c>
      <c r="H372" s="155">
        <f t="shared" si="124"/>
        <v>0</v>
      </c>
      <c r="I372" s="155">
        <f t="shared" si="124"/>
        <v>0</v>
      </c>
      <c r="J372" s="155">
        <f t="shared" si="124"/>
        <v>0</v>
      </c>
      <c r="K372" s="155">
        <f t="shared" si="124"/>
        <v>0</v>
      </c>
      <c r="L372" s="155">
        <f t="shared" si="124"/>
        <v>0</v>
      </c>
      <c r="M372" s="155">
        <f t="shared" si="124"/>
        <v>0</v>
      </c>
      <c r="N372" s="155">
        <f t="shared" si="124"/>
        <v>0</v>
      </c>
      <c r="O372" s="155">
        <f t="shared" si="124"/>
        <v>0</v>
      </c>
      <c r="P372" s="155">
        <f t="shared" si="124"/>
        <v>0</v>
      </c>
      <c r="Q372" s="155">
        <f t="shared" si="124"/>
        <v>0</v>
      </c>
      <c r="R372" s="155">
        <f t="shared" si="124"/>
        <v>0</v>
      </c>
      <c r="S372" s="155">
        <f t="shared" si="124"/>
        <v>0</v>
      </c>
      <c r="T372" s="155">
        <f t="shared" si="124"/>
        <v>0</v>
      </c>
      <c r="U372" s="155">
        <f t="shared" si="124"/>
        <v>0</v>
      </c>
      <c r="V372" s="155">
        <f t="shared" si="124"/>
        <v>0</v>
      </c>
      <c r="W372" s="155">
        <f t="shared" si="124"/>
        <v>0</v>
      </c>
      <c r="X372" s="155">
        <f t="shared" si="124"/>
        <v>0</v>
      </c>
      <c r="Y372" s="155">
        <f t="shared" si="124"/>
        <v>0</v>
      </c>
      <c r="Z372" s="155">
        <f t="shared" si="124"/>
        <v>0</v>
      </c>
      <c r="AA372" s="155">
        <f t="shared" si="124"/>
        <v>0</v>
      </c>
      <c r="AB372" s="155">
        <f t="shared" si="124"/>
        <v>0</v>
      </c>
      <c r="AC372" s="155">
        <f t="shared" si="124"/>
        <v>0</v>
      </c>
      <c r="AD372" s="155">
        <f t="shared" si="124"/>
        <v>0</v>
      </c>
      <c r="AE372" s="155">
        <f t="shared" si="124"/>
        <v>0</v>
      </c>
    </row>
    <row r="373" spans="1:33" x14ac:dyDescent="0.3">
      <c r="B373" s="155">
        <f t="shared" ref="B373:AE373" si="125">B20+B26+B39+B45+B51+B69+B75+B93+B99+B105+B111+B117+B123+B135+B142+B156+B170+B182+B195+B201+B213+B219+B225+B231+B243+B249+B263+B269+B282+B288+B294+B306+B318+B324+B330+B342+B348-B353</f>
        <v>0</v>
      </c>
      <c r="C373" s="155">
        <f t="shared" si="125"/>
        <v>599659.16934999998</v>
      </c>
      <c r="D373" s="155">
        <f t="shared" si="125"/>
        <v>0</v>
      </c>
      <c r="E373" s="155">
        <f t="shared" si="125"/>
        <v>0</v>
      </c>
      <c r="F373" s="155">
        <f t="shared" si="125"/>
        <v>391.98479036645659</v>
      </c>
      <c r="G373" s="155">
        <f t="shared" si="125"/>
        <v>610.40377243275771</v>
      </c>
      <c r="H373" s="155">
        <f t="shared" si="125"/>
        <v>0</v>
      </c>
      <c r="I373" s="155">
        <f t="shared" si="125"/>
        <v>0</v>
      </c>
      <c r="J373" s="155">
        <f t="shared" si="125"/>
        <v>0</v>
      </c>
      <c r="K373" s="155">
        <f t="shared" si="125"/>
        <v>0</v>
      </c>
      <c r="L373" s="155">
        <f t="shared" si="125"/>
        <v>0</v>
      </c>
      <c r="M373" s="155">
        <f t="shared" si="125"/>
        <v>0</v>
      </c>
      <c r="N373" s="155">
        <f t="shared" si="125"/>
        <v>0</v>
      </c>
      <c r="O373" s="155">
        <f t="shared" si="125"/>
        <v>0</v>
      </c>
      <c r="P373" s="155">
        <f t="shared" si="125"/>
        <v>0</v>
      </c>
      <c r="Q373" s="155">
        <f t="shared" si="125"/>
        <v>0</v>
      </c>
      <c r="R373" s="155">
        <f t="shared" si="125"/>
        <v>0</v>
      </c>
      <c r="S373" s="155">
        <f t="shared" si="125"/>
        <v>0</v>
      </c>
      <c r="T373" s="155">
        <f t="shared" si="125"/>
        <v>0</v>
      </c>
      <c r="U373" s="155">
        <f t="shared" si="125"/>
        <v>0</v>
      </c>
      <c r="V373" s="155">
        <f t="shared" si="125"/>
        <v>0</v>
      </c>
      <c r="W373" s="155">
        <f t="shared" si="125"/>
        <v>0</v>
      </c>
      <c r="X373" s="155">
        <f t="shared" si="125"/>
        <v>0</v>
      </c>
      <c r="Y373" s="155">
        <f t="shared" si="125"/>
        <v>0</v>
      </c>
      <c r="Z373" s="155">
        <f t="shared" si="125"/>
        <v>0</v>
      </c>
      <c r="AA373" s="155">
        <f t="shared" si="125"/>
        <v>0</v>
      </c>
      <c r="AB373" s="155">
        <f t="shared" si="125"/>
        <v>0</v>
      </c>
      <c r="AC373" s="155">
        <f t="shared" si="125"/>
        <v>0</v>
      </c>
      <c r="AD373" s="155">
        <f t="shared" si="125"/>
        <v>0</v>
      </c>
      <c r="AE373" s="155">
        <f t="shared" si="125"/>
        <v>0</v>
      </c>
    </row>
    <row r="374" spans="1:33" x14ac:dyDescent="0.3">
      <c r="B374" s="155">
        <f>B21+B27+B40+B46+B52+B70+B76+B94+B100+B106+B112+B118+B124+B136+B143+B157+B171+B183+B196+B202+B214+B220+B226+B232+B244+B250+B264+B270+B283+B289+B295+B307+B319+B325+B331+B343+B349+B55-B354</f>
        <v>0</v>
      </c>
      <c r="C374" s="155">
        <f>C21+C27+C40+C46+C52+C70+C76+C94+C100+C106+C112+C118+C124+C136+C143+C157+C171+C183+C196+C202+C214+C220+C226+C232+C244+C250+C264+C270+C283+C289+C295+C307+C319+C325+C331+C343+C349-C354</f>
        <v>103184.75699999993</v>
      </c>
      <c r="D374" s="155">
        <f t="shared" ref="D374:S374" si="126">D21+D27+D40+D46+D52+D70+D76+D94+D100+D106+D112+D118+D124+D136+D143+D157+D171+D183+D196+D202+D214+D220+D226+D232+D244+D250+D264+D270+D283+D289+D295+D307+D319+D325+D331+D343+D349-D354</f>
        <v>0</v>
      </c>
      <c r="E374" s="155">
        <f t="shared" si="126"/>
        <v>0</v>
      </c>
      <c r="F374" s="155">
        <f t="shared" si="126"/>
        <v>1426.6695318313584</v>
      </c>
      <c r="G374" s="155">
        <f t="shared" si="126"/>
        <v>1992.1489598414191</v>
      </c>
      <c r="H374" s="155">
        <f t="shared" si="126"/>
        <v>0</v>
      </c>
      <c r="I374" s="155">
        <f t="shared" si="126"/>
        <v>0</v>
      </c>
      <c r="J374" s="155">
        <f t="shared" si="126"/>
        <v>0</v>
      </c>
      <c r="K374" s="155">
        <f t="shared" si="126"/>
        <v>0</v>
      </c>
      <c r="L374" s="155">
        <f t="shared" si="126"/>
        <v>0</v>
      </c>
      <c r="M374" s="155">
        <f t="shared" si="126"/>
        <v>0</v>
      </c>
      <c r="N374" s="155">
        <f t="shared" si="126"/>
        <v>0</v>
      </c>
      <c r="O374" s="155">
        <f t="shared" si="126"/>
        <v>0</v>
      </c>
      <c r="P374" s="155">
        <f t="shared" si="126"/>
        <v>0</v>
      </c>
      <c r="Q374" s="155">
        <f t="shared" si="126"/>
        <v>0</v>
      </c>
      <c r="R374" s="155">
        <f t="shared" si="126"/>
        <v>0</v>
      </c>
      <c r="S374" s="155">
        <f t="shared" si="126"/>
        <v>0</v>
      </c>
      <c r="T374" s="155">
        <f>T21+T27+T40+T46+T52+T70+T76+T94+T100+T106+T112+T118+T124+T136+T143+T157+T171+T183+T196+T202+T214+T220+T226+T232+T244+T250+T264+T270+T283+T289+T295+T307+T319+T325+T331+T343+T349+T58-T354</f>
        <v>0</v>
      </c>
      <c r="U374" s="155">
        <f t="shared" ref="U374:AE374" si="127">U21+U27+U40+U46+U52+U70+U76+U94+U100+U106+U112+U118+U124+U136+U143+U157+U171+U183+U196+U202+U214+U220+U226+U232+U244+U250+U264+U270+U283+U289+U295+U307+U319+U325+U331+U343+U349-U354</f>
        <v>0</v>
      </c>
      <c r="V374" s="155">
        <f t="shared" si="127"/>
        <v>0</v>
      </c>
      <c r="W374" s="155">
        <f t="shared" si="127"/>
        <v>0</v>
      </c>
      <c r="X374" s="155">
        <f t="shared" si="127"/>
        <v>0</v>
      </c>
      <c r="Y374" s="155">
        <f t="shared" si="127"/>
        <v>0</v>
      </c>
      <c r="Z374" s="155">
        <f t="shared" si="127"/>
        <v>0</v>
      </c>
      <c r="AA374" s="155">
        <f t="shared" si="127"/>
        <v>0</v>
      </c>
      <c r="AB374" s="155">
        <f t="shared" si="127"/>
        <v>0</v>
      </c>
      <c r="AC374" s="155">
        <f t="shared" si="127"/>
        <v>0</v>
      </c>
      <c r="AD374" s="155">
        <f t="shared" si="127"/>
        <v>0</v>
      </c>
      <c r="AE374" s="155">
        <f t="shared" si="127"/>
        <v>0</v>
      </c>
    </row>
    <row r="375" spans="1:33" x14ac:dyDescent="0.3">
      <c r="B375" s="155">
        <f>B22+B28+B41+B47+B53+B71+B77+B95+B101+B107+B113+B119+B125+B138+B144+B158+B172+B184+B197+B203+B215+B221+B227+B233+B245+B251+B265+B271+B284+B290+B296+B308+B320+B326+B332+B344+B350-B355</f>
        <v>0</v>
      </c>
      <c r="C375" s="155">
        <f>C22+C28+C41+C47+C53+C71+C77+C95+C101+C107+C113+C119+C125+C138+C144+C158+C172+C184+C197+C203+C215+C221+C227+C233+C245+C251+C265+C271+C284+C290+C296+C308+C320+C326+C332+C344+C350-C355</f>
        <v>0</v>
      </c>
      <c r="D375" s="155">
        <f>D22+D28+D41+D47+D53+D71+D77+D95+D101+D107+D113+D119+D125+D138+D144+D158+D172+D184+D197+D203+D215+D221+D227+D233+D245+D251+D265+D271+D284+D290+D296+D308+D320+D326+D332+D344+D350-D355</f>
        <v>0</v>
      </c>
      <c r="E375" s="155">
        <f>E22+E28+E41+E47+E53+E71+E77+E95+E101+E107+E113+E119+E125+E138+E144+E158+E172+E184+E197+E203+E215+E221+E227+E233+E245+E251+E265+E271+E284+E290+E296+E308+E320+E326+E332+E344+E350-E355</f>
        <v>0</v>
      </c>
      <c r="F375" s="155">
        <f>F22+F28+F41+F47+F53+F71+F77+F95+F101+F107+F113+F119+F125+F138+F144+F158+F172+F184+F197+F203+F215+F221+F227+F233+F245+F251+F265+F271+F284+F290+F296+F308+F320+F326+F332+F344+F350-F355</f>
        <v>268.78291391960164</v>
      </c>
      <c r="G375" s="155">
        <f>G22+G28+G41+G47+G53+G71+G77+G95+G101+G107+G113+G119+G125+G138+G144+G158+G172+G184+G197+G203+G215+G221+G227+G233+G245+G251+G265+G271+G284+G290+G296+G308+G320+G326+G332+G344+G350+G89-G355</f>
        <v>296.31438511382515</v>
      </c>
      <c r="H375" s="155">
        <f t="shared" ref="H375:AE375" si="128">H22+H28+H41+H47+H53+H71+H77+H95+H101+H107+H113+H119+H125+H138+H144+H158+H172+H184+H197+H203+H215+H221+H227+H233+H245+H251+H265+H271+H284+H290+H296+H308+H320+H326+H332+H344+H350-H355</f>
        <v>0</v>
      </c>
      <c r="I375" s="155">
        <f t="shared" si="128"/>
        <v>0</v>
      </c>
      <c r="J375" s="155">
        <f t="shared" si="128"/>
        <v>0</v>
      </c>
      <c r="K375" s="155">
        <f t="shared" si="128"/>
        <v>0</v>
      </c>
      <c r="L375" s="155">
        <f t="shared" si="128"/>
        <v>0</v>
      </c>
      <c r="M375" s="155">
        <f t="shared" si="128"/>
        <v>0</v>
      </c>
      <c r="N375" s="155">
        <f t="shared" si="128"/>
        <v>0</v>
      </c>
      <c r="O375" s="155">
        <f t="shared" si="128"/>
        <v>0</v>
      </c>
      <c r="P375" s="155">
        <f t="shared" si="128"/>
        <v>0</v>
      </c>
      <c r="Q375" s="155">
        <f t="shared" si="128"/>
        <v>0</v>
      </c>
      <c r="R375" s="155">
        <f t="shared" si="128"/>
        <v>0</v>
      </c>
      <c r="S375" s="155">
        <f t="shared" si="128"/>
        <v>0</v>
      </c>
      <c r="T375" s="155">
        <f t="shared" si="128"/>
        <v>0</v>
      </c>
      <c r="U375" s="155">
        <f t="shared" si="128"/>
        <v>0</v>
      </c>
      <c r="V375" s="155">
        <f t="shared" si="128"/>
        <v>0</v>
      </c>
      <c r="W375" s="155">
        <f t="shared" si="128"/>
        <v>0</v>
      </c>
      <c r="X375" s="155">
        <f t="shared" si="128"/>
        <v>0</v>
      </c>
      <c r="Y375" s="155">
        <f t="shared" si="128"/>
        <v>0</v>
      </c>
      <c r="Z375" s="155">
        <f t="shared" si="128"/>
        <v>0</v>
      </c>
      <c r="AA375" s="155">
        <f t="shared" si="128"/>
        <v>0</v>
      </c>
      <c r="AB375" s="155">
        <f t="shared" si="128"/>
        <v>0</v>
      </c>
      <c r="AC375" s="155">
        <f t="shared" si="128"/>
        <v>0</v>
      </c>
      <c r="AD375" s="155">
        <f t="shared" si="128"/>
        <v>0</v>
      </c>
      <c r="AE375" s="155">
        <f t="shared" si="128"/>
        <v>0</v>
      </c>
    </row>
    <row r="376" spans="1:33" x14ac:dyDescent="0.3">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row>
    <row r="377" spans="1:33" x14ac:dyDescent="0.3">
      <c r="A377" s="691"/>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row>
    <row r="378" spans="1:33" ht="37.5" x14ac:dyDescent="0.3">
      <c r="A378" s="646" t="s">
        <v>71</v>
      </c>
      <c r="B378" s="692"/>
      <c r="C378" s="692"/>
      <c r="D378" s="699" t="s">
        <v>505</v>
      </c>
      <c r="E378" s="698"/>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row>
    <row r="379" spans="1:33" x14ac:dyDescent="0.3">
      <c r="A379" s="646"/>
      <c r="B379" s="693" t="s">
        <v>68</v>
      </c>
      <c r="C379" s="693"/>
      <c r="D379" s="694"/>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row>
    <row r="380" spans="1:33" ht="37.5" x14ac:dyDescent="0.3">
      <c r="A380" s="645" t="s">
        <v>500</v>
      </c>
      <c r="B380" s="645"/>
      <c r="C380" s="645"/>
      <c r="D380" s="646"/>
    </row>
  </sheetData>
  <customSheetViews>
    <customSheetView guid="{7C130984-112A-4861-AA43-E2940708E3DC}" scale="55" state="hidden">
      <pane xSplit="2" ySplit="11" topLeftCell="C372" activePane="bottomRight" state="frozen"/>
      <selection pane="bottomRight" activeCell="AF330" sqref="AF330"/>
      <pageMargins left="0.7" right="0.7" top="0.75" bottom="0.75" header="0.3" footer="0.3"/>
      <pageSetup paperSize="9" orientation="portrait" r:id="rId1"/>
    </customSheetView>
    <customSheetView guid="{3C3F523F-5F34-4CF7-831E-F1ABC4278CEB}" scale="55">
      <pane xSplit="2" ySplit="11" topLeftCell="C372" activePane="bottomRight" state="frozen"/>
      <selection pane="bottomRight" activeCell="AF330" sqref="AF330"/>
      <pageMargins left="0.7" right="0.7" top="0.75" bottom="0.75" header="0.3" footer="0.3"/>
      <pageSetup paperSize="9" orientation="portrait" r:id="rId2"/>
    </customSheetView>
    <customSheetView guid="{D01FA037-9AEC-4167-ADB8-2F327C01ECE6}" scale="55">
      <pane xSplit="2" ySplit="11" topLeftCell="C372" activePane="bottomRight" state="frozen"/>
      <selection pane="bottomRight" activeCell="AF330" sqref="AF330"/>
      <pageMargins left="0.7" right="0.7" top="0.75" bottom="0.75" header="0.3" footer="0.3"/>
      <pageSetup paperSize="9" orientation="portrait" r:id="rId3"/>
    </customSheetView>
    <customSheetView guid="{602C8EDB-B9EF-4C85-B0D5-0558C3A0ABAB}" scale="55">
      <pane xSplit="2" ySplit="11" topLeftCell="AC312" activePane="bottomRight" state="frozen"/>
      <selection pane="bottomRight" activeCell="AF330" sqref="AF330"/>
      <pageMargins left="0.7" right="0.7" top="0.75" bottom="0.75" header="0.3" footer="0.3"/>
      <pageSetup paperSize="9" orientation="portrait" r:id="rId4"/>
    </customSheetView>
    <customSheetView guid="{69DABE6F-6182-4403-A4A2-969F10F1C13A}" scale="55">
      <pane xSplit="2" ySplit="11" topLeftCell="AC312" activePane="bottomRight" state="frozen"/>
      <selection pane="bottomRight" activeCell="AF330" sqref="AF330"/>
      <pageMargins left="0.7" right="0.7" top="0.75" bottom="0.75" header="0.3" footer="0.3"/>
      <pageSetup paperSize="9" orientation="portrait" r:id="rId5"/>
    </customSheetView>
    <customSheetView guid="{E508E171-4ED9-4B07-84DF-DA28C60E1969}" scale="55">
      <pane xSplit="2" ySplit="11" topLeftCell="AC312" activePane="bottomRight" state="frozen"/>
      <selection pane="bottomRight" activeCell="AF330" sqref="AF330"/>
      <pageMargins left="0.7" right="0.7" top="0.75" bottom="0.75" header="0.3" footer="0.3"/>
      <pageSetup paperSize="9" orientation="portrait" r:id="rId6"/>
    </customSheetView>
    <customSheetView guid="{AC2D5927-4079-4C74-AF69-1BFAC505648F}" scale="55">
      <pane xSplit="2" ySplit="11" topLeftCell="C354" activePane="bottomRight" state="frozen"/>
      <selection pane="bottomRight" activeCell="C374" sqref="C374"/>
      <pageMargins left="0.7" right="0.7" top="0.75" bottom="0.75" header="0.3" footer="0.3"/>
      <pageSetup paperSize="9" orientation="portrait" r:id="rId7"/>
    </customSheetView>
    <customSheetView guid="{442F2C94-DD1B-4A01-8694-513D4D6F3BD9}" scale="55">
      <pane xSplit="2" ySplit="11" topLeftCell="C12" activePane="bottomRight" state="frozen"/>
      <selection pane="bottomRight" activeCell="A18" sqref="A18:XFD21"/>
      <pageMargins left="0.7" right="0.7" top="0.75" bottom="0.75" header="0.3" footer="0.3"/>
      <pageSetup paperSize="9" orientation="portrait" r:id="rId8"/>
    </customSheetView>
    <customSheetView guid="{CE1CCA00-200D-4EAA-9FBE-F8EE7C5F82FE}" scale="55">
      <pane xSplit="2" ySplit="11" topLeftCell="C12" activePane="bottomRight" state="frozen"/>
      <selection pane="bottomRight" activeCell="A18" sqref="A18:XFD21"/>
      <pageMargins left="0.7" right="0.7" top="0.75" bottom="0.75" header="0.3" footer="0.3"/>
      <pageSetup paperSize="9" orientation="portrait" r:id="rId9"/>
    </customSheetView>
    <customSheetView guid="{4D0DFB57-2CBA-42F2-9A97-C453A6851FBA}" scale="55">
      <pane xSplit="2" ySplit="11" topLeftCell="C12" activePane="bottomRight" state="frozen"/>
      <selection pane="bottomRight" activeCell="A18" sqref="A18:XFD21"/>
      <pageMargins left="0.7" right="0.7" top="0.75" bottom="0.75" header="0.3" footer="0.3"/>
      <pageSetup paperSize="9" orientation="portrait" r:id="rId10"/>
    </customSheetView>
    <customSheetView guid="{85F4575B-DBC5-482A-9916-255D8F0BC94E}" scale="55">
      <pane xSplit="2" ySplit="11" topLeftCell="C45" activePane="bottomRight" state="frozen"/>
      <selection pane="bottomRight" activeCell="AH54" sqref="AH54"/>
      <pageMargins left="0.7" right="0.7" top="0.75" bottom="0.75" header="0.3" footer="0.3"/>
      <pageSetup paperSize="9" orientation="portrait" r:id="rId11"/>
    </customSheetView>
    <customSheetView guid="{B1BF08D1-D416-4B47-ADD0-4F59132DC9E8}" scale="55">
      <pane xSplit="2" ySplit="11" topLeftCell="C45" activePane="bottomRight" state="frozen"/>
      <selection pane="bottomRight" activeCell="AH54" sqref="AH54"/>
      <pageMargins left="0.7" right="0.7" top="0.75" bottom="0.75" header="0.3" footer="0.3"/>
      <pageSetup paperSize="9" orientation="portrait" r:id="rId12"/>
    </customSheetView>
    <customSheetView guid="{BCD82A82-B724-4763-8580-D765356E09BA}" scale="70">
      <pane xSplit="2" ySplit="11" topLeftCell="C12" activePane="bottomRight" state="frozen"/>
      <selection pane="bottomRight" activeCell="A4" sqref="A4:AF4"/>
      <pageMargins left="0.7" right="0.7" top="0.75" bottom="0.75" header="0.3" footer="0.3"/>
    </customSheetView>
    <customSheetView guid="{C236B307-BD63-48C4-A75F-B3F3717BF55C}" scale="70">
      <pane xSplit="2" ySplit="11" topLeftCell="C360" activePane="bottomRight" state="frozen"/>
      <selection pane="bottomRight" activeCell="A4" sqref="A4:AF4"/>
      <pageMargins left="0.7" right="0.7" top="0.75" bottom="0.75" header="0.3" footer="0.3"/>
    </customSheetView>
    <customSheetView guid="{874882D1-E741-4CCA-BF0D-E72FA60B771D}" scale="70">
      <pane xSplit="2" ySplit="11" topLeftCell="H349" activePane="bottomRight" state="frozen"/>
      <selection pane="bottomRight" activeCell="J313" sqref="J313"/>
      <pageMargins left="0.7" right="0.7" top="0.75" bottom="0.75" header="0.3" footer="0.3"/>
      <pageSetup paperSize="9" orientation="portrait" r:id="rId13"/>
    </customSheetView>
    <customSheetView guid="{B82BA08A-1A30-4F4D-A478-74A6BD09EA97}" scale="70">
      <pane xSplit="2" ySplit="11" topLeftCell="C102" activePane="bottomRight" state="frozen"/>
      <selection pane="bottomRight" activeCell="K106" sqref="K106"/>
      <pageMargins left="0.7" right="0.7" top="0.75" bottom="0.75" header="0.3" footer="0.3"/>
      <pageSetup paperSize="9" orientation="portrait" r:id="rId14"/>
    </customSheetView>
    <customSheetView guid="{770624BF-07F3-44B6-94C3-4CC447CDD45C}" scale="70">
      <pane xSplit="2" ySplit="11" topLeftCell="C35" activePane="bottomRight" state="frozen"/>
      <selection pane="bottomRight" activeCell="G42" sqref="G42"/>
      <pageMargins left="0.7" right="0.7" top="0.75" bottom="0.75" header="0.3" footer="0.3"/>
      <pageSetup paperSize="9" orientation="portrait" r:id="rId15"/>
    </customSheetView>
    <customSheetView guid="{009B3074-D8EC-4952-BF50-43CD64449612}" scale="55">
      <pane xSplit="2" ySplit="11" topLeftCell="C363" activePane="bottomRight" state="frozen"/>
      <selection pane="bottomRight" activeCell="P333" sqref="P333"/>
      <pageMargins left="0.7" right="0.7" top="0.75" bottom="0.75" header="0.3" footer="0.3"/>
      <pageSetup paperSize="9" orientation="portrait" r:id="rId16"/>
    </customSheetView>
    <customSheetView guid="{F679EF4A-C5FD-4B86-B87B-D85968E0F2CA}" scale="55">
      <pane xSplit="2" ySplit="11" topLeftCell="C127" activePane="bottomRight" state="frozen"/>
      <selection pane="bottomRight" activeCell="R138" sqref="R138"/>
      <pageMargins left="0.7" right="0.7" top="0.75" bottom="0.75" header="0.3" footer="0.3"/>
      <pageSetup paperSize="9" orientation="portrait" r:id="rId17"/>
    </customSheetView>
    <customSheetView guid="{959E901C-5DDE-42EE-AE94-AB8976B5E00B}" scale="55">
      <pane xSplit="2" ySplit="11" topLeftCell="C45" activePane="bottomRight" state="frozen"/>
      <selection pane="bottomRight" activeCell="AH54" sqref="AH54"/>
      <pageMargins left="0.7" right="0.7" top="0.75" bottom="0.75" header="0.3" footer="0.3"/>
      <pageSetup paperSize="9" orientation="portrait" r:id="rId18"/>
    </customSheetView>
    <customSheetView guid="{533DC55B-6AD4-4674-9488-685EF2039F3E}" scale="55">
      <pane xSplit="2" ySplit="11" topLeftCell="C12" activePane="bottomRight" state="frozen"/>
      <selection pane="bottomRight" activeCell="A18" sqref="A18:XFD21"/>
      <pageMargins left="0.7" right="0.7" top="0.75" bottom="0.75" header="0.3" footer="0.3"/>
      <pageSetup paperSize="9" orientation="portrait" r:id="rId19"/>
    </customSheetView>
    <customSheetView guid="{87218168-6C8E-4D5B-A5E5-DCCC26803AA3}" scale="55">
      <pane xSplit="2" ySplit="11" topLeftCell="C12" activePane="bottomRight" state="frozen"/>
      <selection pane="bottomRight" activeCell="A18" sqref="A18:XFD21"/>
      <pageMargins left="0.7" right="0.7" top="0.75" bottom="0.75" header="0.3" footer="0.3"/>
      <pageSetup paperSize="9" orientation="portrait" r:id="rId20"/>
    </customSheetView>
    <customSheetView guid="{DAA8A688-7558-4B5B-8DBD-E2629BD9E9A8}" scale="55">
      <pane xSplit="2" ySplit="11" topLeftCell="C12" activePane="bottomRight" state="frozen"/>
      <selection pane="bottomRight" activeCell="A18" sqref="A18:XFD21"/>
      <pageMargins left="0.7" right="0.7" top="0.75" bottom="0.75" header="0.3" footer="0.3"/>
      <pageSetup paperSize="9" orientation="portrait" r:id="rId21"/>
    </customSheetView>
    <customSheetView guid="{391AB76E-B386-49C1-800F-016A48AA1A46}" scale="55">
      <pane xSplit="2" ySplit="11" topLeftCell="C354" activePane="bottomRight" state="frozen"/>
      <selection pane="bottomRight" activeCell="C374" sqref="C374"/>
      <pageMargins left="0.7" right="0.7" top="0.75" bottom="0.75" header="0.3" footer="0.3"/>
      <pageSetup paperSize="9" orientation="portrait" r:id="rId22"/>
    </customSheetView>
    <customSheetView guid="{09C3E205-981E-4A4E-BE89-8B7044192060}" scale="55">
      <pane xSplit="2" ySplit="11" topLeftCell="N171" activePane="bottomRight" state="frozen"/>
      <selection pane="bottomRight" activeCell="AH183" sqref="AH183"/>
      <pageMargins left="0.7" right="0.7" top="0.75" bottom="0.75" header="0.3" footer="0.3"/>
      <pageSetup paperSize="9" orientation="portrait" r:id="rId23"/>
    </customSheetView>
    <customSheetView guid="{84867370-1F3E-4368-AF79-FBCE46FFFE92}" scale="55">
      <pane xSplit="2" ySplit="11" topLeftCell="AC312" activePane="bottomRight" state="frozen"/>
      <selection pane="bottomRight" activeCell="AF330" sqref="AF330"/>
      <pageMargins left="0.7" right="0.7" top="0.75" bottom="0.75" header="0.3" footer="0.3"/>
      <pageSetup paperSize="9" orientation="portrait" r:id="rId24"/>
    </customSheetView>
    <customSheetView guid="{0C2B9C2A-7B94-41EF-A2E6-F8AC9A67DE25}" scale="55">
      <pane xSplit="2" ySplit="11" topLeftCell="AC312" activePane="bottomRight" state="frozen"/>
      <selection pane="bottomRight" activeCell="AF330" sqref="AF330"/>
      <pageMargins left="0.7" right="0.7" top="0.75" bottom="0.75" header="0.3" footer="0.3"/>
      <pageSetup paperSize="9" orientation="portrait" r:id="rId25"/>
    </customSheetView>
    <customSheetView guid="{CB4792DB-A624-4844-AEB6-A6ADA80946BB}" scale="55">
      <pane xSplit="2" ySplit="11" topLeftCell="AC312" activePane="bottomRight" state="frozen"/>
      <selection pane="bottomRight" activeCell="AF330" sqref="AF330"/>
      <pageMargins left="0.7" right="0.7" top="0.75" bottom="0.75" header="0.3" footer="0.3"/>
      <pageSetup paperSize="9" orientation="portrait" r:id="rId26"/>
    </customSheetView>
    <customSheetView guid="{74870EE6-26B9-40F7-9DC9-260EF16D8959}" scale="55">
      <pane xSplit="2" ySplit="11" topLeftCell="AC312" activePane="bottomRight" state="frozen"/>
      <selection pane="bottomRight" activeCell="AF330" sqref="AF330"/>
      <pageMargins left="0.7" right="0.7" top="0.75" bottom="0.75" header="0.3" footer="0.3"/>
      <pageSetup paperSize="9" orientation="portrait" r:id="rId27"/>
    </customSheetView>
    <customSheetView guid="{6A602CB8-B24C-4ED4-B378-B27354BE0A1A}" scale="55">
      <pane xSplit="2" ySplit="11" topLeftCell="AC312" activePane="bottomRight" state="frozen"/>
      <selection pane="bottomRight" activeCell="AF330" sqref="AF330"/>
      <pageMargins left="0.7" right="0.7" top="0.75" bottom="0.75" header="0.3" footer="0.3"/>
      <pageSetup paperSize="9" orientation="portrait" r:id="rId28"/>
    </customSheetView>
    <customSheetView guid="{4F41B9CC-959D-442C-80B0-1F0DB2C76D27}" scale="55">
      <pane xSplit="2" ySplit="11" topLeftCell="C372" activePane="bottomRight" state="frozen"/>
      <selection pane="bottomRight" activeCell="AF330" sqref="AF330"/>
      <pageMargins left="0.7" right="0.7" top="0.75" bottom="0.75" header="0.3" footer="0.3"/>
      <pageSetup paperSize="9" orientation="portrait" r:id="rId29"/>
    </customSheetView>
    <customSheetView guid="{47B983AB-FE5F-4725-860C-A2F29420596D}" scale="55">
      <pane xSplit="2" ySplit="11" topLeftCell="C372" activePane="bottomRight" state="frozen"/>
      <selection pane="bottomRight" activeCell="AF330" sqref="AF330"/>
      <pageMargins left="0.7" right="0.7" top="0.75" bottom="0.75" header="0.3" footer="0.3"/>
      <pageSetup paperSize="9" orientation="portrait" r:id="rId30"/>
    </customSheetView>
  </customSheetViews>
  <mergeCells count="27">
    <mergeCell ref="A4:AF4"/>
    <mergeCell ref="A6:A7"/>
    <mergeCell ref="F6:G6"/>
    <mergeCell ref="H6:I6"/>
    <mergeCell ref="J6:K6"/>
    <mergeCell ref="L6:M6"/>
    <mergeCell ref="N6:O6"/>
    <mergeCell ref="P6:Q6"/>
    <mergeCell ref="R6:S6"/>
    <mergeCell ref="T6:U6"/>
    <mergeCell ref="A159:AF159"/>
    <mergeCell ref="V6:W6"/>
    <mergeCell ref="X6:Y6"/>
    <mergeCell ref="Z6:AA6"/>
    <mergeCell ref="AB6:AC6"/>
    <mergeCell ref="AD6:AE6"/>
    <mergeCell ref="AF6:AF7"/>
    <mergeCell ref="A9:AF9"/>
    <mergeCell ref="A10:AF10"/>
    <mergeCell ref="A29:AF29"/>
    <mergeCell ref="A145:AF145"/>
    <mergeCell ref="A146:AF146"/>
    <mergeCell ref="A160:AF160"/>
    <mergeCell ref="A185:AF185"/>
    <mergeCell ref="A252:AF252"/>
    <mergeCell ref="A253:AF253"/>
    <mergeCell ref="A272:AF272"/>
  </mergeCells>
  <hyperlinks>
    <hyperlink ref="A4:AF4" location="Оглавление!A1" display="Комплексный план (сетевой график) по реализации муниципальной программы  &quot;Развитие образования в городе Когалыме&quot;"/>
  </hyperlinks>
  <pageMargins left="0.7" right="0.7" top="0.75" bottom="0.75" header="0.3" footer="0.3"/>
  <pageSetup paperSize="9" orientation="portrait" r:id="rId31"/>
  <legacy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9"/>
  <sheetViews>
    <sheetView zoomScale="85" zoomScaleNormal="85" zoomScaleSheetLayoutView="70" workbookViewId="0">
      <pane xSplit="2" ySplit="9" topLeftCell="C10" activePane="bottomRight" state="frozen"/>
      <selection activeCell="F284" sqref="F284:G284"/>
      <selection pane="topRight" activeCell="F284" sqref="F284:G284"/>
      <selection pane="bottomLeft" activeCell="F284" sqref="F284:G284"/>
      <selection pane="bottomRight" activeCell="D19" sqref="D19"/>
    </sheetView>
  </sheetViews>
  <sheetFormatPr defaultColWidth="9.140625" defaultRowHeight="18.75" x14ac:dyDescent="0.3"/>
  <cols>
    <col min="1" max="1" width="67.57031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59"/>
    <col min="34" max="16384" width="9.140625" style="10"/>
  </cols>
  <sheetData>
    <row r="1" spans="1:34" ht="18.75" customHeight="1" x14ac:dyDescent="0.3">
      <c r="A1" s="1073"/>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57"/>
      <c r="AF1" s="158"/>
    </row>
    <row r="2" spans="1:34" ht="18.75" customHeight="1" x14ac:dyDescent="0.3">
      <c r="A2" s="1073"/>
      <c r="B2" s="1073"/>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57"/>
      <c r="AF2" s="158"/>
    </row>
    <row r="3" spans="1:34" ht="18.75" customHeight="1" x14ac:dyDescent="0.3">
      <c r="A3" s="1073"/>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57"/>
      <c r="AF3" s="158"/>
    </row>
    <row r="4" spans="1:34" s="163" customFormat="1" ht="18.75" customHeight="1" x14ac:dyDescent="0.25">
      <c r="A4" s="1074" t="s">
        <v>313</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60"/>
      <c r="AF4" s="161"/>
      <c r="AG4" s="162"/>
    </row>
    <row r="5" spans="1:34" ht="18.75" customHeight="1" x14ac:dyDescent="0.3">
      <c r="A5" s="164"/>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075"/>
      <c r="AC5" s="1075"/>
      <c r="AD5" s="1075"/>
      <c r="AE5" s="165"/>
      <c r="AF5" s="651" t="s">
        <v>1</v>
      </c>
    </row>
    <row r="6" spans="1:34" ht="37.5" customHeight="1" x14ac:dyDescent="0.3">
      <c r="A6" s="1062" t="s">
        <v>163</v>
      </c>
      <c r="B6" s="95" t="s">
        <v>3</v>
      </c>
      <c r="C6" s="95" t="s">
        <v>3</v>
      </c>
      <c r="D6" s="95" t="s">
        <v>4</v>
      </c>
      <c r="E6" s="95" t="s">
        <v>5</v>
      </c>
      <c r="F6" s="1063" t="s">
        <v>6</v>
      </c>
      <c r="G6" s="1064"/>
      <c r="H6" s="1077" t="s">
        <v>7</v>
      </c>
      <c r="I6" s="1078"/>
      <c r="J6" s="1077" t="s">
        <v>8</v>
      </c>
      <c r="K6" s="1078"/>
      <c r="L6" s="1077" t="s">
        <v>9</v>
      </c>
      <c r="M6" s="1078"/>
      <c r="N6" s="1077" t="s">
        <v>10</v>
      </c>
      <c r="O6" s="1078"/>
      <c r="P6" s="1077" t="s">
        <v>11</v>
      </c>
      <c r="Q6" s="1078"/>
      <c r="R6" s="1077" t="s">
        <v>12</v>
      </c>
      <c r="S6" s="1078"/>
      <c r="T6" s="1077" t="s">
        <v>13</v>
      </c>
      <c r="U6" s="1078"/>
      <c r="V6" s="1063" t="s">
        <v>14</v>
      </c>
      <c r="W6" s="1065"/>
      <c r="X6" s="1063" t="s">
        <v>15</v>
      </c>
      <c r="Y6" s="1065"/>
      <c r="Z6" s="1063" t="s">
        <v>16</v>
      </c>
      <c r="AA6" s="1065"/>
      <c r="AB6" s="1063" t="s">
        <v>17</v>
      </c>
      <c r="AC6" s="1065"/>
      <c r="AD6" s="1066" t="s">
        <v>18</v>
      </c>
      <c r="AE6" s="1066"/>
      <c r="AF6" s="1052" t="s">
        <v>19</v>
      </c>
    </row>
    <row r="7" spans="1:34" ht="37.5" x14ac:dyDescent="0.3">
      <c r="A7" s="1062"/>
      <c r="B7" s="3">
        <v>2024</v>
      </c>
      <c r="C7" s="4">
        <v>45505</v>
      </c>
      <c r="D7" s="4">
        <v>45505</v>
      </c>
      <c r="E7" s="4">
        <v>45505</v>
      </c>
      <c r="F7" s="5" t="s">
        <v>20</v>
      </c>
      <c r="G7" s="5" t="s">
        <v>21</v>
      </c>
      <c r="H7" s="511" t="s">
        <v>22</v>
      </c>
      <c r="I7" s="96" t="s">
        <v>164</v>
      </c>
      <c r="J7" s="511" t="s">
        <v>22</v>
      </c>
      <c r="K7" s="96" t="s">
        <v>164</v>
      </c>
      <c r="L7" s="511" t="s">
        <v>22</v>
      </c>
      <c r="M7" s="96" t="s">
        <v>164</v>
      </c>
      <c r="N7" s="511" t="s">
        <v>22</v>
      </c>
      <c r="O7" s="96" t="s">
        <v>164</v>
      </c>
      <c r="P7" s="511" t="s">
        <v>22</v>
      </c>
      <c r="Q7" s="96" t="s">
        <v>164</v>
      </c>
      <c r="R7" s="511" t="s">
        <v>22</v>
      </c>
      <c r="S7" s="96" t="s">
        <v>164</v>
      </c>
      <c r="T7" s="511" t="s">
        <v>22</v>
      </c>
      <c r="U7" s="96" t="s">
        <v>164</v>
      </c>
      <c r="V7" s="511" t="s">
        <v>22</v>
      </c>
      <c r="W7" s="96" t="s">
        <v>164</v>
      </c>
      <c r="X7" s="511" t="s">
        <v>22</v>
      </c>
      <c r="Y7" s="96" t="s">
        <v>164</v>
      </c>
      <c r="Z7" s="511" t="s">
        <v>22</v>
      </c>
      <c r="AA7" s="96" t="s">
        <v>164</v>
      </c>
      <c r="AB7" s="511" t="s">
        <v>22</v>
      </c>
      <c r="AC7" s="96" t="s">
        <v>164</v>
      </c>
      <c r="AD7" s="511" t="s">
        <v>22</v>
      </c>
      <c r="AE7" s="96" t="s">
        <v>164</v>
      </c>
      <c r="AF7" s="1053"/>
    </row>
    <row r="8" spans="1:34" x14ac:dyDescent="0.3">
      <c r="A8" s="167">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4" s="168" customFormat="1" x14ac:dyDescent="0.3">
      <c r="A9" s="1070" t="s">
        <v>54</v>
      </c>
      <c r="B9" s="1071"/>
      <c r="C9" s="1071"/>
      <c r="D9" s="1071"/>
      <c r="E9" s="1071"/>
      <c r="F9" s="1071"/>
      <c r="G9" s="1071"/>
      <c r="H9" s="1071"/>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2"/>
    </row>
    <row r="10" spans="1:34" ht="37.5" x14ac:dyDescent="0.3">
      <c r="A10" s="217" t="s">
        <v>314</v>
      </c>
      <c r="B10" s="673">
        <f t="shared" ref="B10:J10" si="0">B11</f>
        <v>55648.490000000005</v>
      </c>
      <c r="C10" s="907">
        <f>C11</f>
        <v>33979</v>
      </c>
      <c r="D10" s="907">
        <f>D11</f>
        <v>31171.129999999997</v>
      </c>
      <c r="E10" s="197">
        <f t="shared" si="0"/>
        <v>31171.129999999997</v>
      </c>
      <c r="F10" s="908">
        <f t="shared" si="0"/>
        <v>56.014332104968155</v>
      </c>
      <c r="G10" s="219">
        <f t="shared" si="0"/>
        <v>91.736454869183902</v>
      </c>
      <c r="H10" s="198">
        <f>H11</f>
        <v>7203.19</v>
      </c>
      <c r="I10" s="198">
        <f t="shared" si="0"/>
        <v>4094.7</v>
      </c>
      <c r="J10" s="198">
        <f t="shared" si="0"/>
        <v>3409</v>
      </c>
      <c r="K10" s="219">
        <f t="shared" ref="K10:AE10" si="1">K11</f>
        <v>4844.8900000000003</v>
      </c>
      <c r="L10" s="198">
        <f t="shared" si="1"/>
        <v>3344.3</v>
      </c>
      <c r="M10" s="219">
        <f t="shared" si="1"/>
        <v>3569.98</v>
      </c>
      <c r="N10" s="198">
        <f t="shared" si="1"/>
        <v>5012.5</v>
      </c>
      <c r="O10" s="219">
        <f t="shared" si="1"/>
        <v>3332.26</v>
      </c>
      <c r="P10" s="198">
        <f t="shared" si="1"/>
        <v>4749.29</v>
      </c>
      <c r="Q10" s="219">
        <f t="shared" si="1"/>
        <v>5408.95</v>
      </c>
      <c r="R10" s="198">
        <f t="shared" si="1"/>
        <v>4833</v>
      </c>
      <c r="S10" s="219">
        <f t="shared" si="1"/>
        <v>4763.16</v>
      </c>
      <c r="T10" s="198">
        <f t="shared" si="1"/>
        <v>5427.72</v>
      </c>
      <c r="U10" s="219">
        <f t="shared" si="1"/>
        <v>5157.1899999999996</v>
      </c>
      <c r="V10" s="198">
        <f t="shared" si="1"/>
        <v>4560.5</v>
      </c>
      <c r="W10" s="219">
        <f t="shared" si="1"/>
        <v>0</v>
      </c>
      <c r="X10" s="198">
        <f t="shared" si="1"/>
        <v>3777.8</v>
      </c>
      <c r="Y10" s="219">
        <f t="shared" si="1"/>
        <v>0</v>
      </c>
      <c r="Z10" s="198">
        <f t="shared" si="1"/>
        <v>4299.1000000000004</v>
      </c>
      <c r="AA10" s="219">
        <f t="shared" si="1"/>
        <v>0</v>
      </c>
      <c r="AB10" s="198">
        <f t="shared" si="1"/>
        <v>3308</v>
      </c>
      <c r="AC10" s="219">
        <f t="shared" si="1"/>
        <v>0</v>
      </c>
      <c r="AD10" s="198">
        <f t="shared" si="1"/>
        <v>5724.09</v>
      </c>
      <c r="AE10" s="220">
        <f t="shared" si="1"/>
        <v>0</v>
      </c>
      <c r="AF10" s="195"/>
      <c r="AG10" s="175">
        <f>AD10+AB10+Z10+X10+V10+T10+R10+P10+N10+L10+J10+H10-B10</f>
        <v>0</v>
      </c>
      <c r="AH10" s="649"/>
    </row>
    <row r="11" spans="1:34" s="177" customFormat="1" x14ac:dyDescent="0.3">
      <c r="A11" s="221" t="s">
        <v>31</v>
      </c>
      <c r="B11" s="198">
        <f t="shared" ref="B11:G11" si="2">B12+B13+B14+B15</f>
        <v>55648.490000000005</v>
      </c>
      <c r="C11" s="198">
        <f t="shared" si="2"/>
        <v>33979</v>
      </c>
      <c r="D11" s="198">
        <f t="shared" si="2"/>
        <v>31171.129999999997</v>
      </c>
      <c r="E11" s="198">
        <f t="shared" si="2"/>
        <v>31171.129999999997</v>
      </c>
      <c r="F11" s="198">
        <f t="shared" si="2"/>
        <v>56.014332104968155</v>
      </c>
      <c r="G11" s="198">
        <f t="shared" si="2"/>
        <v>91.736454869183902</v>
      </c>
      <c r="H11" s="198">
        <f>H14</f>
        <v>7203.19</v>
      </c>
      <c r="I11" s="198">
        <f t="shared" ref="I11:AE11" si="3">I14</f>
        <v>4094.7</v>
      </c>
      <c r="J11" s="198">
        <f t="shared" si="3"/>
        <v>3409</v>
      </c>
      <c r="K11" s="198">
        <f t="shared" si="3"/>
        <v>4844.8900000000003</v>
      </c>
      <c r="L11" s="198">
        <f t="shared" si="3"/>
        <v>3344.3</v>
      </c>
      <c r="M11" s="198">
        <f t="shared" si="3"/>
        <v>3569.98</v>
      </c>
      <c r="N11" s="198">
        <f t="shared" si="3"/>
        <v>5012.5</v>
      </c>
      <c r="O11" s="198">
        <f t="shared" si="3"/>
        <v>3332.26</v>
      </c>
      <c r="P11" s="198">
        <f t="shared" si="3"/>
        <v>4749.29</v>
      </c>
      <c r="Q11" s="198">
        <f t="shared" si="3"/>
        <v>5408.95</v>
      </c>
      <c r="R11" s="198">
        <f t="shared" si="3"/>
        <v>4833</v>
      </c>
      <c r="S11" s="198">
        <f t="shared" si="3"/>
        <v>4763.16</v>
      </c>
      <c r="T11" s="198">
        <f t="shared" si="3"/>
        <v>5427.72</v>
      </c>
      <c r="U11" s="198">
        <f t="shared" si="3"/>
        <v>5157.1899999999996</v>
      </c>
      <c r="V11" s="198">
        <f t="shared" si="3"/>
        <v>4560.5</v>
      </c>
      <c r="W11" s="198">
        <f t="shared" si="3"/>
        <v>0</v>
      </c>
      <c r="X11" s="198">
        <f t="shared" si="3"/>
        <v>3777.8</v>
      </c>
      <c r="Y11" s="198">
        <f t="shared" si="3"/>
        <v>0</v>
      </c>
      <c r="Z11" s="198">
        <f t="shared" si="3"/>
        <v>4299.1000000000004</v>
      </c>
      <c r="AA11" s="198">
        <f t="shared" si="3"/>
        <v>0</v>
      </c>
      <c r="AB11" s="198">
        <f t="shared" si="3"/>
        <v>3308</v>
      </c>
      <c r="AC11" s="198">
        <f t="shared" si="3"/>
        <v>0</v>
      </c>
      <c r="AD11" s="198">
        <f t="shared" si="3"/>
        <v>5724.09</v>
      </c>
      <c r="AE11" s="198">
        <f t="shared" si="3"/>
        <v>0</v>
      </c>
      <c r="AF11" s="195"/>
      <c r="AG11" s="175">
        <f t="shared" ref="AG11:AG31" si="4">AD11+AB11+Z11+X11+V11+T11+R11+P11+N11+L11+J11+H11-B11</f>
        <v>0</v>
      </c>
      <c r="AH11" s="649"/>
    </row>
    <row r="12" spans="1:34" x14ac:dyDescent="0.3">
      <c r="A12" s="222" t="s">
        <v>169</v>
      </c>
      <c r="B12" s="193">
        <f>H12+J12+L12+N12+P12+R12+T12+V12+X12+Z12+AB12+AD12</f>
        <v>0</v>
      </c>
      <c r="C12" s="223">
        <f>H12+J12</f>
        <v>0</v>
      </c>
      <c r="D12" s="223">
        <f>I12</f>
        <v>0</v>
      </c>
      <c r="E12" s="193">
        <v>0</v>
      </c>
      <c r="F12" s="224">
        <v>0</v>
      </c>
      <c r="G12" s="193">
        <v>0</v>
      </c>
      <c r="H12" s="193">
        <v>0</v>
      </c>
      <c r="I12" s="193">
        <v>0</v>
      </c>
      <c r="J12" s="193">
        <v>0</v>
      </c>
      <c r="K12" s="193">
        <v>0</v>
      </c>
      <c r="L12" s="193">
        <v>0</v>
      </c>
      <c r="M12" s="193">
        <v>0</v>
      </c>
      <c r="N12" s="193">
        <v>0</v>
      </c>
      <c r="O12" s="193">
        <v>0</v>
      </c>
      <c r="P12" s="193">
        <v>0</v>
      </c>
      <c r="Q12" s="193">
        <v>0</v>
      </c>
      <c r="R12" s="193">
        <v>0</v>
      </c>
      <c r="S12" s="193">
        <v>0</v>
      </c>
      <c r="T12" s="193">
        <v>0</v>
      </c>
      <c r="U12" s="193">
        <v>0</v>
      </c>
      <c r="V12" s="193">
        <v>0</v>
      </c>
      <c r="W12" s="193">
        <v>0</v>
      </c>
      <c r="X12" s="193">
        <v>0</v>
      </c>
      <c r="Y12" s="193">
        <v>0</v>
      </c>
      <c r="Z12" s="193">
        <v>0</v>
      </c>
      <c r="AA12" s="193">
        <v>0</v>
      </c>
      <c r="AB12" s="193">
        <v>0</v>
      </c>
      <c r="AC12" s="193">
        <v>0</v>
      </c>
      <c r="AD12" s="193">
        <v>0</v>
      </c>
      <c r="AE12" s="193">
        <v>0</v>
      </c>
      <c r="AF12" s="225"/>
      <c r="AG12" s="175">
        <f t="shared" si="4"/>
        <v>0</v>
      </c>
      <c r="AH12" s="649"/>
    </row>
    <row r="13" spans="1:34" x14ac:dyDescent="0.3">
      <c r="A13" s="222" t="s">
        <v>32</v>
      </c>
      <c r="B13" s="193">
        <f>H13+J13+L13+N13+P13+R13+T13+V13+X13+Z13+AB13+AD13</f>
        <v>0</v>
      </c>
      <c r="C13" s="223">
        <f>H13+J13</f>
        <v>0</v>
      </c>
      <c r="D13" s="223">
        <f>I13</f>
        <v>0</v>
      </c>
      <c r="E13" s="193">
        <v>0</v>
      </c>
      <c r="F13" s="224">
        <v>0</v>
      </c>
      <c r="G13" s="193">
        <v>0</v>
      </c>
      <c r="H13" s="193">
        <v>0</v>
      </c>
      <c r="I13" s="193">
        <v>0</v>
      </c>
      <c r="J13" s="193">
        <v>0</v>
      </c>
      <c r="K13" s="193">
        <v>0</v>
      </c>
      <c r="L13" s="193">
        <v>0</v>
      </c>
      <c r="M13" s="193">
        <v>0</v>
      </c>
      <c r="N13" s="193">
        <v>0</v>
      </c>
      <c r="O13" s="193">
        <v>0</v>
      </c>
      <c r="P13" s="193">
        <v>0</v>
      </c>
      <c r="Q13" s="193">
        <v>0</v>
      </c>
      <c r="R13" s="193">
        <v>0</v>
      </c>
      <c r="S13" s="193">
        <v>0</v>
      </c>
      <c r="T13" s="193">
        <v>0</v>
      </c>
      <c r="U13" s="193">
        <v>0</v>
      </c>
      <c r="V13" s="193">
        <v>0</v>
      </c>
      <c r="W13" s="193">
        <v>0</v>
      </c>
      <c r="X13" s="193">
        <v>0</v>
      </c>
      <c r="Y13" s="193">
        <v>0</v>
      </c>
      <c r="Z13" s="193">
        <v>0</v>
      </c>
      <c r="AA13" s="193">
        <v>0</v>
      </c>
      <c r="AB13" s="193">
        <v>0</v>
      </c>
      <c r="AC13" s="193">
        <v>0</v>
      </c>
      <c r="AD13" s="193">
        <v>0</v>
      </c>
      <c r="AE13" s="193">
        <v>0</v>
      </c>
      <c r="AF13" s="225"/>
      <c r="AG13" s="175">
        <f t="shared" si="4"/>
        <v>0</v>
      </c>
      <c r="AH13" s="649"/>
    </row>
    <row r="14" spans="1:34" ht="78" customHeight="1" x14ac:dyDescent="0.3">
      <c r="A14" s="222" t="s">
        <v>33</v>
      </c>
      <c r="B14" s="193">
        <f>H14+J14+L14+N14+P14+R14+T14+V14+X14+Z14+AB14+AD14</f>
        <v>55648.490000000005</v>
      </c>
      <c r="C14" s="223">
        <f>H14+J14+L14+N14+P14+R14+T14</f>
        <v>33979</v>
      </c>
      <c r="D14" s="223">
        <f>I14+K14+M14+O14+Q14+S14+U14</f>
        <v>31171.129999999997</v>
      </c>
      <c r="E14" s="224">
        <f>I14+K14+M14+O14+Q14+S14+U14</f>
        <v>31171.129999999997</v>
      </c>
      <c r="F14" s="224">
        <f>E14/B14*100</f>
        <v>56.014332104968155</v>
      </c>
      <c r="G14" s="224">
        <f>E14/C14*100</f>
        <v>91.736454869183902</v>
      </c>
      <c r="H14" s="193">
        <v>7203.19</v>
      </c>
      <c r="I14" s="193">
        <v>4094.7</v>
      </c>
      <c r="J14" s="193">
        <v>3409</v>
      </c>
      <c r="K14" s="193">
        <v>4844.8900000000003</v>
      </c>
      <c r="L14" s="193">
        <v>3344.3</v>
      </c>
      <c r="M14" s="193">
        <v>3569.98</v>
      </c>
      <c r="N14" s="193">
        <v>5012.5</v>
      </c>
      <c r="O14" s="193">
        <v>3332.26</v>
      </c>
      <c r="P14" s="193">
        <v>4749.29</v>
      </c>
      <c r="Q14" s="193">
        <v>5408.95</v>
      </c>
      <c r="R14" s="193">
        <v>4833</v>
      </c>
      <c r="S14" s="193">
        <v>4763.16</v>
      </c>
      <c r="T14" s="193">
        <v>5427.72</v>
      </c>
      <c r="U14" s="193">
        <v>5157.1899999999996</v>
      </c>
      <c r="V14" s="193">
        <v>4560.5</v>
      </c>
      <c r="W14" s="193">
        <v>0</v>
      </c>
      <c r="X14" s="193">
        <v>3777.8</v>
      </c>
      <c r="Y14" s="193">
        <v>0</v>
      </c>
      <c r="Z14" s="193">
        <v>4299.1000000000004</v>
      </c>
      <c r="AA14" s="193">
        <v>0</v>
      </c>
      <c r="AB14" s="193">
        <v>3308</v>
      </c>
      <c r="AC14" s="193">
        <v>0</v>
      </c>
      <c r="AD14" s="193">
        <v>5724.09</v>
      </c>
      <c r="AE14" s="193">
        <v>0</v>
      </c>
      <c r="AF14" s="650" t="s">
        <v>609</v>
      </c>
      <c r="AG14" s="175">
        <f t="shared" si="4"/>
        <v>0</v>
      </c>
      <c r="AH14" s="649">
        <f>C14-E14</f>
        <v>2807.8700000000026</v>
      </c>
    </row>
    <row r="15" spans="1:34" x14ac:dyDescent="0.3">
      <c r="A15" s="222" t="s">
        <v>221</v>
      </c>
      <c r="B15" s="193">
        <f>H15+J15+L15+N15+P15+R15+T15+V15+X15+Z15+AB15+AD15</f>
        <v>0</v>
      </c>
      <c r="C15" s="223">
        <f>H15</f>
        <v>0</v>
      </c>
      <c r="D15" s="223">
        <f>I15</f>
        <v>0</v>
      </c>
      <c r="E15" s="193">
        <v>0</v>
      </c>
      <c r="F15" s="224">
        <v>0</v>
      </c>
      <c r="G15" s="193">
        <v>0</v>
      </c>
      <c r="H15" s="193">
        <v>0</v>
      </c>
      <c r="I15" s="193">
        <v>0</v>
      </c>
      <c r="J15" s="193">
        <v>0</v>
      </c>
      <c r="K15" s="193">
        <v>0</v>
      </c>
      <c r="L15" s="193">
        <v>0</v>
      </c>
      <c r="M15" s="193">
        <v>0</v>
      </c>
      <c r="N15" s="193">
        <v>0</v>
      </c>
      <c r="O15" s="193">
        <v>0</v>
      </c>
      <c r="P15" s="193">
        <v>0</v>
      </c>
      <c r="Q15" s="193">
        <v>0</v>
      </c>
      <c r="R15" s="193">
        <v>0</v>
      </c>
      <c r="S15" s="193">
        <v>0</v>
      </c>
      <c r="T15" s="193">
        <v>0</v>
      </c>
      <c r="U15" s="193">
        <v>0</v>
      </c>
      <c r="V15" s="193">
        <v>0</v>
      </c>
      <c r="W15" s="193">
        <v>0</v>
      </c>
      <c r="X15" s="193">
        <v>0</v>
      </c>
      <c r="Y15" s="193">
        <v>0</v>
      </c>
      <c r="Z15" s="193">
        <v>0</v>
      </c>
      <c r="AA15" s="193">
        <v>0</v>
      </c>
      <c r="AB15" s="193">
        <v>0</v>
      </c>
      <c r="AC15" s="193">
        <v>0</v>
      </c>
      <c r="AD15" s="193">
        <v>0</v>
      </c>
      <c r="AE15" s="193">
        <v>0</v>
      </c>
      <c r="AF15" s="225"/>
      <c r="AG15" s="175">
        <f t="shared" si="4"/>
        <v>0</v>
      </c>
      <c r="AH15" s="649"/>
    </row>
    <row r="16" spans="1:34" ht="93.75" x14ac:dyDescent="0.3">
      <c r="A16" s="217" t="s">
        <v>315</v>
      </c>
      <c r="B16" s="198">
        <f t="shared" ref="B16:I16" si="5">B17</f>
        <v>55.7</v>
      </c>
      <c r="C16" s="218">
        <f t="shared" si="5"/>
        <v>55.7</v>
      </c>
      <c r="D16" s="218">
        <f>D17</f>
        <v>55.65</v>
      </c>
      <c r="E16" s="198">
        <f t="shared" si="5"/>
        <v>55.65</v>
      </c>
      <c r="F16" s="219">
        <f>F17</f>
        <v>99.910233393177734</v>
      </c>
      <c r="G16" s="219">
        <f>G17</f>
        <v>99.910233393177734</v>
      </c>
      <c r="H16" s="198">
        <f>H17</f>
        <v>55.7</v>
      </c>
      <c r="I16" s="198">
        <f t="shared" si="5"/>
        <v>55.65</v>
      </c>
      <c r="J16" s="198">
        <f>J17</f>
        <v>0</v>
      </c>
      <c r="K16" s="219">
        <f>K17</f>
        <v>0</v>
      </c>
      <c r="L16" s="198">
        <f>L17</f>
        <v>0</v>
      </c>
      <c r="M16" s="198">
        <f t="shared" ref="M16:AE16" si="6">M17</f>
        <v>0</v>
      </c>
      <c r="N16" s="198">
        <f t="shared" si="6"/>
        <v>0</v>
      </c>
      <c r="O16" s="198">
        <f t="shared" si="6"/>
        <v>0</v>
      </c>
      <c r="P16" s="198">
        <f t="shared" si="6"/>
        <v>0</v>
      </c>
      <c r="Q16" s="198">
        <f t="shared" si="6"/>
        <v>0</v>
      </c>
      <c r="R16" s="198">
        <f t="shared" si="6"/>
        <v>0</v>
      </c>
      <c r="S16" s="198">
        <f t="shared" si="6"/>
        <v>0</v>
      </c>
      <c r="T16" s="198">
        <f t="shared" si="6"/>
        <v>0</v>
      </c>
      <c r="U16" s="198">
        <f t="shared" si="6"/>
        <v>0</v>
      </c>
      <c r="V16" s="198">
        <f t="shared" si="6"/>
        <v>0</v>
      </c>
      <c r="W16" s="198">
        <f t="shared" si="6"/>
        <v>0</v>
      </c>
      <c r="X16" s="198">
        <f t="shared" si="6"/>
        <v>0</v>
      </c>
      <c r="Y16" s="198">
        <f t="shared" si="6"/>
        <v>0</v>
      </c>
      <c r="Z16" s="198">
        <f t="shared" si="6"/>
        <v>0</v>
      </c>
      <c r="AA16" s="198">
        <f t="shared" si="6"/>
        <v>0</v>
      </c>
      <c r="AB16" s="198">
        <f t="shared" si="6"/>
        <v>0</v>
      </c>
      <c r="AC16" s="198">
        <f t="shared" si="6"/>
        <v>0</v>
      </c>
      <c r="AD16" s="198">
        <f t="shared" si="6"/>
        <v>0</v>
      </c>
      <c r="AE16" s="198">
        <f t="shared" si="6"/>
        <v>0</v>
      </c>
      <c r="AF16" s="195"/>
      <c r="AG16" s="175">
        <f t="shared" si="4"/>
        <v>0</v>
      </c>
      <c r="AH16" s="649">
        <f t="shared" ref="AH16:AH31" si="7">C16-E16</f>
        <v>5.0000000000004263E-2</v>
      </c>
    </row>
    <row r="17" spans="1:34" s="177" customFormat="1" x14ac:dyDescent="0.3">
      <c r="A17" s="221" t="s">
        <v>31</v>
      </c>
      <c r="B17" s="197">
        <f t="shared" ref="B17:I17" si="8">B18+B19+B20+B21</f>
        <v>55.7</v>
      </c>
      <c r="C17" s="197">
        <f t="shared" si="8"/>
        <v>55.7</v>
      </c>
      <c r="D17" s="197">
        <f t="shared" si="8"/>
        <v>55.65</v>
      </c>
      <c r="E17" s="197">
        <f t="shared" si="8"/>
        <v>55.65</v>
      </c>
      <c r="F17" s="198">
        <f t="shared" si="8"/>
        <v>99.910233393177734</v>
      </c>
      <c r="G17" s="198">
        <f t="shared" si="8"/>
        <v>99.910233393177734</v>
      </c>
      <c r="H17" s="198">
        <f t="shared" si="8"/>
        <v>55.7</v>
      </c>
      <c r="I17" s="198">
        <f t="shared" si="8"/>
        <v>55.65</v>
      </c>
      <c r="J17" s="198">
        <f t="shared" ref="J17:AE17" si="9">J18+J19+J20+J21</f>
        <v>0</v>
      </c>
      <c r="K17" s="198">
        <f t="shared" si="9"/>
        <v>0</v>
      </c>
      <c r="L17" s="198">
        <f t="shared" si="9"/>
        <v>0</v>
      </c>
      <c r="M17" s="198">
        <f t="shared" si="9"/>
        <v>0</v>
      </c>
      <c r="N17" s="198">
        <f t="shared" si="9"/>
        <v>0</v>
      </c>
      <c r="O17" s="198">
        <f t="shared" si="9"/>
        <v>0</v>
      </c>
      <c r="P17" s="198">
        <f t="shared" si="9"/>
        <v>0</v>
      </c>
      <c r="Q17" s="198">
        <f t="shared" si="9"/>
        <v>0</v>
      </c>
      <c r="R17" s="198">
        <f t="shared" si="9"/>
        <v>0</v>
      </c>
      <c r="S17" s="198">
        <f t="shared" si="9"/>
        <v>0</v>
      </c>
      <c r="T17" s="198">
        <f t="shared" si="9"/>
        <v>0</v>
      </c>
      <c r="U17" s="198">
        <f t="shared" si="9"/>
        <v>0</v>
      </c>
      <c r="V17" s="198">
        <f t="shared" si="9"/>
        <v>0</v>
      </c>
      <c r="W17" s="198">
        <f t="shared" si="9"/>
        <v>0</v>
      </c>
      <c r="X17" s="198">
        <f t="shared" si="9"/>
        <v>0</v>
      </c>
      <c r="Y17" s="198">
        <f t="shared" si="9"/>
        <v>0</v>
      </c>
      <c r="Z17" s="198">
        <f t="shared" si="9"/>
        <v>0</v>
      </c>
      <c r="AA17" s="198">
        <f t="shared" si="9"/>
        <v>0</v>
      </c>
      <c r="AB17" s="198">
        <f t="shared" si="9"/>
        <v>0</v>
      </c>
      <c r="AC17" s="198">
        <f t="shared" si="9"/>
        <v>0</v>
      </c>
      <c r="AD17" s="198">
        <f t="shared" si="9"/>
        <v>0</v>
      </c>
      <c r="AE17" s="198">
        <f t="shared" si="9"/>
        <v>0</v>
      </c>
      <c r="AF17" s="195"/>
      <c r="AG17" s="175">
        <f t="shared" si="4"/>
        <v>0</v>
      </c>
      <c r="AH17" s="649">
        <f t="shared" si="7"/>
        <v>5.0000000000004263E-2</v>
      </c>
    </row>
    <row r="18" spans="1:34" x14ac:dyDescent="0.3">
      <c r="A18" s="222" t="s">
        <v>169</v>
      </c>
      <c r="B18" s="193">
        <f>H18+J18+L18+N18+P18+R18+T18+V18+X18+Z18+AB18+AD18</f>
        <v>0</v>
      </c>
      <c r="C18" s="223">
        <f>H18+J18</f>
        <v>0</v>
      </c>
      <c r="D18" s="223">
        <f>I18</f>
        <v>0</v>
      </c>
      <c r="E18" s="193">
        <v>0</v>
      </c>
      <c r="F18" s="224">
        <v>0</v>
      </c>
      <c r="G18" s="193">
        <v>0</v>
      </c>
      <c r="H18" s="193">
        <v>0</v>
      </c>
      <c r="I18" s="193">
        <v>0</v>
      </c>
      <c r="J18" s="193">
        <v>0</v>
      </c>
      <c r="K18" s="193">
        <v>0</v>
      </c>
      <c r="L18" s="193">
        <v>0</v>
      </c>
      <c r="M18" s="193">
        <v>0</v>
      </c>
      <c r="N18" s="193">
        <v>0</v>
      </c>
      <c r="O18" s="193">
        <v>0</v>
      </c>
      <c r="P18" s="193">
        <v>0</v>
      </c>
      <c r="Q18" s="193">
        <v>0</v>
      </c>
      <c r="R18" s="193">
        <v>0</v>
      </c>
      <c r="S18" s="193">
        <v>0</v>
      </c>
      <c r="T18" s="193">
        <v>0</v>
      </c>
      <c r="U18" s="193">
        <v>0</v>
      </c>
      <c r="V18" s="193">
        <v>0</v>
      </c>
      <c r="W18" s="193">
        <v>0</v>
      </c>
      <c r="X18" s="193">
        <v>0</v>
      </c>
      <c r="Y18" s="193">
        <v>0</v>
      </c>
      <c r="Z18" s="193">
        <v>0</v>
      </c>
      <c r="AA18" s="193">
        <v>0</v>
      </c>
      <c r="AB18" s="193">
        <v>0</v>
      </c>
      <c r="AC18" s="193">
        <v>0</v>
      </c>
      <c r="AD18" s="193">
        <v>0</v>
      </c>
      <c r="AE18" s="193">
        <v>0</v>
      </c>
      <c r="AF18" s="225"/>
      <c r="AG18" s="175">
        <f t="shared" si="4"/>
        <v>0</v>
      </c>
      <c r="AH18" s="649">
        <f t="shared" si="7"/>
        <v>0</v>
      </c>
    </row>
    <row r="19" spans="1:34" x14ac:dyDescent="0.3">
      <c r="A19" s="222" t="s">
        <v>32</v>
      </c>
      <c r="B19" s="193">
        <f>H19+J19+L19+N19+P19+R19+T19+V19+X19+Z19+AB19+AD19</f>
        <v>0</v>
      </c>
      <c r="C19" s="223">
        <f>H19+J19</f>
        <v>0</v>
      </c>
      <c r="D19" s="223">
        <f>I19</f>
        <v>0</v>
      </c>
      <c r="E19" s="193">
        <v>0</v>
      </c>
      <c r="F19" s="224">
        <v>0</v>
      </c>
      <c r="G19" s="193">
        <v>0</v>
      </c>
      <c r="H19" s="193">
        <v>0</v>
      </c>
      <c r="I19" s="193">
        <v>0</v>
      </c>
      <c r="J19" s="193">
        <v>0</v>
      </c>
      <c r="K19" s="193">
        <v>0</v>
      </c>
      <c r="L19" s="193">
        <v>0</v>
      </c>
      <c r="M19" s="193">
        <v>0</v>
      </c>
      <c r="N19" s="193">
        <v>0</v>
      </c>
      <c r="O19" s="193">
        <v>0</v>
      </c>
      <c r="P19" s="193">
        <v>0</v>
      </c>
      <c r="Q19" s="193">
        <v>0</v>
      </c>
      <c r="R19" s="193">
        <v>0</v>
      </c>
      <c r="S19" s="193">
        <v>0</v>
      </c>
      <c r="T19" s="193">
        <v>0</v>
      </c>
      <c r="U19" s="193">
        <v>0</v>
      </c>
      <c r="V19" s="193">
        <v>0</v>
      </c>
      <c r="W19" s="193">
        <v>0</v>
      </c>
      <c r="X19" s="193">
        <v>0</v>
      </c>
      <c r="Y19" s="193">
        <v>0</v>
      </c>
      <c r="Z19" s="193">
        <v>0</v>
      </c>
      <c r="AA19" s="193">
        <v>0</v>
      </c>
      <c r="AB19" s="193">
        <v>0</v>
      </c>
      <c r="AC19" s="193">
        <v>0</v>
      </c>
      <c r="AD19" s="193">
        <v>0</v>
      </c>
      <c r="AE19" s="193">
        <v>0</v>
      </c>
      <c r="AF19" s="225"/>
      <c r="AG19" s="175">
        <f t="shared" si="4"/>
        <v>0</v>
      </c>
      <c r="AH19" s="649">
        <f t="shared" si="7"/>
        <v>0</v>
      </c>
    </row>
    <row r="20" spans="1:34" x14ac:dyDescent="0.3">
      <c r="A20" s="222" t="s">
        <v>33</v>
      </c>
      <c r="B20" s="193">
        <f>H20+J20+L20+N20+P20+R20+T20+V20+X20+Z20+AB20+AD20</f>
        <v>55.7</v>
      </c>
      <c r="C20" s="223">
        <f>H20+J20</f>
        <v>55.7</v>
      </c>
      <c r="D20" s="223">
        <f>I20+K20</f>
        <v>55.65</v>
      </c>
      <c r="E20" s="224">
        <f>I20+K20</f>
        <v>55.65</v>
      </c>
      <c r="F20" s="224">
        <f>E20/B20*100</f>
        <v>99.910233393177734</v>
      </c>
      <c r="G20" s="224">
        <f>E20/C20*100</f>
        <v>99.910233393177734</v>
      </c>
      <c r="H20" s="193">
        <v>55.7</v>
      </c>
      <c r="I20" s="193">
        <v>55.65</v>
      </c>
      <c r="J20" s="193">
        <v>0</v>
      </c>
      <c r="K20" s="193">
        <v>0</v>
      </c>
      <c r="L20" s="193">
        <v>0</v>
      </c>
      <c r="M20" s="193">
        <v>0</v>
      </c>
      <c r="N20" s="193">
        <v>0</v>
      </c>
      <c r="O20" s="193">
        <v>0</v>
      </c>
      <c r="P20" s="193">
        <v>0</v>
      </c>
      <c r="Q20" s="193">
        <v>0</v>
      </c>
      <c r="R20" s="193">
        <v>0</v>
      </c>
      <c r="S20" s="193">
        <v>0</v>
      </c>
      <c r="T20" s="193">
        <v>0</v>
      </c>
      <c r="U20" s="193">
        <v>0</v>
      </c>
      <c r="V20" s="193">
        <v>0</v>
      </c>
      <c r="W20" s="193">
        <v>0</v>
      </c>
      <c r="X20" s="193">
        <v>0</v>
      </c>
      <c r="Y20" s="193">
        <v>0</v>
      </c>
      <c r="Z20" s="193">
        <v>0</v>
      </c>
      <c r="AA20" s="193">
        <v>0</v>
      </c>
      <c r="AB20" s="193">
        <v>0</v>
      </c>
      <c r="AC20" s="193">
        <v>0</v>
      </c>
      <c r="AD20" s="193">
        <v>0</v>
      </c>
      <c r="AE20" s="193">
        <v>0</v>
      </c>
      <c r="AF20" s="225"/>
      <c r="AG20" s="175">
        <f t="shared" si="4"/>
        <v>0</v>
      </c>
      <c r="AH20" s="649">
        <f t="shared" si="7"/>
        <v>5.0000000000004263E-2</v>
      </c>
    </row>
    <row r="21" spans="1:34" x14ac:dyDescent="0.3">
      <c r="A21" s="222" t="s">
        <v>221</v>
      </c>
      <c r="B21" s="193">
        <f>H21+J21+L21+N21+P21+R21+T21+V21+X21+Z21+AB21+AD21</f>
        <v>0</v>
      </c>
      <c r="C21" s="223">
        <f>H21+J21</f>
        <v>0</v>
      </c>
      <c r="D21" s="223">
        <f>I21</f>
        <v>0</v>
      </c>
      <c r="E21" s="193">
        <v>0</v>
      </c>
      <c r="F21" s="224">
        <v>0</v>
      </c>
      <c r="G21" s="193">
        <v>0</v>
      </c>
      <c r="H21" s="193">
        <v>0</v>
      </c>
      <c r="I21" s="193">
        <v>0</v>
      </c>
      <c r="J21" s="193">
        <v>0</v>
      </c>
      <c r="K21" s="193">
        <v>0</v>
      </c>
      <c r="L21" s="193">
        <v>0</v>
      </c>
      <c r="M21" s="193">
        <v>0</v>
      </c>
      <c r="N21" s="193">
        <v>0</v>
      </c>
      <c r="O21" s="193">
        <v>0</v>
      </c>
      <c r="P21" s="193">
        <v>0</v>
      </c>
      <c r="Q21" s="193">
        <v>0</v>
      </c>
      <c r="R21" s="193">
        <v>0</v>
      </c>
      <c r="S21" s="193">
        <v>0</v>
      </c>
      <c r="T21" s="193">
        <v>0</v>
      </c>
      <c r="U21" s="193">
        <v>0</v>
      </c>
      <c r="V21" s="193">
        <v>0</v>
      </c>
      <c r="W21" s="193">
        <v>0</v>
      </c>
      <c r="X21" s="193">
        <v>0</v>
      </c>
      <c r="Y21" s="193">
        <v>0</v>
      </c>
      <c r="Z21" s="193">
        <v>0</v>
      </c>
      <c r="AA21" s="193">
        <v>0</v>
      </c>
      <c r="AB21" s="193">
        <v>0</v>
      </c>
      <c r="AC21" s="193">
        <v>0</v>
      </c>
      <c r="AD21" s="193">
        <v>0</v>
      </c>
      <c r="AE21" s="193">
        <v>0</v>
      </c>
      <c r="AF21" s="225"/>
      <c r="AG21" s="175">
        <f t="shared" si="4"/>
        <v>0</v>
      </c>
      <c r="AH21" s="649">
        <f t="shared" si="7"/>
        <v>0</v>
      </c>
    </row>
    <row r="22" spans="1:34" s="177" customFormat="1" x14ac:dyDescent="0.3">
      <c r="A22" s="148" t="s">
        <v>233</v>
      </c>
      <c r="B22" s="206">
        <f t="shared" ref="B22:G22" si="10">B23+B24+B25+B26</f>
        <v>55704.19</v>
      </c>
      <c r="C22" s="206">
        <f t="shared" si="10"/>
        <v>34034.699999999997</v>
      </c>
      <c r="D22" s="206">
        <f t="shared" si="10"/>
        <v>31226.78</v>
      </c>
      <c r="E22" s="206">
        <f t="shared" si="10"/>
        <v>31226.78</v>
      </c>
      <c r="F22" s="206">
        <f t="shared" si="10"/>
        <v>56.058224704461189</v>
      </c>
      <c r="G22" s="206">
        <f t="shared" si="10"/>
        <v>91.749831789320908</v>
      </c>
      <c r="H22" s="206">
        <f t="shared" ref="H22:AE22" si="11">H23+H24+H25+H26</f>
        <v>7258.8899999999994</v>
      </c>
      <c r="I22" s="206">
        <f t="shared" si="11"/>
        <v>4150.3499999999995</v>
      </c>
      <c r="J22" s="206">
        <f t="shared" si="11"/>
        <v>3409</v>
      </c>
      <c r="K22" s="206">
        <f t="shared" si="11"/>
        <v>4844.8900000000003</v>
      </c>
      <c r="L22" s="206">
        <f t="shared" si="11"/>
        <v>3344.3</v>
      </c>
      <c r="M22" s="206">
        <f t="shared" si="11"/>
        <v>3569.98</v>
      </c>
      <c r="N22" s="206">
        <f t="shared" si="11"/>
        <v>5012.5</v>
      </c>
      <c r="O22" s="206">
        <f t="shared" si="11"/>
        <v>3332.26</v>
      </c>
      <c r="P22" s="206">
        <f t="shared" si="11"/>
        <v>4749.29</v>
      </c>
      <c r="Q22" s="206">
        <f t="shared" si="11"/>
        <v>5408.95</v>
      </c>
      <c r="R22" s="206">
        <f t="shared" si="11"/>
        <v>4833</v>
      </c>
      <c r="S22" s="206">
        <f t="shared" si="11"/>
        <v>4763.16</v>
      </c>
      <c r="T22" s="206">
        <f t="shared" si="11"/>
        <v>5427.72</v>
      </c>
      <c r="U22" s="206">
        <f t="shared" si="11"/>
        <v>5157.1899999999996</v>
      </c>
      <c r="V22" s="206">
        <f t="shared" si="11"/>
        <v>4560.5</v>
      </c>
      <c r="W22" s="206">
        <f t="shared" si="11"/>
        <v>0</v>
      </c>
      <c r="X22" s="206">
        <f t="shared" si="11"/>
        <v>3777.8</v>
      </c>
      <c r="Y22" s="206">
        <f t="shared" si="11"/>
        <v>0</v>
      </c>
      <c r="Z22" s="206">
        <f t="shared" si="11"/>
        <v>4299.1000000000004</v>
      </c>
      <c r="AA22" s="206">
        <f t="shared" si="11"/>
        <v>0</v>
      </c>
      <c r="AB22" s="206">
        <f t="shared" si="11"/>
        <v>3308</v>
      </c>
      <c r="AC22" s="206">
        <f t="shared" si="11"/>
        <v>0</v>
      </c>
      <c r="AD22" s="206">
        <f t="shared" si="11"/>
        <v>5724.09</v>
      </c>
      <c r="AE22" s="206">
        <f t="shared" si="11"/>
        <v>0</v>
      </c>
      <c r="AF22" s="207"/>
      <c r="AG22" s="175">
        <f t="shared" si="4"/>
        <v>0</v>
      </c>
      <c r="AH22" s="649">
        <f t="shared" si="7"/>
        <v>2807.9199999999983</v>
      </c>
    </row>
    <row r="23" spans="1:34" s="177" customFormat="1" x14ac:dyDescent="0.3">
      <c r="A23" s="150" t="s">
        <v>169</v>
      </c>
      <c r="B23" s="208">
        <f>B12+B18</f>
        <v>0</v>
      </c>
      <c r="C23" s="208">
        <f>C12+C18</f>
        <v>0</v>
      </c>
      <c r="D23" s="208">
        <f>D12+D18</f>
        <v>0</v>
      </c>
      <c r="E23" s="208">
        <f>E12+E18</f>
        <v>0</v>
      </c>
      <c r="F23" s="208">
        <f t="shared" ref="F23:AE23" si="12">F12+F18</f>
        <v>0</v>
      </c>
      <c r="G23" s="208">
        <f t="shared" si="12"/>
        <v>0</v>
      </c>
      <c r="H23" s="208">
        <f t="shared" si="12"/>
        <v>0</v>
      </c>
      <c r="I23" s="208">
        <f t="shared" si="12"/>
        <v>0</v>
      </c>
      <c r="J23" s="208">
        <f t="shared" si="12"/>
        <v>0</v>
      </c>
      <c r="K23" s="208">
        <f t="shared" si="12"/>
        <v>0</v>
      </c>
      <c r="L23" s="208">
        <f t="shared" si="12"/>
        <v>0</v>
      </c>
      <c r="M23" s="208">
        <f t="shared" si="12"/>
        <v>0</v>
      </c>
      <c r="N23" s="208">
        <f t="shared" si="12"/>
        <v>0</v>
      </c>
      <c r="O23" s="208">
        <f t="shared" si="12"/>
        <v>0</v>
      </c>
      <c r="P23" s="208">
        <f t="shared" si="12"/>
        <v>0</v>
      </c>
      <c r="Q23" s="208">
        <f t="shared" si="12"/>
        <v>0</v>
      </c>
      <c r="R23" s="208">
        <f t="shared" si="12"/>
        <v>0</v>
      </c>
      <c r="S23" s="208">
        <f t="shared" si="12"/>
        <v>0</v>
      </c>
      <c r="T23" s="208">
        <f t="shared" si="12"/>
        <v>0</v>
      </c>
      <c r="U23" s="208">
        <f t="shared" si="12"/>
        <v>0</v>
      </c>
      <c r="V23" s="208">
        <f t="shared" si="12"/>
        <v>0</v>
      </c>
      <c r="W23" s="208">
        <f t="shared" si="12"/>
        <v>0</v>
      </c>
      <c r="X23" s="208">
        <f t="shared" si="12"/>
        <v>0</v>
      </c>
      <c r="Y23" s="208">
        <f t="shared" si="12"/>
        <v>0</v>
      </c>
      <c r="Z23" s="208">
        <f t="shared" si="12"/>
        <v>0</v>
      </c>
      <c r="AA23" s="208">
        <f t="shared" si="12"/>
        <v>0</v>
      </c>
      <c r="AB23" s="208">
        <f t="shared" si="12"/>
        <v>0</v>
      </c>
      <c r="AC23" s="208">
        <f t="shared" si="12"/>
        <v>0</v>
      </c>
      <c r="AD23" s="208">
        <f t="shared" si="12"/>
        <v>0</v>
      </c>
      <c r="AE23" s="208">
        <f t="shared" si="12"/>
        <v>0</v>
      </c>
      <c r="AF23" s="209"/>
      <c r="AG23" s="175">
        <f t="shared" si="4"/>
        <v>0</v>
      </c>
      <c r="AH23" s="649">
        <f t="shared" si="7"/>
        <v>0</v>
      </c>
    </row>
    <row r="24" spans="1:34" s="177" customFormat="1" x14ac:dyDescent="0.3">
      <c r="A24" s="150" t="s">
        <v>32</v>
      </c>
      <c r="B24" s="208">
        <f t="shared" ref="B24:E26" si="13">B13+B19</f>
        <v>0</v>
      </c>
      <c r="C24" s="208">
        <f t="shared" si="13"/>
        <v>0</v>
      </c>
      <c r="D24" s="208">
        <f t="shared" si="13"/>
        <v>0</v>
      </c>
      <c r="E24" s="208">
        <f>E13+E19</f>
        <v>0</v>
      </c>
      <c r="F24" s="208">
        <f t="shared" ref="F24:AE24" si="14">F13+F19</f>
        <v>0</v>
      </c>
      <c r="G24" s="208">
        <f t="shared" si="14"/>
        <v>0</v>
      </c>
      <c r="H24" s="208">
        <f t="shared" si="14"/>
        <v>0</v>
      </c>
      <c r="I24" s="208">
        <f t="shared" si="14"/>
        <v>0</v>
      </c>
      <c r="J24" s="208">
        <f t="shared" si="14"/>
        <v>0</v>
      </c>
      <c r="K24" s="208">
        <f t="shared" si="14"/>
        <v>0</v>
      </c>
      <c r="L24" s="208">
        <f t="shared" si="14"/>
        <v>0</v>
      </c>
      <c r="M24" s="208">
        <f t="shared" si="14"/>
        <v>0</v>
      </c>
      <c r="N24" s="208">
        <f t="shared" si="14"/>
        <v>0</v>
      </c>
      <c r="O24" s="208">
        <f t="shared" si="14"/>
        <v>0</v>
      </c>
      <c r="P24" s="208">
        <f t="shared" si="14"/>
        <v>0</v>
      </c>
      <c r="Q24" s="208">
        <f t="shared" si="14"/>
        <v>0</v>
      </c>
      <c r="R24" s="208">
        <f t="shared" si="14"/>
        <v>0</v>
      </c>
      <c r="S24" s="208">
        <f t="shared" si="14"/>
        <v>0</v>
      </c>
      <c r="T24" s="208">
        <f t="shared" si="14"/>
        <v>0</v>
      </c>
      <c r="U24" s="208">
        <f t="shared" si="14"/>
        <v>0</v>
      </c>
      <c r="V24" s="208">
        <f t="shared" si="14"/>
        <v>0</v>
      </c>
      <c r="W24" s="208">
        <f t="shared" si="14"/>
        <v>0</v>
      </c>
      <c r="X24" s="208">
        <f t="shared" si="14"/>
        <v>0</v>
      </c>
      <c r="Y24" s="208">
        <f t="shared" si="14"/>
        <v>0</v>
      </c>
      <c r="Z24" s="208">
        <f t="shared" si="14"/>
        <v>0</v>
      </c>
      <c r="AA24" s="208">
        <f t="shared" si="14"/>
        <v>0</v>
      </c>
      <c r="AB24" s="208">
        <f t="shared" si="14"/>
        <v>0</v>
      </c>
      <c r="AC24" s="208">
        <f t="shared" si="14"/>
        <v>0</v>
      </c>
      <c r="AD24" s="208">
        <f t="shared" si="14"/>
        <v>0</v>
      </c>
      <c r="AE24" s="208">
        <f t="shared" si="14"/>
        <v>0</v>
      </c>
      <c r="AF24" s="210"/>
      <c r="AG24" s="175">
        <f t="shared" si="4"/>
        <v>0</v>
      </c>
      <c r="AH24" s="649">
        <f t="shared" si="7"/>
        <v>0</v>
      </c>
    </row>
    <row r="25" spans="1:34" s="177" customFormat="1" x14ac:dyDescent="0.3">
      <c r="A25" s="150" t="s">
        <v>33</v>
      </c>
      <c r="B25" s="208">
        <f>B14+B20</f>
        <v>55704.19</v>
      </c>
      <c r="C25" s="208">
        <f t="shared" si="13"/>
        <v>34034.699999999997</v>
      </c>
      <c r="D25" s="208">
        <f t="shared" si="13"/>
        <v>31226.78</v>
      </c>
      <c r="E25" s="208">
        <f t="shared" si="13"/>
        <v>31226.78</v>
      </c>
      <c r="F25" s="208">
        <f>E25/B25*100</f>
        <v>56.058224704461189</v>
      </c>
      <c r="G25" s="208">
        <f>E25/C25*100</f>
        <v>91.749831789320908</v>
      </c>
      <c r="H25" s="208">
        <f t="shared" ref="H25:AE26" si="15">H14+H20</f>
        <v>7258.8899999999994</v>
      </c>
      <c r="I25" s="208">
        <f t="shared" si="15"/>
        <v>4150.3499999999995</v>
      </c>
      <c r="J25" s="208">
        <f t="shared" si="15"/>
        <v>3409</v>
      </c>
      <c r="K25" s="208">
        <f t="shared" si="15"/>
        <v>4844.8900000000003</v>
      </c>
      <c r="L25" s="208">
        <f t="shared" si="15"/>
        <v>3344.3</v>
      </c>
      <c r="M25" s="208">
        <f t="shared" si="15"/>
        <v>3569.98</v>
      </c>
      <c r="N25" s="208">
        <f t="shared" si="15"/>
        <v>5012.5</v>
      </c>
      <c r="O25" s="208">
        <f t="shared" si="15"/>
        <v>3332.26</v>
      </c>
      <c r="P25" s="208">
        <f t="shared" si="15"/>
        <v>4749.29</v>
      </c>
      <c r="Q25" s="208">
        <f t="shared" si="15"/>
        <v>5408.95</v>
      </c>
      <c r="R25" s="208">
        <f>R14+R20</f>
        <v>4833</v>
      </c>
      <c r="S25" s="208">
        <f t="shared" si="15"/>
        <v>4763.16</v>
      </c>
      <c r="T25" s="208">
        <f t="shared" si="15"/>
        <v>5427.72</v>
      </c>
      <c r="U25" s="208">
        <f t="shared" si="15"/>
        <v>5157.1899999999996</v>
      </c>
      <c r="V25" s="208">
        <f t="shared" si="15"/>
        <v>4560.5</v>
      </c>
      <c r="W25" s="208">
        <f t="shared" si="15"/>
        <v>0</v>
      </c>
      <c r="X25" s="208">
        <f t="shared" si="15"/>
        <v>3777.8</v>
      </c>
      <c r="Y25" s="208">
        <f t="shared" si="15"/>
        <v>0</v>
      </c>
      <c r="Z25" s="208">
        <f t="shared" si="15"/>
        <v>4299.1000000000004</v>
      </c>
      <c r="AA25" s="208">
        <f t="shared" si="15"/>
        <v>0</v>
      </c>
      <c r="AB25" s="208">
        <f t="shared" si="15"/>
        <v>3308</v>
      </c>
      <c r="AC25" s="208">
        <f t="shared" si="15"/>
        <v>0</v>
      </c>
      <c r="AD25" s="208">
        <f t="shared" si="15"/>
        <v>5724.09</v>
      </c>
      <c r="AE25" s="208">
        <f t="shared" si="15"/>
        <v>0</v>
      </c>
      <c r="AF25" s="210"/>
      <c r="AG25" s="175">
        <f t="shared" si="4"/>
        <v>0</v>
      </c>
      <c r="AH25" s="649">
        <f t="shared" si="7"/>
        <v>2807.9199999999983</v>
      </c>
    </row>
    <row r="26" spans="1:34" s="177" customFormat="1" x14ac:dyDescent="0.3">
      <c r="A26" s="152" t="s">
        <v>221</v>
      </c>
      <c r="B26" s="208">
        <f t="shared" si="13"/>
        <v>0</v>
      </c>
      <c r="C26" s="208">
        <f t="shared" si="13"/>
        <v>0</v>
      </c>
      <c r="D26" s="208">
        <f>D15+D21</f>
        <v>0</v>
      </c>
      <c r="E26" s="208">
        <f>E15+E21</f>
        <v>0</v>
      </c>
      <c r="F26" s="208">
        <f>F21+F15</f>
        <v>0</v>
      </c>
      <c r="G26" s="208">
        <f>G21+G15</f>
        <v>0</v>
      </c>
      <c r="H26" s="208">
        <f t="shared" si="15"/>
        <v>0</v>
      </c>
      <c r="I26" s="208">
        <f>I15+I21</f>
        <v>0</v>
      </c>
      <c r="J26" s="208">
        <f t="shared" si="15"/>
        <v>0</v>
      </c>
      <c r="K26" s="208">
        <f t="shared" si="15"/>
        <v>0</v>
      </c>
      <c r="L26" s="208">
        <f t="shared" si="15"/>
        <v>0</v>
      </c>
      <c r="M26" s="208">
        <f t="shared" si="15"/>
        <v>0</v>
      </c>
      <c r="N26" s="208">
        <f t="shared" si="15"/>
        <v>0</v>
      </c>
      <c r="O26" s="208">
        <f t="shared" si="15"/>
        <v>0</v>
      </c>
      <c r="P26" s="208">
        <f t="shared" si="15"/>
        <v>0</v>
      </c>
      <c r="Q26" s="208">
        <f t="shared" si="15"/>
        <v>0</v>
      </c>
      <c r="R26" s="208">
        <f t="shared" si="15"/>
        <v>0</v>
      </c>
      <c r="S26" s="208">
        <f t="shared" si="15"/>
        <v>0</v>
      </c>
      <c r="T26" s="208">
        <f t="shared" si="15"/>
        <v>0</v>
      </c>
      <c r="U26" s="208">
        <f t="shared" si="15"/>
        <v>0</v>
      </c>
      <c r="V26" s="208">
        <f t="shared" si="15"/>
        <v>0</v>
      </c>
      <c r="W26" s="208">
        <f t="shared" si="15"/>
        <v>0</v>
      </c>
      <c r="X26" s="208">
        <f t="shared" si="15"/>
        <v>0</v>
      </c>
      <c r="Y26" s="208">
        <f t="shared" si="15"/>
        <v>0</v>
      </c>
      <c r="Z26" s="208">
        <f t="shared" si="15"/>
        <v>0</v>
      </c>
      <c r="AA26" s="208">
        <f t="shared" si="15"/>
        <v>0</v>
      </c>
      <c r="AB26" s="208">
        <f t="shared" si="15"/>
        <v>0</v>
      </c>
      <c r="AC26" s="208">
        <f t="shared" si="15"/>
        <v>0</v>
      </c>
      <c r="AD26" s="208">
        <f t="shared" si="15"/>
        <v>0</v>
      </c>
      <c r="AE26" s="208">
        <f t="shared" si="15"/>
        <v>0</v>
      </c>
      <c r="AF26" s="210"/>
      <c r="AG26" s="175">
        <f t="shared" si="4"/>
        <v>0</v>
      </c>
      <c r="AH26" s="649">
        <f t="shared" si="7"/>
        <v>0</v>
      </c>
    </row>
    <row r="27" spans="1:34" s="177" customFormat="1" ht="37.5" x14ac:dyDescent="0.3">
      <c r="A27" s="148" t="s">
        <v>64</v>
      </c>
      <c r="B27" s="206">
        <f>B22</f>
        <v>55704.19</v>
      </c>
      <c r="C27" s="206">
        <f t="shared" ref="C27:AE27" si="16">C22</f>
        <v>34034.699999999997</v>
      </c>
      <c r="D27" s="206">
        <f t="shared" si="16"/>
        <v>31226.78</v>
      </c>
      <c r="E27" s="206">
        <f t="shared" si="16"/>
        <v>31226.78</v>
      </c>
      <c r="F27" s="206">
        <f t="shared" si="16"/>
        <v>56.058224704461189</v>
      </c>
      <c r="G27" s="206">
        <f t="shared" si="16"/>
        <v>91.749831789320908</v>
      </c>
      <c r="H27" s="206">
        <f t="shared" si="16"/>
        <v>7258.8899999999994</v>
      </c>
      <c r="I27" s="206">
        <f t="shared" si="16"/>
        <v>4150.3499999999995</v>
      </c>
      <c r="J27" s="206">
        <f t="shared" si="16"/>
        <v>3409</v>
      </c>
      <c r="K27" s="206">
        <f t="shared" si="16"/>
        <v>4844.8900000000003</v>
      </c>
      <c r="L27" s="206">
        <f t="shared" si="16"/>
        <v>3344.3</v>
      </c>
      <c r="M27" s="206">
        <f t="shared" si="16"/>
        <v>3569.98</v>
      </c>
      <c r="N27" s="206">
        <f t="shared" si="16"/>
        <v>5012.5</v>
      </c>
      <c r="O27" s="206">
        <f t="shared" si="16"/>
        <v>3332.26</v>
      </c>
      <c r="P27" s="206">
        <f t="shared" si="16"/>
        <v>4749.29</v>
      </c>
      <c r="Q27" s="206">
        <f t="shared" si="16"/>
        <v>5408.95</v>
      </c>
      <c r="R27" s="206">
        <f t="shared" si="16"/>
        <v>4833</v>
      </c>
      <c r="S27" s="206">
        <f t="shared" si="16"/>
        <v>4763.16</v>
      </c>
      <c r="T27" s="206">
        <f t="shared" si="16"/>
        <v>5427.72</v>
      </c>
      <c r="U27" s="206">
        <f t="shared" si="16"/>
        <v>5157.1899999999996</v>
      </c>
      <c r="V27" s="206">
        <f t="shared" si="16"/>
        <v>4560.5</v>
      </c>
      <c r="W27" s="206">
        <f t="shared" si="16"/>
        <v>0</v>
      </c>
      <c r="X27" s="206">
        <f t="shared" si="16"/>
        <v>3777.8</v>
      </c>
      <c r="Y27" s="206">
        <f t="shared" si="16"/>
        <v>0</v>
      </c>
      <c r="Z27" s="206">
        <f t="shared" si="16"/>
        <v>4299.1000000000004</v>
      </c>
      <c r="AA27" s="206">
        <f t="shared" si="16"/>
        <v>0</v>
      </c>
      <c r="AB27" s="206">
        <f t="shared" si="16"/>
        <v>3308</v>
      </c>
      <c r="AC27" s="206">
        <f t="shared" si="16"/>
        <v>0</v>
      </c>
      <c r="AD27" s="206">
        <f>AD22</f>
        <v>5724.09</v>
      </c>
      <c r="AE27" s="206">
        <f t="shared" si="16"/>
        <v>0</v>
      </c>
      <c r="AF27" s="207"/>
      <c r="AG27" s="175">
        <f t="shared" si="4"/>
        <v>0</v>
      </c>
      <c r="AH27" s="649">
        <f t="shared" si="7"/>
        <v>2807.9199999999983</v>
      </c>
    </row>
    <row r="28" spans="1:34" s="177" customFormat="1" x14ac:dyDescent="0.3">
      <c r="A28" s="150" t="s">
        <v>169</v>
      </c>
      <c r="B28" s="208">
        <f>B12+B18</f>
        <v>0</v>
      </c>
      <c r="C28" s="208">
        <f>C12+C18</f>
        <v>0</v>
      </c>
      <c r="D28" s="208">
        <f>D12+D18</f>
        <v>0</v>
      </c>
      <c r="E28" s="208">
        <f>E12+E18</f>
        <v>0</v>
      </c>
      <c r="F28" s="208">
        <f>IFERROR(E28/B28*100,0)</f>
        <v>0</v>
      </c>
      <c r="G28" s="208">
        <f>IFERROR(E28/C28*100,0)</f>
        <v>0</v>
      </c>
      <c r="H28" s="208">
        <f t="shared" ref="H28:AE31" si="17">H12+H18</f>
        <v>0</v>
      </c>
      <c r="I28" s="208">
        <f t="shared" si="17"/>
        <v>0</v>
      </c>
      <c r="J28" s="208">
        <f t="shared" si="17"/>
        <v>0</v>
      </c>
      <c r="K28" s="208">
        <f t="shared" si="17"/>
        <v>0</v>
      </c>
      <c r="L28" s="208">
        <f t="shared" si="17"/>
        <v>0</v>
      </c>
      <c r="M28" s="208">
        <f t="shared" si="17"/>
        <v>0</v>
      </c>
      <c r="N28" s="208">
        <f t="shared" si="17"/>
        <v>0</v>
      </c>
      <c r="O28" s="208">
        <f t="shared" si="17"/>
        <v>0</v>
      </c>
      <c r="P28" s="208">
        <f t="shared" si="17"/>
        <v>0</v>
      </c>
      <c r="Q28" s="208">
        <f t="shared" si="17"/>
        <v>0</v>
      </c>
      <c r="R28" s="208">
        <f t="shared" si="17"/>
        <v>0</v>
      </c>
      <c r="S28" s="208">
        <f t="shared" si="17"/>
        <v>0</v>
      </c>
      <c r="T28" s="208">
        <f t="shared" si="17"/>
        <v>0</v>
      </c>
      <c r="U28" s="208">
        <f t="shared" si="17"/>
        <v>0</v>
      </c>
      <c r="V28" s="208">
        <f t="shared" si="17"/>
        <v>0</v>
      </c>
      <c r="W28" s="208">
        <f t="shared" si="17"/>
        <v>0</v>
      </c>
      <c r="X28" s="208">
        <f t="shared" si="17"/>
        <v>0</v>
      </c>
      <c r="Y28" s="208">
        <f t="shared" si="17"/>
        <v>0</v>
      </c>
      <c r="Z28" s="208">
        <f t="shared" si="17"/>
        <v>0</v>
      </c>
      <c r="AA28" s="208">
        <f t="shared" si="17"/>
        <v>0</v>
      </c>
      <c r="AB28" s="208">
        <f t="shared" si="17"/>
        <v>0</v>
      </c>
      <c r="AC28" s="208">
        <f t="shared" si="17"/>
        <v>0</v>
      </c>
      <c r="AD28" s="208">
        <f t="shared" si="17"/>
        <v>0</v>
      </c>
      <c r="AE28" s="208">
        <f t="shared" si="17"/>
        <v>0</v>
      </c>
      <c r="AF28" s="209"/>
      <c r="AG28" s="175">
        <f t="shared" si="4"/>
        <v>0</v>
      </c>
      <c r="AH28" s="649">
        <f t="shared" si="7"/>
        <v>0</v>
      </c>
    </row>
    <row r="29" spans="1:34" s="177" customFormat="1" x14ac:dyDescent="0.3">
      <c r="A29" s="150" t="s">
        <v>32</v>
      </c>
      <c r="B29" s="208">
        <f t="shared" ref="B29:E31" si="18">B13+B19</f>
        <v>0</v>
      </c>
      <c r="C29" s="208">
        <f t="shared" si="18"/>
        <v>0</v>
      </c>
      <c r="D29" s="208">
        <f t="shared" si="18"/>
        <v>0</v>
      </c>
      <c r="E29" s="208">
        <f t="shared" si="18"/>
        <v>0</v>
      </c>
      <c r="F29" s="208">
        <f>IFERROR(E29/B29*100,0)</f>
        <v>0</v>
      </c>
      <c r="G29" s="208">
        <f>IFERROR(E29/C29*100,0)</f>
        <v>0</v>
      </c>
      <c r="H29" s="208">
        <f t="shared" si="17"/>
        <v>0</v>
      </c>
      <c r="I29" s="208">
        <f t="shared" si="17"/>
        <v>0</v>
      </c>
      <c r="J29" s="208">
        <f t="shared" si="17"/>
        <v>0</v>
      </c>
      <c r="K29" s="208">
        <f t="shared" si="17"/>
        <v>0</v>
      </c>
      <c r="L29" s="208">
        <f t="shared" si="17"/>
        <v>0</v>
      </c>
      <c r="M29" s="208">
        <f t="shared" si="17"/>
        <v>0</v>
      </c>
      <c r="N29" s="208">
        <f t="shared" si="17"/>
        <v>0</v>
      </c>
      <c r="O29" s="208">
        <f t="shared" si="17"/>
        <v>0</v>
      </c>
      <c r="P29" s="208">
        <f t="shared" si="17"/>
        <v>0</v>
      </c>
      <c r="Q29" s="208">
        <f t="shared" si="17"/>
        <v>0</v>
      </c>
      <c r="R29" s="208">
        <f t="shared" si="17"/>
        <v>0</v>
      </c>
      <c r="S29" s="208">
        <f t="shared" si="17"/>
        <v>0</v>
      </c>
      <c r="T29" s="208">
        <f t="shared" si="17"/>
        <v>0</v>
      </c>
      <c r="U29" s="208">
        <f t="shared" si="17"/>
        <v>0</v>
      </c>
      <c r="V29" s="208">
        <f t="shared" si="17"/>
        <v>0</v>
      </c>
      <c r="W29" s="208">
        <f t="shared" si="17"/>
        <v>0</v>
      </c>
      <c r="X29" s="208">
        <f t="shared" si="17"/>
        <v>0</v>
      </c>
      <c r="Y29" s="208">
        <f t="shared" si="17"/>
        <v>0</v>
      </c>
      <c r="Z29" s="208">
        <f t="shared" si="17"/>
        <v>0</v>
      </c>
      <c r="AA29" s="208">
        <f t="shared" si="17"/>
        <v>0</v>
      </c>
      <c r="AB29" s="208">
        <f t="shared" si="17"/>
        <v>0</v>
      </c>
      <c r="AC29" s="208">
        <f t="shared" si="17"/>
        <v>0</v>
      </c>
      <c r="AD29" s="208">
        <f t="shared" si="17"/>
        <v>0</v>
      </c>
      <c r="AE29" s="208">
        <f t="shared" si="17"/>
        <v>0</v>
      </c>
      <c r="AF29" s="210"/>
      <c r="AG29" s="175">
        <f t="shared" si="4"/>
        <v>0</v>
      </c>
      <c r="AH29" s="649">
        <f t="shared" si="7"/>
        <v>0</v>
      </c>
    </row>
    <row r="30" spans="1:34" s="177" customFormat="1" x14ac:dyDescent="0.3">
      <c r="A30" s="150" t="s">
        <v>33</v>
      </c>
      <c r="B30" s="208">
        <f>B25</f>
        <v>55704.19</v>
      </c>
      <c r="C30" s="208">
        <f>C25</f>
        <v>34034.699999999997</v>
      </c>
      <c r="D30" s="208">
        <f>D25</f>
        <v>31226.78</v>
      </c>
      <c r="E30" s="208">
        <f t="shared" ref="E30:AE30" si="19">E25</f>
        <v>31226.78</v>
      </c>
      <c r="F30" s="208">
        <f t="shared" si="19"/>
        <v>56.058224704461189</v>
      </c>
      <c r="G30" s="208">
        <f t="shared" si="19"/>
        <v>91.749831789320908</v>
      </c>
      <c r="H30" s="208">
        <f t="shared" si="19"/>
        <v>7258.8899999999994</v>
      </c>
      <c r="I30" s="208">
        <f t="shared" si="19"/>
        <v>4150.3499999999995</v>
      </c>
      <c r="J30" s="208">
        <f t="shared" si="19"/>
        <v>3409</v>
      </c>
      <c r="K30" s="208">
        <f t="shared" si="19"/>
        <v>4844.8900000000003</v>
      </c>
      <c r="L30" s="208">
        <f t="shared" si="19"/>
        <v>3344.3</v>
      </c>
      <c r="M30" s="208">
        <f t="shared" si="19"/>
        <v>3569.98</v>
      </c>
      <c r="N30" s="208">
        <f t="shared" si="19"/>
        <v>5012.5</v>
      </c>
      <c r="O30" s="208">
        <f t="shared" si="19"/>
        <v>3332.26</v>
      </c>
      <c r="P30" s="208">
        <f t="shared" si="19"/>
        <v>4749.29</v>
      </c>
      <c r="Q30" s="208">
        <f t="shared" si="19"/>
        <v>5408.95</v>
      </c>
      <c r="R30" s="208">
        <f t="shared" si="19"/>
        <v>4833</v>
      </c>
      <c r="S30" s="208">
        <f t="shared" si="19"/>
        <v>4763.16</v>
      </c>
      <c r="T30" s="208">
        <f t="shared" si="19"/>
        <v>5427.72</v>
      </c>
      <c r="U30" s="208">
        <f t="shared" si="19"/>
        <v>5157.1899999999996</v>
      </c>
      <c r="V30" s="208">
        <f t="shared" si="19"/>
        <v>4560.5</v>
      </c>
      <c r="W30" s="208">
        <f t="shared" si="19"/>
        <v>0</v>
      </c>
      <c r="X30" s="208">
        <f t="shared" si="19"/>
        <v>3777.8</v>
      </c>
      <c r="Y30" s="208">
        <f t="shared" si="19"/>
        <v>0</v>
      </c>
      <c r="Z30" s="208">
        <f t="shared" si="19"/>
        <v>4299.1000000000004</v>
      </c>
      <c r="AA30" s="208">
        <f t="shared" si="19"/>
        <v>0</v>
      </c>
      <c r="AB30" s="208">
        <f t="shared" si="19"/>
        <v>3308</v>
      </c>
      <c r="AC30" s="208">
        <f t="shared" si="19"/>
        <v>0</v>
      </c>
      <c r="AD30" s="208">
        <f t="shared" si="19"/>
        <v>5724.09</v>
      </c>
      <c r="AE30" s="208">
        <f t="shared" si="19"/>
        <v>0</v>
      </c>
      <c r="AF30" s="210"/>
      <c r="AG30" s="175">
        <f t="shared" si="4"/>
        <v>0</v>
      </c>
      <c r="AH30" s="649">
        <f t="shared" si="7"/>
        <v>2807.9199999999983</v>
      </c>
    </row>
    <row r="31" spans="1:34" s="177" customFormat="1" x14ac:dyDescent="0.3">
      <c r="A31" s="152" t="s">
        <v>221</v>
      </c>
      <c r="B31" s="208">
        <f t="shared" si="18"/>
        <v>0</v>
      </c>
      <c r="C31" s="208">
        <f t="shared" si="18"/>
        <v>0</v>
      </c>
      <c r="D31" s="208">
        <f t="shared" si="18"/>
        <v>0</v>
      </c>
      <c r="E31" s="208">
        <f>E15+E21</f>
        <v>0</v>
      </c>
      <c r="F31" s="208">
        <f>F15+F21</f>
        <v>0</v>
      </c>
      <c r="G31" s="208">
        <f>G15+G21</f>
        <v>0</v>
      </c>
      <c r="H31" s="208">
        <f t="shared" si="17"/>
        <v>0</v>
      </c>
      <c r="I31" s="208">
        <f t="shared" si="17"/>
        <v>0</v>
      </c>
      <c r="J31" s="208">
        <f t="shared" si="17"/>
        <v>0</v>
      </c>
      <c r="K31" s="208">
        <f t="shared" si="17"/>
        <v>0</v>
      </c>
      <c r="L31" s="208">
        <f t="shared" si="17"/>
        <v>0</v>
      </c>
      <c r="M31" s="208">
        <f t="shared" si="17"/>
        <v>0</v>
      </c>
      <c r="N31" s="208">
        <f t="shared" si="17"/>
        <v>0</v>
      </c>
      <c r="O31" s="208">
        <f t="shared" si="17"/>
        <v>0</v>
      </c>
      <c r="P31" s="208">
        <f t="shared" si="17"/>
        <v>0</v>
      </c>
      <c r="Q31" s="208">
        <f t="shared" si="17"/>
        <v>0</v>
      </c>
      <c r="R31" s="208">
        <f t="shared" si="17"/>
        <v>0</v>
      </c>
      <c r="S31" s="208">
        <f t="shared" si="17"/>
        <v>0</v>
      </c>
      <c r="T31" s="208">
        <f t="shared" si="17"/>
        <v>0</v>
      </c>
      <c r="U31" s="208">
        <f t="shared" si="17"/>
        <v>0</v>
      </c>
      <c r="V31" s="208">
        <f t="shared" si="17"/>
        <v>0</v>
      </c>
      <c r="W31" s="208">
        <f t="shared" si="17"/>
        <v>0</v>
      </c>
      <c r="X31" s="208">
        <f t="shared" si="17"/>
        <v>0</v>
      </c>
      <c r="Y31" s="208">
        <f t="shared" si="17"/>
        <v>0</v>
      </c>
      <c r="Z31" s="208">
        <f t="shared" si="17"/>
        <v>0</v>
      </c>
      <c r="AA31" s="208">
        <f t="shared" si="17"/>
        <v>0</v>
      </c>
      <c r="AB31" s="208">
        <f t="shared" si="17"/>
        <v>0</v>
      </c>
      <c r="AC31" s="208">
        <f t="shared" si="17"/>
        <v>0</v>
      </c>
      <c r="AD31" s="208">
        <f t="shared" si="17"/>
        <v>0</v>
      </c>
      <c r="AE31" s="208">
        <f t="shared" si="17"/>
        <v>0</v>
      </c>
      <c r="AF31" s="210"/>
      <c r="AG31" s="175">
        <f t="shared" si="4"/>
        <v>0</v>
      </c>
      <c r="AH31" s="649">
        <f t="shared" si="7"/>
        <v>0</v>
      </c>
    </row>
    <row r="32" spans="1:34" s="159" customFormat="1" x14ac:dyDescent="0.3">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G32" s="175"/>
    </row>
    <row r="33" spans="1:40" s="513" customFormat="1" ht="15.75" x14ac:dyDescent="0.25">
      <c r="A33" s="516" t="s">
        <v>464</v>
      </c>
      <c r="B33" s="516"/>
      <c r="C33" s="516"/>
      <c r="D33" s="516"/>
      <c r="E33" s="516"/>
      <c r="F33" s="516"/>
      <c r="G33" s="516"/>
      <c r="H33" s="516"/>
      <c r="I33" s="516"/>
      <c r="J33" s="516"/>
      <c r="K33" s="516"/>
      <c r="L33" s="516"/>
      <c r="M33" s="516"/>
      <c r="P33" s="512"/>
      <c r="Q33" s="512"/>
      <c r="R33" s="512"/>
      <c r="S33" s="512"/>
      <c r="V33" s="514"/>
      <c r="W33" s="514"/>
      <c r="AF33" s="512"/>
      <c r="AG33" s="512"/>
      <c r="AH33" s="512"/>
      <c r="AI33" s="512"/>
      <c r="AJ33" s="512"/>
      <c r="AK33" s="512"/>
      <c r="AL33" s="512"/>
      <c r="AM33" s="512"/>
      <c r="AN33" s="515"/>
    </row>
    <row r="34" spans="1:40" s="513" customFormat="1" ht="15.75" x14ac:dyDescent="0.25">
      <c r="A34" s="516" t="s">
        <v>465</v>
      </c>
      <c r="B34" s="517" t="s">
        <v>466</v>
      </c>
      <c r="C34" s="517" t="s">
        <v>467</v>
      </c>
      <c r="D34" s="690"/>
      <c r="E34" s="517"/>
      <c r="F34" s="517"/>
      <c r="G34" s="517"/>
      <c r="H34" s="518"/>
      <c r="I34" s="518"/>
      <c r="J34" s="518"/>
      <c r="K34" s="518"/>
      <c r="L34" s="512"/>
      <c r="M34" s="512"/>
      <c r="N34" s="512"/>
      <c r="O34" s="512"/>
      <c r="P34" s="512"/>
      <c r="Q34" s="512"/>
      <c r="R34" s="512"/>
      <c r="S34" s="512"/>
      <c r="V34" s="514"/>
      <c r="W34" s="514"/>
      <c r="AF34" s="512"/>
      <c r="AG34" s="512"/>
      <c r="AH34" s="512"/>
      <c r="AI34" s="512"/>
      <c r="AJ34" s="512"/>
      <c r="AK34" s="512"/>
      <c r="AL34" s="512"/>
      <c r="AM34" s="512"/>
      <c r="AN34" s="515"/>
    </row>
    <row r="35" spans="1:40" s="513" customFormat="1" ht="15.75" x14ac:dyDescent="0.25">
      <c r="A35" s="515"/>
      <c r="H35" s="512"/>
      <c r="I35" s="512"/>
      <c r="J35" s="512"/>
      <c r="K35" s="512"/>
      <c r="L35" s="512"/>
      <c r="M35" s="512"/>
      <c r="N35" s="512"/>
      <c r="O35" s="512"/>
      <c r="P35" s="512"/>
      <c r="Q35" s="512"/>
      <c r="R35" s="512"/>
      <c r="S35" s="512"/>
      <c r="V35" s="514"/>
      <c r="W35" s="514"/>
      <c r="AF35" s="512"/>
      <c r="AG35" s="512"/>
      <c r="AH35" s="512"/>
      <c r="AI35" s="512"/>
      <c r="AJ35" s="512"/>
      <c r="AK35" s="512"/>
      <c r="AL35" s="512"/>
      <c r="AM35" s="512"/>
      <c r="AN35" s="515"/>
    </row>
    <row r="36" spans="1:40" s="513" customFormat="1" ht="15.75" x14ac:dyDescent="0.25">
      <c r="A36" s="516" t="s">
        <v>468</v>
      </c>
      <c r="B36" s="516"/>
      <c r="C36" s="516"/>
      <c r="D36" s="516"/>
      <c r="E36" s="516"/>
      <c r="F36" s="516"/>
      <c r="G36" s="516"/>
      <c r="H36" s="516"/>
      <c r="I36" s="516"/>
      <c r="J36" s="516"/>
      <c r="K36" s="516"/>
      <c r="L36" s="516"/>
      <c r="M36" s="516"/>
      <c r="N36" s="516"/>
      <c r="O36" s="516"/>
      <c r="P36" s="512"/>
      <c r="Q36" s="512"/>
      <c r="R36" s="512"/>
      <c r="S36" s="512"/>
      <c r="V36" s="514"/>
      <c r="W36" s="514"/>
      <c r="AF36" s="512"/>
      <c r="AG36" s="512"/>
      <c r="AH36" s="512"/>
      <c r="AI36" s="512"/>
      <c r="AJ36" s="512"/>
      <c r="AK36" s="512"/>
      <c r="AL36" s="512"/>
      <c r="AM36" s="512"/>
      <c r="AN36" s="515"/>
    </row>
    <row r="37" spans="1:40" x14ac:dyDescent="0.3">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row>
    <row r="86" spans="6:7" x14ac:dyDescent="0.3">
      <c r="F86" s="10">
        <v>0</v>
      </c>
      <c r="G86" s="10" t="e">
        <f>E86/C86*100</f>
        <v>#DIV/0!</v>
      </c>
    </row>
    <row r="89" spans="6:7" x14ac:dyDescent="0.3">
      <c r="F89" s="10">
        <v>0</v>
      </c>
      <c r="G89" s="10">
        <v>0</v>
      </c>
    </row>
  </sheetData>
  <customSheetViews>
    <customSheetView guid="{7C130984-112A-4861-AA43-E2940708E3DC}" scale="85" state="hidden">
      <pane xSplit="2" ySplit="9" topLeftCell="C10" activePane="bottomRight" state="frozen"/>
      <selection pane="bottomRight" activeCell="D19" sqref="D19"/>
      <pageMargins left="0.7" right="0.7" top="0.75" bottom="0.75" header="0.3" footer="0.3"/>
      <pageSetup paperSize="9" orientation="portrait" r:id="rId1"/>
    </customSheetView>
    <customSheetView guid="{3C3F523F-5F34-4CF7-831E-F1ABC4278CEB}" scale="85">
      <pane xSplit="2" ySplit="9" topLeftCell="C10" activePane="bottomRight" state="frozen"/>
      <selection pane="bottomRight" activeCell="D19" sqref="D19"/>
      <pageMargins left="0.7" right="0.7" top="0.75" bottom="0.75" header="0.3" footer="0.3"/>
      <pageSetup paperSize="9" orientation="portrait" r:id="rId2"/>
    </customSheetView>
    <customSheetView guid="{D01FA037-9AEC-4167-ADB8-2F327C01ECE6}" scale="85">
      <pane xSplit="2" ySplit="9" topLeftCell="C10" activePane="bottomRight" state="frozen"/>
      <selection pane="bottomRight" activeCell="D19" sqref="D19"/>
      <pageMargins left="0.7" right="0.7" top="0.75" bottom="0.75" header="0.3" footer="0.3"/>
      <pageSetup paperSize="9" orientation="portrait" r:id="rId3"/>
    </customSheetView>
    <customSheetView guid="{602C8EDB-B9EF-4C85-B0D5-0558C3A0ABAB}" scale="85">
      <pane xSplit="2" ySplit="9" topLeftCell="C10" activePane="bottomRight" state="frozen"/>
      <selection pane="bottomRight" activeCell="D19" sqref="D19"/>
      <pageMargins left="0.7" right="0.7" top="0.75" bottom="0.75" header="0.3" footer="0.3"/>
      <pageSetup paperSize="9" orientation="portrait" r:id="rId4"/>
    </customSheetView>
    <customSheetView guid="{69DABE6F-6182-4403-A4A2-969F10F1C13A}" scale="85">
      <pane xSplit="2" ySplit="9" topLeftCell="C10" activePane="bottomRight" state="frozen"/>
      <selection pane="bottomRight" activeCell="D19" sqref="D19"/>
      <pageMargins left="0.7" right="0.7" top="0.75" bottom="0.75" header="0.3" footer="0.3"/>
      <pageSetup paperSize="9" orientation="portrait" r:id="rId5"/>
    </customSheetView>
    <customSheetView guid="{E508E171-4ED9-4B07-84DF-DA28C60E1969}" scale="70">
      <pane xSplit="2" ySplit="9" topLeftCell="C10" activePane="bottomRight" state="frozen"/>
      <selection pane="bottomRight" activeCell="A14" sqref="A14"/>
      <pageMargins left="0.7" right="0.7" top="0.75" bottom="0.75" header="0.3" footer="0.3"/>
      <pageSetup paperSize="9" orientation="portrait" r:id="rId6"/>
    </customSheetView>
    <customSheetView guid="{AC2D5927-4079-4C74-AF69-1BFAC505648F}" scale="70">
      <pane xSplit="2" ySplit="9" topLeftCell="C16" activePane="bottomRight" state="frozen"/>
      <selection pane="bottomRight" activeCell="E31" sqref="E31"/>
      <pageMargins left="0.7" right="0.7" top="0.75" bottom="0.75" header="0.3" footer="0.3"/>
      <pageSetup paperSize="9" orientation="portrait" r:id="rId7"/>
    </customSheetView>
    <customSheetView guid="{442F2C94-DD1B-4A01-8694-513D4D6F3BD9}" scale="70">
      <pane xSplit="2" ySplit="9" topLeftCell="C10" activePane="bottomRight" state="frozen"/>
      <selection pane="bottomRight" activeCell="A14" sqref="A14"/>
      <pageMargins left="0.7" right="0.7" top="0.75" bottom="0.75" header="0.3" footer="0.3"/>
      <pageSetup paperSize="9" orientation="portrait" r:id="rId8"/>
    </customSheetView>
    <customSheetView guid="{CE1CCA00-200D-4EAA-9FBE-F8EE7C5F82FE}" scale="70">
      <pane xSplit="2" ySplit="9" topLeftCell="C10" activePane="bottomRight" state="frozen"/>
      <selection pane="bottomRight" activeCell="A14" sqref="A14"/>
      <pageMargins left="0.7" right="0.7" top="0.75" bottom="0.75" header="0.3" footer="0.3"/>
      <pageSetup paperSize="9" orientation="portrait" r:id="rId9"/>
    </customSheetView>
    <customSheetView guid="{4D0DFB57-2CBA-42F2-9A97-C453A6851FBA}" scale="70">
      <pane xSplit="2" ySplit="9" topLeftCell="O10" activePane="bottomRight" state="frozen"/>
      <selection pane="bottomRight" activeCell="AF15" sqref="AF15"/>
      <pageMargins left="0.7" right="0.7" top="0.75" bottom="0.75" header="0.3" footer="0.3"/>
      <pageSetup paperSize="9" orientation="portrait" r:id="rId10"/>
    </customSheetView>
    <customSheetView guid="{85F4575B-DBC5-482A-9916-255D8F0BC94E}" scale="90">
      <pane xSplit="2" ySplit="9" topLeftCell="C10" activePane="bottomRight" state="frozen"/>
      <selection pane="bottomRight" activeCell="D16" sqref="D16"/>
      <pageMargins left="0.7" right="0.7" top="0.75" bottom="0.75" header="0.3" footer="0.3"/>
      <pageSetup paperSize="9" orientation="portrait" r:id="rId11"/>
    </customSheetView>
    <customSheetView guid="{B1BF08D1-D416-4B47-ADD0-4F59132DC9E8}" scale="90">
      <pane xSplit="2" ySplit="9" topLeftCell="C10" activePane="bottomRight" state="frozen"/>
      <selection pane="bottomRight" activeCell="D16" sqref="D16"/>
      <pageMargins left="0.7" right="0.7" top="0.75" bottom="0.75" header="0.3" footer="0.3"/>
      <pageSetup paperSize="9" orientation="portrait" r:id="rId12"/>
    </customSheetView>
    <customSheetView guid="{BCD82A82-B724-4763-8580-D765356E09BA}" scale="70">
      <pane xSplit="2" ySplit="9" topLeftCell="C10" activePane="bottomRight" state="frozen"/>
      <selection pane="bottomRight" activeCell="A4" sqref="A4:AD4"/>
      <pageMargins left="0.7" right="0.7" top="0.75" bottom="0.75" header="0.3" footer="0.3"/>
      <pageSetup paperSize="9" orientation="portrait" r:id="rId13"/>
    </customSheetView>
    <customSheetView guid="{C236B307-BD63-48C4-A75F-B3F3717BF55C}" scale="70">
      <pane xSplit="2" ySplit="9" topLeftCell="C25" activePane="bottomRight" state="frozen"/>
      <selection pane="bottomRight" activeCell="A27" sqref="A27"/>
      <pageMargins left="0.7" right="0.7" top="0.75" bottom="0.75" header="0.3" footer="0.3"/>
      <pageSetup paperSize="9" orientation="portrait" r:id="rId14"/>
    </customSheetView>
    <customSheetView guid="{874882D1-E741-4CCA-BF0D-E72FA60B771D}" scale="70">
      <pane xSplit="2" ySplit="9" topLeftCell="C25" activePane="bottomRight" state="frozen"/>
      <selection pane="bottomRight" activeCell="A27" sqref="A27"/>
      <pageMargins left="0.7" right="0.7" top="0.75" bottom="0.75" header="0.3" footer="0.3"/>
      <pageSetup paperSize="9" orientation="portrait" r:id="rId15"/>
    </customSheetView>
    <customSheetView guid="{B82BA08A-1A30-4F4D-A478-74A6BD09EA97}" scale="70">
      <pane xSplit="2" ySplit="9" topLeftCell="C10" activePane="bottomRight" state="frozen"/>
      <selection pane="bottomRight" activeCell="I20" sqref="I20"/>
      <pageMargins left="0.7" right="0.7" top="0.75" bottom="0.75" header="0.3" footer="0.3"/>
      <pageSetup paperSize="9" orientation="portrait" r:id="rId16"/>
    </customSheetView>
    <customSheetView guid="{770624BF-07F3-44B6-94C3-4CC447CDD45C}" scale="90">
      <pane xSplit="2" ySplit="9" topLeftCell="W19" activePane="bottomRight" state="frozen"/>
      <selection pane="bottomRight" activeCell="AI16" sqref="AI16"/>
      <pageMargins left="0.7" right="0.7" top="0.75" bottom="0.75" header="0.3" footer="0.3"/>
      <pageSetup paperSize="9" orientation="portrait" r:id="rId17"/>
    </customSheetView>
    <customSheetView guid="{009B3074-D8EC-4952-BF50-43CD64449612}" scale="90">
      <pane xSplit="2" ySplit="9" topLeftCell="G28" activePane="bottomRight" state="frozen"/>
      <selection pane="bottomRight" activeCell="I30" activeCellId="2" sqref="M30 K30 I30"/>
      <pageMargins left="0.7" right="0.7" top="0.75" bottom="0.75" header="0.3" footer="0.3"/>
      <pageSetup paperSize="9" orientation="portrait" r:id="rId18"/>
    </customSheetView>
    <customSheetView guid="{F679EF4A-C5FD-4B86-B87B-D85968E0F2CA}" scale="90">
      <pane xSplit="2" ySplit="9" topLeftCell="C10" activePane="bottomRight" state="frozen"/>
      <selection pane="bottomRight" activeCell="D16" sqref="D16"/>
      <pageMargins left="0.7" right="0.7" top="0.75" bottom="0.75" header="0.3" footer="0.3"/>
      <pageSetup paperSize="9" orientation="portrait" r:id="rId19"/>
    </customSheetView>
    <customSheetView guid="{959E901C-5DDE-42EE-AE94-AB8976B5E00B}" scale="90">
      <pane xSplit="2" ySplit="9" topLeftCell="C10" activePane="bottomRight" state="frozen"/>
      <selection pane="bottomRight" activeCell="D16" sqref="D16"/>
      <pageMargins left="0.7" right="0.7" top="0.75" bottom="0.75" header="0.3" footer="0.3"/>
      <pageSetup paperSize="9" orientation="portrait" r:id="rId20"/>
    </customSheetView>
    <customSheetView guid="{533DC55B-6AD4-4674-9488-685EF2039F3E}" scale="90">
      <pane xSplit="2" ySplit="9" topLeftCell="C10" activePane="bottomRight" state="frozen"/>
      <selection pane="bottomRight" activeCell="D16" sqref="D16"/>
      <pageMargins left="0.7" right="0.7" top="0.75" bottom="0.75" header="0.3" footer="0.3"/>
      <pageSetup paperSize="9" orientation="portrait" r:id="rId21"/>
    </customSheetView>
    <customSheetView guid="{87218168-6C8E-4D5B-A5E5-DCCC26803AA3}" scale="55">
      <pane xSplit="2" ySplit="9" topLeftCell="C10" activePane="bottomRight" state="frozen"/>
      <selection pane="bottomRight" activeCell="B23" sqref="B23"/>
      <pageMargins left="0.7" right="0.7" top="0.75" bottom="0.75" header="0.3" footer="0.3"/>
      <pageSetup paperSize="9" orientation="portrait" r:id="rId22"/>
    </customSheetView>
    <customSheetView guid="{DAA8A688-7558-4B5B-8DBD-E2629BD9E9A8}" scale="70">
      <pane xSplit="2" ySplit="9" topLeftCell="C13" activePane="bottomRight" state="frozen"/>
      <selection pane="bottomRight" activeCell="D14" sqref="D14"/>
      <pageMargins left="0.7" right="0.7" top="0.75" bottom="0.75" header="0.3" footer="0.3"/>
      <pageSetup paperSize="9" orientation="portrait" r:id="rId23"/>
    </customSheetView>
    <customSheetView guid="{391AB76E-B386-49C1-800F-016A48AA1A46}" scale="70">
      <pane xSplit="2" ySplit="9" topLeftCell="C16" activePane="bottomRight" state="frozen"/>
      <selection pane="bottomRight" activeCell="E31" sqref="E31"/>
      <pageMargins left="0.7" right="0.7" top="0.75" bottom="0.75" header="0.3" footer="0.3"/>
      <pageSetup paperSize="9" orientation="portrait" r:id="rId24"/>
    </customSheetView>
    <customSheetView guid="{09C3E205-981E-4A4E-BE89-8B7044192060}" scale="70">
      <pane xSplit="2" ySplit="9" topLeftCell="C16" activePane="bottomRight" state="frozen"/>
      <selection pane="bottomRight" activeCell="E31" sqref="E31"/>
      <pageMargins left="0.7" right="0.7" top="0.75" bottom="0.75" header="0.3" footer="0.3"/>
      <pageSetup paperSize="9" orientation="portrait" r:id="rId25"/>
    </customSheetView>
    <customSheetView guid="{84867370-1F3E-4368-AF79-FBCE46FFFE92}" scale="70">
      <pane xSplit="2" ySplit="9" topLeftCell="C16" activePane="bottomRight" state="frozen"/>
      <selection pane="bottomRight" activeCell="E31" sqref="E31"/>
      <pageMargins left="0.7" right="0.7" top="0.75" bottom="0.75" header="0.3" footer="0.3"/>
      <pageSetup paperSize="9" orientation="portrait" r:id="rId26"/>
    </customSheetView>
    <customSheetView guid="{0C2B9C2A-7B94-41EF-A2E6-F8AC9A67DE25}" scale="70">
      <pane xSplit="2" ySplit="9" topLeftCell="C16" activePane="bottomRight" state="frozen"/>
      <selection pane="bottomRight" activeCell="E31" sqref="E31"/>
      <pageMargins left="0.7" right="0.7" top="0.75" bottom="0.75" header="0.3" footer="0.3"/>
      <pageSetup paperSize="9" orientation="portrait" r:id="rId27"/>
    </customSheetView>
    <customSheetView guid="{CB4792DB-A624-4844-AEB6-A6ADA80946BB}" scale="70">
      <pane xSplit="2" ySplit="9" topLeftCell="C10" activePane="bottomRight" state="frozen"/>
      <selection pane="bottomRight" activeCell="A14" sqref="A14"/>
      <pageMargins left="0.7" right="0.7" top="0.75" bottom="0.75" header="0.3" footer="0.3"/>
      <pageSetup paperSize="9" orientation="portrait" r:id="rId28"/>
    </customSheetView>
    <customSheetView guid="{74870EE6-26B9-40F7-9DC9-260EF16D8959}" scale="70">
      <pane xSplit="2" ySplit="9" topLeftCell="C16" activePane="bottomRight" state="frozen"/>
      <selection pane="bottomRight" activeCell="E31" sqref="E31"/>
      <pageMargins left="0.7" right="0.7" top="0.75" bottom="0.75" header="0.3" footer="0.3"/>
      <pageSetup paperSize="9" orientation="portrait" r:id="rId29"/>
    </customSheetView>
    <customSheetView guid="{6A602CB8-B24C-4ED4-B378-B27354BE0A1A}" scale="85">
      <pane xSplit="2" ySplit="9" topLeftCell="C10" activePane="bottomRight" state="frozen"/>
      <selection pane="bottomRight" activeCell="D19" sqref="D19"/>
      <pageMargins left="0.7" right="0.7" top="0.75" bottom="0.75" header="0.3" footer="0.3"/>
      <pageSetup paperSize="9" orientation="portrait" r:id="rId30"/>
    </customSheetView>
    <customSheetView guid="{4F41B9CC-959D-442C-80B0-1F0DB2C76D27}" scale="85">
      <pane xSplit="2" ySplit="8" topLeftCell="C10" activePane="bottomRight" state="frozen"/>
      <selection pane="bottomRight" activeCell="D19" sqref="D19"/>
      <pageMargins left="0.7" right="0.7" top="0.75" bottom="0.75" header="0.3" footer="0.3"/>
      <pageSetup paperSize="9" orientation="portrait" r:id="rId31"/>
    </customSheetView>
    <customSheetView guid="{47B983AB-FE5F-4725-860C-A2F29420596D}" scale="85">
      <pane xSplit="2" ySplit="9" topLeftCell="C10" activePane="bottomRight" state="frozen"/>
      <selection pane="bottomRight" activeCell="D19" sqref="D19"/>
      <pageMargins left="0.7" right="0.7" top="0.75" bottom="0.75" header="0.3" footer="0.3"/>
      <pageSetup paperSize="9" orientation="portrait" r:id="rId32"/>
    </customSheetView>
  </customSheetViews>
  <mergeCells count="21">
    <mergeCell ref="A1:AD1"/>
    <mergeCell ref="A2:AD2"/>
    <mergeCell ref="A3:AD3"/>
    <mergeCell ref="A4:AD4"/>
    <mergeCell ref="AB5:AD5"/>
    <mergeCell ref="Z6:AA6"/>
    <mergeCell ref="AB6:AC6"/>
    <mergeCell ref="AD6:AE6"/>
    <mergeCell ref="AF6:AF7"/>
    <mergeCell ref="A9:AF9"/>
    <mergeCell ref="N6:O6"/>
    <mergeCell ref="P6:Q6"/>
    <mergeCell ref="R6:S6"/>
    <mergeCell ref="T6:U6"/>
    <mergeCell ref="V6:W6"/>
    <mergeCell ref="X6:Y6"/>
    <mergeCell ref="A6:A7"/>
    <mergeCell ref="F6:G6"/>
    <mergeCell ref="H6:I6"/>
    <mergeCell ref="J6:K6"/>
    <mergeCell ref="L6:M6"/>
  </mergeCells>
  <hyperlinks>
    <hyperlink ref="A4:AD4" location="Оглавление!A1" display="Комплексный план (сетевой график) по реализации муниципальной программы &quot;Управление муниципальными финансами в городе Когалыме&quot;"/>
  </hyperlinks>
  <pageMargins left="0.7" right="0.7" top="0.75" bottom="0.75" header="0.3" footer="0.3"/>
  <pageSetup paperSize="9" orientation="portrait"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3C3F523F-5F34-4CF7-831E-F1ABC4278CEB}" state="hidden">
      <pageMargins left="0.7" right="0.7" top="0.75" bottom="0.75" header="0.3" footer="0.3"/>
    </customSheetView>
    <customSheetView guid="{D01FA037-9AEC-4167-ADB8-2F327C01ECE6}" state="hidden">
      <pageMargins left="0.7" right="0.7" top="0.75" bottom="0.75" header="0.3" footer="0.3"/>
    </customSheetView>
    <customSheetView guid="{602C8EDB-B9EF-4C85-B0D5-0558C3A0ABAB}" state="hidden">
      <pageMargins left="0.7" right="0.7" top="0.75" bottom="0.75" header="0.3" footer="0.3"/>
    </customSheetView>
    <customSheetView guid="{69DABE6F-6182-4403-A4A2-969F10F1C13A}" state="hidden">
      <pageMargins left="0.7" right="0.7" top="0.75" bottom="0.75" header="0.3" footer="0.3"/>
    </customSheetView>
    <customSheetView guid="{E508E171-4ED9-4B07-84DF-DA28C60E1969}" state="hidden">
      <pageMargins left="0.7" right="0.7" top="0.75" bottom="0.75" header="0.3" footer="0.3"/>
    </customSheetView>
    <customSheetView guid="{AC2D5927-4079-4C74-AF69-1BFAC505648F}" state="hidden">
      <pageMargins left="0.7" right="0.7" top="0.75" bottom="0.75" header="0.3" footer="0.3"/>
    </customSheetView>
    <customSheetView guid="{442F2C94-DD1B-4A01-8694-513D4D6F3BD9}" state="hidden">
      <pageMargins left="0.7" right="0.7" top="0.75" bottom="0.75" header="0.3" footer="0.3"/>
    </customSheetView>
    <customSheetView guid="{CE1CCA00-200D-4EAA-9FBE-F8EE7C5F82FE}" state="hidden">
      <pageMargins left="0.7" right="0.7" top="0.75" bottom="0.75" header="0.3" footer="0.3"/>
    </customSheetView>
    <customSheetView guid="{4D0DFB57-2CBA-42F2-9A97-C453A6851FBA}" state="hidden">
      <pageMargins left="0.7" right="0.7" top="0.75" bottom="0.75" header="0.3" footer="0.3"/>
    </customSheetView>
    <customSheetView guid="{85F4575B-DBC5-482A-9916-255D8F0BC94E}">
      <pageMargins left="0.7" right="0.7" top="0.75" bottom="0.75" header="0.3" footer="0.3"/>
    </customSheetView>
    <customSheetView guid="{B1BF08D1-D416-4B47-ADD0-4F59132DC9E8}">
      <pageMargins left="0.7" right="0.7" top="0.75" bottom="0.75" header="0.3" footer="0.3"/>
    </customSheetView>
    <customSheetView guid="{C236B307-BD63-48C4-A75F-B3F3717BF55C}">
      <pageMargins left="0.7" right="0.7" top="0.75" bottom="0.75" header="0.3" footer="0.3"/>
    </customSheetView>
    <customSheetView guid="{874882D1-E741-4CCA-BF0D-E72FA60B771D}">
      <pageMargins left="0.7" right="0.7" top="0.75" bottom="0.75" header="0.3" footer="0.3"/>
    </customSheetView>
    <customSheetView guid="{B82BA08A-1A30-4F4D-A478-74A6BD09EA97}">
      <pageMargins left="0.7" right="0.7" top="0.75" bottom="0.75" header="0.3" footer="0.3"/>
    </customSheetView>
    <customSheetView guid="{770624BF-07F3-44B6-94C3-4CC447CDD45C}">
      <pageMargins left="0.7" right="0.7" top="0.75" bottom="0.75" header="0.3" footer="0.3"/>
    </customSheetView>
    <customSheetView guid="{009B3074-D8EC-4952-BF50-43CD64449612}">
      <pageMargins left="0.7" right="0.7" top="0.75" bottom="0.75" header="0.3" footer="0.3"/>
    </customSheetView>
    <customSheetView guid="{F679EF4A-C5FD-4B86-B87B-D85968E0F2CA}">
      <pageMargins left="0.7" right="0.7" top="0.75" bottom="0.75" header="0.3" footer="0.3"/>
    </customSheetView>
    <customSheetView guid="{959E901C-5DDE-42EE-AE94-AB8976B5E00B}">
      <pageMargins left="0.7" right="0.7" top="0.75" bottom="0.75" header="0.3" footer="0.3"/>
    </customSheetView>
    <customSheetView guid="{533DC55B-6AD4-4674-9488-685EF2039F3E}" state="hidden">
      <pageMargins left="0.7" right="0.7" top="0.75" bottom="0.75" header="0.3" footer="0.3"/>
    </customSheetView>
    <customSheetView guid="{87218168-6C8E-4D5B-A5E5-DCCC26803AA3}" state="hidden">
      <pageMargins left="0.7" right="0.7" top="0.75" bottom="0.75" header="0.3" footer="0.3"/>
    </customSheetView>
    <customSheetView guid="{DAA8A688-7558-4B5B-8DBD-E2629BD9E9A8}" state="hidden">
      <pageMargins left="0.7" right="0.7" top="0.75" bottom="0.75" header="0.3" footer="0.3"/>
    </customSheetView>
    <customSheetView guid="{391AB76E-B386-49C1-800F-016A48AA1A46}" state="hidden">
      <pageMargins left="0.7" right="0.7" top="0.75" bottom="0.75" header="0.3" footer="0.3"/>
    </customSheetView>
    <customSheetView guid="{09C3E205-981E-4A4E-BE89-8B7044192060}" state="hidden">
      <pageMargins left="0.7" right="0.7" top="0.75" bottom="0.75" header="0.3" footer="0.3"/>
    </customSheetView>
    <customSheetView guid="{84867370-1F3E-4368-AF79-FBCE46FFFE92}" state="hidden">
      <pageMargins left="0.7" right="0.7" top="0.75" bottom="0.75" header="0.3" footer="0.3"/>
    </customSheetView>
    <customSheetView guid="{0C2B9C2A-7B94-41EF-A2E6-F8AC9A67DE25}" state="hidden">
      <pageMargins left="0.7" right="0.7" top="0.75" bottom="0.75" header="0.3" footer="0.3"/>
    </customSheetView>
    <customSheetView guid="{CB4792DB-A624-4844-AEB6-A6ADA80946BB}" state="hidden">
      <pageMargins left="0.7" right="0.7" top="0.75" bottom="0.75" header="0.3" footer="0.3"/>
    </customSheetView>
    <customSheetView guid="{74870EE6-26B9-40F7-9DC9-260EF16D8959}" state="hidden">
      <pageMargins left="0.7" right="0.7" top="0.75" bottom="0.75" header="0.3" footer="0.3"/>
    </customSheetView>
    <customSheetView guid="{6A602CB8-B24C-4ED4-B378-B27354BE0A1A}" state="hidden">
      <pageMargins left="0.7" right="0.7" top="0.75" bottom="0.75" header="0.3" footer="0.3"/>
    </customSheetView>
    <customSheetView guid="{4F41B9CC-959D-442C-80B0-1F0DB2C76D27}" state="hidden">
      <pageMargins left="0.7" right="0.7" top="0.75" bottom="0.75" header="0.3" footer="0.3"/>
    </customSheetView>
    <customSheetView guid="{47B983AB-FE5F-4725-860C-A2F29420596D}" state="hidden">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G136"/>
  <sheetViews>
    <sheetView zoomScale="60" zoomScaleNormal="60" workbookViewId="0">
      <pane xSplit="2" ySplit="11" topLeftCell="Z27" activePane="bottomRight" state="frozen"/>
      <selection activeCell="F284" sqref="F284:G284"/>
      <selection pane="topRight" activeCell="F284" sqref="F284:G284"/>
      <selection pane="bottomLeft" activeCell="F284" sqref="F284:G284"/>
      <selection pane="bottomRight" activeCell="AA37" sqref="AA37"/>
    </sheetView>
  </sheetViews>
  <sheetFormatPr defaultColWidth="9.140625" defaultRowHeight="18.75" x14ac:dyDescent="0.3"/>
  <cols>
    <col min="1" max="1" width="45.42578125" style="33" customWidth="1"/>
    <col min="2" max="3" width="16.7109375" style="33" customWidth="1"/>
    <col min="4" max="4" width="14.5703125" style="33" customWidth="1"/>
    <col min="5" max="5" width="16.42578125" style="33" customWidth="1"/>
    <col min="6" max="6" width="12.42578125" style="33" customWidth="1"/>
    <col min="7" max="7" width="12.85546875" style="33" customWidth="1"/>
    <col min="8" max="8" width="17.7109375" style="33" customWidth="1"/>
    <col min="9" max="9" width="13.140625" style="33" customWidth="1"/>
    <col min="10" max="10" width="14.7109375" style="33" customWidth="1"/>
    <col min="11" max="11" width="14.42578125" style="33" customWidth="1"/>
    <col min="12" max="12" width="14.85546875" style="33" customWidth="1"/>
    <col min="13" max="13" width="14.5703125" style="33" customWidth="1"/>
    <col min="14" max="14" width="14.42578125" style="33" customWidth="1"/>
    <col min="15" max="15" width="14.5703125" style="33" customWidth="1"/>
    <col min="16" max="17" width="13.42578125" style="33" customWidth="1"/>
    <col min="18" max="18" width="15.5703125" style="33" customWidth="1"/>
    <col min="19" max="27" width="13.42578125" style="33" customWidth="1"/>
    <col min="28" max="28" width="15.140625" style="33" customWidth="1"/>
    <col min="29" max="29" width="13.42578125" style="33" customWidth="1"/>
    <col min="30" max="30" width="15.85546875" style="33" customWidth="1"/>
    <col min="31" max="31" width="13.42578125" style="33" customWidth="1"/>
    <col min="32" max="32" width="17.7109375" style="33" customWidth="1"/>
    <col min="33" max="33" width="15" style="33" hidden="1" customWidth="1"/>
    <col min="34" max="16384" width="9.140625" style="33"/>
  </cols>
  <sheetData>
    <row r="4" spans="1:33" x14ac:dyDescent="0.3">
      <c r="A4" s="1061" t="s">
        <v>316</v>
      </c>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6" spans="1:33" ht="50.25" customHeight="1" x14ac:dyDescent="0.3">
      <c r="A6" s="1062" t="s">
        <v>163</v>
      </c>
      <c r="B6" s="95" t="s">
        <v>3</v>
      </c>
      <c r="C6" s="95" t="s">
        <v>3</v>
      </c>
      <c r="D6" s="95" t="s">
        <v>4</v>
      </c>
      <c r="E6" s="95" t="s">
        <v>5</v>
      </c>
      <c r="F6" s="1063" t="s">
        <v>6</v>
      </c>
      <c r="G6" s="1064"/>
      <c r="H6" s="1063" t="s">
        <v>7</v>
      </c>
      <c r="I6" s="1065"/>
      <c r="J6" s="1063" t="s">
        <v>8</v>
      </c>
      <c r="K6" s="1065"/>
      <c r="L6" s="1063" t="s">
        <v>9</v>
      </c>
      <c r="M6" s="1065"/>
      <c r="N6" s="1063" t="s">
        <v>10</v>
      </c>
      <c r="O6" s="1065"/>
      <c r="P6" s="1063" t="s">
        <v>11</v>
      </c>
      <c r="Q6" s="1065"/>
      <c r="R6" s="1063" t="s">
        <v>12</v>
      </c>
      <c r="S6" s="1065"/>
      <c r="T6" s="1063" t="s">
        <v>13</v>
      </c>
      <c r="U6" s="1065"/>
      <c r="V6" s="1063" t="s">
        <v>14</v>
      </c>
      <c r="W6" s="1065"/>
      <c r="X6" s="1063" t="s">
        <v>15</v>
      </c>
      <c r="Y6" s="1065"/>
      <c r="Z6" s="1063" t="s">
        <v>16</v>
      </c>
      <c r="AA6" s="1065"/>
      <c r="AB6" s="1063" t="s">
        <v>17</v>
      </c>
      <c r="AC6" s="1065"/>
      <c r="AD6" s="1066" t="s">
        <v>18</v>
      </c>
      <c r="AE6" s="1066"/>
      <c r="AF6" s="1052" t="s">
        <v>19</v>
      </c>
    </row>
    <row r="7" spans="1:33" ht="56.25" x14ac:dyDescent="0.3">
      <c r="A7" s="1062"/>
      <c r="B7" s="3">
        <v>2024</v>
      </c>
      <c r="C7" s="4">
        <v>45444</v>
      </c>
      <c r="D7" s="4">
        <v>45444</v>
      </c>
      <c r="E7" s="4">
        <v>45444</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53"/>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611" customFormat="1" ht="56.25" x14ac:dyDescent="0.3">
      <c r="A9" s="623" t="s">
        <v>317</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row>
    <row r="10" spans="1:33" s="611" customFormat="1" x14ac:dyDescent="0.3">
      <c r="A10" s="1079" t="s">
        <v>167</v>
      </c>
      <c r="B10" s="1080"/>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1"/>
    </row>
    <row r="11" spans="1:33" s="617" customFormat="1" ht="56.25" customHeight="1" x14ac:dyDescent="0.3">
      <c r="A11" s="612" t="s">
        <v>318</v>
      </c>
      <c r="B11" s="613"/>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5"/>
      <c r="AG11" s="616">
        <f>B11-H11-J11-L11-N11-P11-R11-T11-V11-X11-Z11-AB11-AD11</f>
        <v>0</v>
      </c>
    </row>
    <row r="12" spans="1:33" s="617" customFormat="1" x14ac:dyDescent="0.3">
      <c r="A12" s="618" t="s">
        <v>31</v>
      </c>
      <c r="B12" s="619">
        <f>B13+B14+B15+B16</f>
        <v>0</v>
      </c>
      <c r="C12" s="619">
        <f>C13+C14+C15+C16</f>
        <v>0</v>
      </c>
      <c r="D12" s="619">
        <f>D13+D14+D15+D16</f>
        <v>0</v>
      </c>
      <c r="E12" s="619">
        <f>E13+E14+E15+E16</f>
        <v>0</v>
      </c>
      <c r="F12" s="620">
        <f>IFERROR(E12/B12*100,0)</f>
        <v>0</v>
      </c>
      <c r="G12" s="620">
        <f>IFERROR(E12/C12*100,0)</f>
        <v>0</v>
      </c>
      <c r="H12" s="619">
        <f>H13+H14+H15+H16</f>
        <v>0</v>
      </c>
      <c r="I12" s="619">
        <f t="shared" ref="I12:AE12" si="0">I13+I14+I15+I16</f>
        <v>0</v>
      </c>
      <c r="J12" s="619">
        <f t="shared" si="0"/>
        <v>0</v>
      </c>
      <c r="K12" s="619">
        <f t="shared" si="0"/>
        <v>0</v>
      </c>
      <c r="L12" s="619">
        <f t="shared" si="0"/>
        <v>0</v>
      </c>
      <c r="M12" s="619">
        <f t="shared" si="0"/>
        <v>0</v>
      </c>
      <c r="N12" s="619">
        <f t="shared" si="0"/>
        <v>0</v>
      </c>
      <c r="O12" s="619">
        <f t="shared" si="0"/>
        <v>0</v>
      </c>
      <c r="P12" s="619">
        <f t="shared" si="0"/>
        <v>0</v>
      </c>
      <c r="Q12" s="619">
        <f t="shared" si="0"/>
        <v>0</v>
      </c>
      <c r="R12" s="619">
        <f t="shared" si="0"/>
        <v>0</v>
      </c>
      <c r="S12" s="619">
        <f t="shared" si="0"/>
        <v>0</v>
      </c>
      <c r="T12" s="619">
        <f t="shared" si="0"/>
        <v>0</v>
      </c>
      <c r="U12" s="619">
        <f t="shared" si="0"/>
        <v>0</v>
      </c>
      <c r="V12" s="619">
        <f t="shared" si="0"/>
        <v>0</v>
      </c>
      <c r="W12" s="619">
        <f t="shared" si="0"/>
        <v>0</v>
      </c>
      <c r="X12" s="619">
        <f t="shared" si="0"/>
        <v>0</v>
      </c>
      <c r="Y12" s="619">
        <f t="shared" si="0"/>
        <v>0</v>
      </c>
      <c r="Z12" s="619">
        <f t="shared" si="0"/>
        <v>0</v>
      </c>
      <c r="AA12" s="619">
        <f t="shared" si="0"/>
        <v>0</v>
      </c>
      <c r="AB12" s="619">
        <f t="shared" si="0"/>
        <v>0</v>
      </c>
      <c r="AC12" s="619">
        <f t="shared" si="0"/>
        <v>0</v>
      </c>
      <c r="AD12" s="619">
        <f t="shared" si="0"/>
        <v>0</v>
      </c>
      <c r="AE12" s="619">
        <f t="shared" si="0"/>
        <v>0</v>
      </c>
      <c r="AF12" s="615"/>
      <c r="AG12" s="616">
        <f t="shared" ref="AG12:AG86" si="1">B12-H12-J12-L12-N12-P12-R12-T12-V12-X12-Z12-AB12-AD12</f>
        <v>0</v>
      </c>
    </row>
    <row r="13" spans="1:33" s="617" customFormat="1" x14ac:dyDescent="0.3">
      <c r="A13" s="621" t="s">
        <v>169</v>
      </c>
      <c r="B13" s="622">
        <f>J13+L13+N13+P13+R13+T13+V13+X13+Z13+AB13+AD13+H13</f>
        <v>0</v>
      </c>
      <c r="C13" s="622">
        <f>SUM(H13)</f>
        <v>0</v>
      </c>
      <c r="D13" s="622">
        <f>E13</f>
        <v>0</v>
      </c>
      <c r="E13" s="622">
        <f>SUM(I13,K13,M13,O13,Q13,S13,U13,W13,Y13,AA13,AC13,AE13)</f>
        <v>0</v>
      </c>
      <c r="F13" s="622">
        <f>IFERROR(E13/B13*100,0)</f>
        <v>0</v>
      </c>
      <c r="G13" s="622">
        <f>IFERROR(E13/C13*100,0)</f>
        <v>0</v>
      </c>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15"/>
      <c r="AG13" s="616">
        <f t="shared" si="1"/>
        <v>0</v>
      </c>
    </row>
    <row r="14" spans="1:33" s="617" customFormat="1" x14ac:dyDescent="0.3">
      <c r="A14" s="621" t="s">
        <v>32</v>
      </c>
      <c r="B14" s="622">
        <f>J14+L14+N14+P14+R14+T14+V14+X14+Z14+AB14+AD14+H14</f>
        <v>0</v>
      </c>
      <c r="C14" s="622">
        <f>SUM(H14)</f>
        <v>0</v>
      </c>
      <c r="D14" s="622">
        <f>E14</f>
        <v>0</v>
      </c>
      <c r="E14" s="622">
        <f>SUM(I14,K14,M14,O14,Q14,S14,U14,W14,Y14,AA14,AC14,AE14)</f>
        <v>0</v>
      </c>
      <c r="F14" s="622">
        <f>IFERROR(E14/B14*100,0)</f>
        <v>0</v>
      </c>
      <c r="G14" s="622">
        <f>IFERROR(E14/C14*100,0)</f>
        <v>0</v>
      </c>
      <c r="H14" s="622"/>
      <c r="I14" s="622"/>
      <c r="J14" s="622"/>
      <c r="K14" s="622"/>
      <c r="L14" s="622"/>
      <c r="M14" s="622"/>
      <c r="N14" s="622"/>
      <c r="O14" s="622"/>
      <c r="P14" s="622"/>
      <c r="Q14" s="622"/>
      <c r="R14" s="622"/>
      <c r="S14" s="622"/>
      <c r="T14" s="622"/>
      <c r="U14" s="622"/>
      <c r="V14" s="622"/>
      <c r="W14" s="622"/>
      <c r="X14" s="622"/>
      <c r="Y14" s="622"/>
      <c r="Z14" s="622"/>
      <c r="AA14" s="622"/>
      <c r="AB14" s="622">
        <v>0</v>
      </c>
      <c r="AC14" s="622"/>
      <c r="AD14" s="622"/>
      <c r="AE14" s="622"/>
      <c r="AF14" s="615"/>
      <c r="AG14" s="616">
        <f t="shared" si="1"/>
        <v>0</v>
      </c>
    </row>
    <row r="15" spans="1:33" s="617" customFormat="1" x14ac:dyDescent="0.3">
      <c r="A15" s="621" t="s">
        <v>33</v>
      </c>
      <c r="B15" s="622">
        <f>J15+L15+N15+P15+R15+T15+V15+X15+Z15+AB15+AD15+H15</f>
        <v>0</v>
      </c>
      <c r="C15" s="622">
        <f>SUM(H15)</f>
        <v>0</v>
      </c>
      <c r="D15" s="622">
        <f>E15</f>
        <v>0</v>
      </c>
      <c r="E15" s="622">
        <f>SUM(I15,K15,M15,O15,Q15,S15,U15,W15,Y15,AA15,AC15,AE15)</f>
        <v>0</v>
      </c>
      <c r="F15" s="622">
        <f>IFERROR(E15/B15*100,0)</f>
        <v>0</v>
      </c>
      <c r="G15" s="622">
        <f>IFERROR(E15/C15*100,0)</f>
        <v>0</v>
      </c>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15"/>
      <c r="AG15" s="616">
        <f t="shared" si="1"/>
        <v>0</v>
      </c>
    </row>
    <row r="16" spans="1:33" s="617" customFormat="1" x14ac:dyDescent="0.3">
      <c r="A16" s="621" t="s">
        <v>170</v>
      </c>
      <c r="B16" s="622">
        <f>J16+L16+N16+P16+R16+T16+V16+X16+Z16+AB16+AD16+H16</f>
        <v>0</v>
      </c>
      <c r="C16" s="622">
        <f>SUM(H16)</f>
        <v>0</v>
      </c>
      <c r="D16" s="622">
        <f>E16</f>
        <v>0</v>
      </c>
      <c r="E16" s="622">
        <f>SUM(I16,K16,M16,O16,Q16,S16,U16,W16,Y16,AA16,AC16,AE16)</f>
        <v>0</v>
      </c>
      <c r="F16" s="622">
        <f>IFERROR(E16/B16*100,0)</f>
        <v>0</v>
      </c>
      <c r="G16" s="622">
        <f>IFERROR(E16/C16*100,0)</f>
        <v>0</v>
      </c>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15"/>
      <c r="AG16" s="616">
        <f t="shared" si="1"/>
        <v>0</v>
      </c>
    </row>
    <row r="17" spans="1:33" s="617" customFormat="1" ht="109.5" customHeight="1" x14ac:dyDescent="0.3">
      <c r="A17" s="612" t="s">
        <v>319</v>
      </c>
      <c r="B17" s="613"/>
      <c r="C17" s="614"/>
      <c r="D17" s="614"/>
      <c r="E17" s="614"/>
      <c r="F17" s="614"/>
      <c r="G17" s="614"/>
      <c r="H17" s="614"/>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5"/>
      <c r="AG17" s="616">
        <f t="shared" ref="AG17:AG22" si="2">B17-H17-J17-L17-N17-P17-R17-T17-V17-X17-Z17-AB17-AD17</f>
        <v>0</v>
      </c>
    </row>
    <row r="18" spans="1:33" s="617" customFormat="1" x14ac:dyDescent="0.3">
      <c r="A18" s="618" t="s">
        <v>31</v>
      </c>
      <c r="B18" s="619">
        <f>B19+B20+B21+B22</f>
        <v>0</v>
      </c>
      <c r="C18" s="619">
        <f>C19+C20+C21+C22</f>
        <v>0</v>
      </c>
      <c r="D18" s="619">
        <f>D19+D20+D21+D22</f>
        <v>0</v>
      </c>
      <c r="E18" s="619">
        <f>E19+E20+E21+E22</f>
        <v>0</v>
      </c>
      <c r="F18" s="620">
        <f>IFERROR(E18/B18*100,0)</f>
        <v>0</v>
      </c>
      <c r="G18" s="620">
        <f>IFERROR(E18/C18*100,0)</f>
        <v>0</v>
      </c>
      <c r="H18" s="619">
        <f>H19+H20+H21+H22</f>
        <v>0</v>
      </c>
      <c r="I18" s="619">
        <f t="shared" ref="I18:AE18" si="3">I19+I20+I21+I22</f>
        <v>0</v>
      </c>
      <c r="J18" s="619">
        <f t="shared" si="3"/>
        <v>0</v>
      </c>
      <c r="K18" s="619">
        <f t="shared" si="3"/>
        <v>0</v>
      </c>
      <c r="L18" s="619">
        <f t="shared" si="3"/>
        <v>0</v>
      </c>
      <c r="M18" s="619">
        <f t="shared" si="3"/>
        <v>0</v>
      </c>
      <c r="N18" s="619">
        <f t="shared" si="3"/>
        <v>0</v>
      </c>
      <c r="O18" s="619">
        <f t="shared" si="3"/>
        <v>0</v>
      </c>
      <c r="P18" s="619">
        <f t="shared" si="3"/>
        <v>0</v>
      </c>
      <c r="Q18" s="619">
        <f t="shared" si="3"/>
        <v>0</v>
      </c>
      <c r="R18" s="619">
        <f t="shared" si="3"/>
        <v>0</v>
      </c>
      <c r="S18" s="619">
        <f t="shared" si="3"/>
        <v>0</v>
      </c>
      <c r="T18" s="619">
        <f t="shared" si="3"/>
        <v>0</v>
      </c>
      <c r="U18" s="619">
        <f t="shared" si="3"/>
        <v>0</v>
      </c>
      <c r="V18" s="619">
        <f t="shared" si="3"/>
        <v>0</v>
      </c>
      <c r="W18" s="619">
        <f t="shared" si="3"/>
        <v>0</v>
      </c>
      <c r="X18" s="619">
        <f t="shared" si="3"/>
        <v>0</v>
      </c>
      <c r="Y18" s="619">
        <f t="shared" si="3"/>
        <v>0</v>
      </c>
      <c r="Z18" s="619">
        <f t="shared" si="3"/>
        <v>0</v>
      </c>
      <c r="AA18" s="619">
        <f t="shared" si="3"/>
        <v>0</v>
      </c>
      <c r="AB18" s="619">
        <f t="shared" si="3"/>
        <v>0</v>
      </c>
      <c r="AC18" s="619">
        <f t="shared" si="3"/>
        <v>0</v>
      </c>
      <c r="AD18" s="619">
        <f t="shared" si="3"/>
        <v>0</v>
      </c>
      <c r="AE18" s="619">
        <f t="shared" si="3"/>
        <v>0</v>
      </c>
      <c r="AF18" s="615"/>
      <c r="AG18" s="616">
        <f t="shared" si="2"/>
        <v>0</v>
      </c>
    </row>
    <row r="19" spans="1:33" s="617" customFormat="1" x14ac:dyDescent="0.3">
      <c r="A19" s="621" t="s">
        <v>169</v>
      </c>
      <c r="B19" s="622">
        <f>J19+L19+N19+P19+R19+T19+V19+X19+Z19+AB19+AD19+H19</f>
        <v>0</v>
      </c>
      <c r="C19" s="622">
        <f>SUM(H19)</f>
        <v>0</v>
      </c>
      <c r="D19" s="622">
        <f>E19</f>
        <v>0</v>
      </c>
      <c r="E19" s="622">
        <f>SUM(I19,K19,M19,O19,Q19,S19,U19,W19,Y19,AA19,AC19,AE19)</f>
        <v>0</v>
      </c>
      <c r="F19" s="622">
        <f>IFERROR(E19/B19*100,0)</f>
        <v>0</v>
      </c>
      <c r="G19" s="622">
        <f>IFERROR(E19/C19*100,0)</f>
        <v>0</v>
      </c>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15"/>
      <c r="AG19" s="616">
        <f t="shared" si="2"/>
        <v>0</v>
      </c>
    </row>
    <row r="20" spans="1:33" s="617" customFormat="1" x14ac:dyDescent="0.3">
      <c r="A20" s="621" t="s">
        <v>32</v>
      </c>
      <c r="B20" s="622">
        <f>J20+L20+N20+P20+R20+T20+V20+X20+Z20+AB20+AD20+H20</f>
        <v>0</v>
      </c>
      <c r="C20" s="622">
        <f>SUM(H20)</f>
        <v>0</v>
      </c>
      <c r="D20" s="622">
        <f>E20</f>
        <v>0</v>
      </c>
      <c r="E20" s="622">
        <f>SUM(I20,K20,M20,O20,Q20,S20,U20,W20,Y20,AA20,AC20,AE20)</f>
        <v>0</v>
      </c>
      <c r="F20" s="622">
        <f>IFERROR(E20/B20*100,0)</f>
        <v>0</v>
      </c>
      <c r="G20" s="622">
        <f>IFERROR(E20/C20*100,0)</f>
        <v>0</v>
      </c>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15"/>
      <c r="AG20" s="616">
        <f t="shared" si="2"/>
        <v>0</v>
      </c>
    </row>
    <row r="21" spans="1:33" s="617" customFormat="1" x14ac:dyDescent="0.3">
      <c r="A21" s="621" t="s">
        <v>33</v>
      </c>
      <c r="B21" s="622">
        <f>J21+L21+N21+P21+R21+T21+V21+X21+Z21+AB21+AD21+H21</f>
        <v>0</v>
      </c>
      <c r="C21" s="622">
        <f>SUM(H21)</f>
        <v>0</v>
      </c>
      <c r="D21" s="622">
        <f>E21</f>
        <v>0</v>
      </c>
      <c r="E21" s="622">
        <f>SUM(I21,K21,M21,O21,Q21,S21,U21,W21,Y21,AA21,AC21,AE21)</f>
        <v>0</v>
      </c>
      <c r="F21" s="622">
        <f>IFERROR(E21/B21*100,0)</f>
        <v>0</v>
      </c>
      <c r="G21" s="622">
        <f>IFERROR(E21/C21*100,0)</f>
        <v>0</v>
      </c>
      <c r="H21" s="622"/>
      <c r="I21" s="622"/>
      <c r="J21" s="622"/>
      <c r="K21" s="622"/>
      <c r="L21" s="622">
        <v>0</v>
      </c>
      <c r="M21" s="622"/>
      <c r="N21" s="622"/>
      <c r="O21" s="622"/>
      <c r="P21" s="622"/>
      <c r="Q21" s="622"/>
      <c r="R21" s="622"/>
      <c r="S21" s="622"/>
      <c r="T21" s="622"/>
      <c r="U21" s="622"/>
      <c r="V21" s="622"/>
      <c r="W21" s="622"/>
      <c r="X21" s="622"/>
      <c r="Y21" s="622"/>
      <c r="Z21" s="622"/>
      <c r="AA21" s="622"/>
      <c r="AB21" s="622">
        <v>0</v>
      </c>
      <c r="AC21" s="622"/>
      <c r="AD21" s="622">
        <v>0</v>
      </c>
      <c r="AE21" s="622"/>
      <c r="AF21" s="615"/>
      <c r="AG21" s="616">
        <f t="shared" si="2"/>
        <v>0</v>
      </c>
    </row>
    <row r="22" spans="1:33" s="617" customFormat="1" x14ac:dyDescent="0.3">
      <c r="A22" s="621" t="s">
        <v>170</v>
      </c>
      <c r="B22" s="622">
        <f>J22+L22+N22+P22+R22+T22+V22+X22+Z22+AB22+AD22+H22</f>
        <v>0</v>
      </c>
      <c r="C22" s="622">
        <f>SUM(H22)</f>
        <v>0</v>
      </c>
      <c r="D22" s="622">
        <f>E22</f>
        <v>0</v>
      </c>
      <c r="E22" s="622">
        <f>SUM(I22,K22,M22,O22,Q22,S22,U22,W22,Y22,AA22,AC22,AE22)</f>
        <v>0</v>
      </c>
      <c r="F22" s="622">
        <f>IFERROR(E22/B22*100,0)</f>
        <v>0</v>
      </c>
      <c r="G22" s="622">
        <f>IFERROR(E22/C22*100,0)</f>
        <v>0</v>
      </c>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15"/>
      <c r="AG22" s="616">
        <f t="shared" si="2"/>
        <v>0</v>
      </c>
    </row>
    <row r="23" spans="1:33" s="611" customFormat="1" x14ac:dyDescent="0.3">
      <c r="A23" s="1079" t="s">
        <v>54</v>
      </c>
      <c r="B23" s="1080"/>
      <c r="C23" s="1080"/>
      <c r="D23" s="1080"/>
      <c r="E23" s="1080"/>
      <c r="F23" s="108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1"/>
      <c r="AG23" s="616">
        <f t="shared" si="1"/>
        <v>0</v>
      </c>
    </row>
    <row r="24" spans="1:33" s="922" customFormat="1" ht="56.25" x14ac:dyDescent="0.3">
      <c r="A24" s="917" t="s">
        <v>320</v>
      </c>
      <c r="B24" s="918"/>
      <c r="C24" s="919"/>
      <c r="D24" s="919"/>
      <c r="E24" s="919"/>
      <c r="F24" s="919"/>
      <c r="G24" s="919"/>
      <c r="H24" s="918"/>
      <c r="I24" s="918"/>
      <c r="J24" s="918"/>
      <c r="K24" s="918"/>
      <c r="L24" s="918"/>
      <c r="M24" s="918"/>
      <c r="N24" s="918"/>
      <c r="O24" s="918"/>
      <c r="P24" s="918"/>
      <c r="Q24" s="918"/>
      <c r="R24" s="918"/>
      <c r="S24" s="918"/>
      <c r="T24" s="918"/>
      <c r="U24" s="918"/>
      <c r="V24" s="918"/>
      <c r="W24" s="918"/>
      <c r="X24" s="918"/>
      <c r="Y24" s="918"/>
      <c r="Z24" s="918"/>
      <c r="AA24" s="918"/>
      <c r="AB24" s="918"/>
      <c r="AC24" s="918"/>
      <c r="AD24" s="918"/>
      <c r="AE24" s="918"/>
      <c r="AF24" s="920"/>
      <c r="AG24" s="921">
        <f t="shared" si="1"/>
        <v>0</v>
      </c>
    </row>
    <row r="25" spans="1:33" s="922" customFormat="1" x14ac:dyDescent="0.3">
      <c r="A25" s="923" t="s">
        <v>31</v>
      </c>
      <c r="B25" s="924">
        <f>B26+B27+B28+B30</f>
        <v>7926.21</v>
      </c>
      <c r="C25" s="924">
        <f>C26+C27+C28+C30</f>
        <v>765</v>
      </c>
      <c r="D25" s="924">
        <f>D26+D27+D28+D30</f>
        <v>0</v>
      </c>
      <c r="E25" s="924">
        <f>E26+E27+E28+E30</f>
        <v>0</v>
      </c>
      <c r="F25" s="925">
        <f t="shared" ref="F25:F30" si="4">IFERROR(E25/B25*100,0)</f>
        <v>0</v>
      </c>
      <c r="G25" s="925">
        <f t="shared" ref="G25:G30" si="5">IFERROR(E25/C25*100,0)</f>
        <v>0</v>
      </c>
      <c r="H25" s="924">
        <f>H26+H27+H28+H30</f>
        <v>0</v>
      </c>
      <c r="I25" s="924">
        <f t="shared" ref="I25:AE25" si="6">I26+I27+I28+I30</f>
        <v>0</v>
      </c>
      <c r="J25" s="924">
        <f t="shared" si="6"/>
        <v>0</v>
      </c>
      <c r="K25" s="924">
        <f t="shared" si="6"/>
        <v>0</v>
      </c>
      <c r="L25" s="924">
        <f t="shared" si="6"/>
        <v>765</v>
      </c>
      <c r="M25" s="924">
        <f t="shared" si="6"/>
        <v>0</v>
      </c>
      <c r="N25" s="924">
        <f t="shared" si="6"/>
        <v>0</v>
      </c>
      <c r="O25" s="924">
        <f t="shared" si="6"/>
        <v>0</v>
      </c>
      <c r="P25" s="924">
        <f t="shared" si="6"/>
        <v>0</v>
      </c>
      <c r="Q25" s="924">
        <f t="shared" si="6"/>
        <v>0</v>
      </c>
      <c r="R25" s="924">
        <f t="shared" si="6"/>
        <v>0</v>
      </c>
      <c r="S25" s="924">
        <f t="shared" si="6"/>
        <v>0</v>
      </c>
      <c r="T25" s="924">
        <f t="shared" si="6"/>
        <v>0</v>
      </c>
      <c r="U25" s="924">
        <f t="shared" si="6"/>
        <v>0</v>
      </c>
      <c r="V25" s="924">
        <f t="shared" si="6"/>
        <v>0</v>
      </c>
      <c r="W25" s="924">
        <f t="shared" si="6"/>
        <v>0</v>
      </c>
      <c r="X25" s="924">
        <f t="shared" si="6"/>
        <v>0</v>
      </c>
      <c r="Y25" s="924">
        <f t="shared" si="6"/>
        <v>0</v>
      </c>
      <c r="Z25" s="924">
        <f t="shared" si="6"/>
        <v>0</v>
      </c>
      <c r="AA25" s="924">
        <f t="shared" si="6"/>
        <v>0</v>
      </c>
      <c r="AB25" s="924">
        <f t="shared" si="6"/>
        <v>6211.21</v>
      </c>
      <c r="AC25" s="924">
        <f t="shared" si="6"/>
        <v>0</v>
      </c>
      <c r="AD25" s="924">
        <f t="shared" si="6"/>
        <v>950</v>
      </c>
      <c r="AE25" s="924">
        <f t="shared" si="6"/>
        <v>0</v>
      </c>
      <c r="AF25" s="920"/>
      <c r="AG25" s="921">
        <f t="shared" si="1"/>
        <v>0</v>
      </c>
    </row>
    <row r="26" spans="1:33" s="922" customFormat="1" x14ac:dyDescent="0.3">
      <c r="A26" s="926" t="s">
        <v>169</v>
      </c>
      <c r="B26" s="927">
        <f>J26+L26+N26+P26+R26+T26+V26+X26+Z26+AB26+AD26+H26</f>
        <v>0</v>
      </c>
      <c r="C26" s="927">
        <f>H26+J26+L26+N26</f>
        <v>0</v>
      </c>
      <c r="D26" s="927">
        <f>E26</f>
        <v>0</v>
      </c>
      <c r="E26" s="927">
        <f>SUM(I26,K26,M26,O26,Q26,S26,U26,W26,Y26,AA26,AC26,AE26)</f>
        <v>0</v>
      </c>
      <c r="F26" s="927">
        <f t="shared" si="4"/>
        <v>0</v>
      </c>
      <c r="G26" s="927">
        <f t="shared" si="5"/>
        <v>0</v>
      </c>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0"/>
      <c r="AG26" s="921">
        <f t="shared" si="1"/>
        <v>0</v>
      </c>
    </row>
    <row r="27" spans="1:33" s="922" customFormat="1" x14ac:dyDescent="0.3">
      <c r="A27" s="926" t="s">
        <v>32</v>
      </c>
      <c r="B27" s="927">
        <f>J27+L27+N27+P27+R27+T27+V27+X27+Z27+AB27+AD27+H27</f>
        <v>5652.2</v>
      </c>
      <c r="C27" s="927">
        <f>H27+J27+L27+N27</f>
        <v>0</v>
      </c>
      <c r="D27" s="927">
        <f>E27</f>
        <v>0</v>
      </c>
      <c r="E27" s="927">
        <f>SUM(I27,K27,M27,O27,Q27,S27,U27,W27,Y27,AA27,AC27,AE27)</f>
        <v>0</v>
      </c>
      <c r="F27" s="927">
        <f t="shared" si="4"/>
        <v>0</v>
      </c>
      <c r="G27" s="927">
        <f t="shared" si="5"/>
        <v>0</v>
      </c>
      <c r="H27" s="927"/>
      <c r="I27" s="927"/>
      <c r="J27" s="927"/>
      <c r="K27" s="927"/>
      <c r="L27" s="927"/>
      <c r="M27" s="927"/>
      <c r="N27" s="927"/>
      <c r="O27" s="927"/>
      <c r="P27" s="927"/>
      <c r="Q27" s="927"/>
      <c r="R27" s="927"/>
      <c r="S27" s="927"/>
      <c r="T27" s="927"/>
      <c r="U27" s="927"/>
      <c r="V27" s="927"/>
      <c r="W27" s="927"/>
      <c r="X27" s="927"/>
      <c r="Y27" s="927"/>
      <c r="Z27" s="927"/>
      <c r="AA27" s="927"/>
      <c r="AB27" s="927">
        <v>5652.2</v>
      </c>
      <c r="AC27" s="927"/>
      <c r="AD27" s="927"/>
      <c r="AE27" s="927"/>
      <c r="AF27" s="920"/>
      <c r="AG27" s="921">
        <f t="shared" si="1"/>
        <v>0</v>
      </c>
    </row>
    <row r="28" spans="1:33" s="922" customFormat="1" x14ac:dyDescent="0.3">
      <c r="A28" s="926" t="s">
        <v>33</v>
      </c>
      <c r="B28" s="927">
        <f>J28+L28+N28+P28+R28+T28+V28+X28+Z28+AB28+AD28+H28</f>
        <v>559.01</v>
      </c>
      <c r="C28" s="927">
        <f>H28+J28+L28+N28</f>
        <v>0</v>
      </c>
      <c r="D28" s="927">
        <f>E28</f>
        <v>0</v>
      </c>
      <c r="E28" s="927">
        <f>SUM(I28,K28,M28,O28,Q28,S28,U28,W28,Y28,AA28,AC28,AE28)</f>
        <v>0</v>
      </c>
      <c r="F28" s="927">
        <f t="shared" si="4"/>
        <v>0</v>
      </c>
      <c r="G28" s="927">
        <f t="shared" si="5"/>
        <v>0</v>
      </c>
      <c r="H28" s="927"/>
      <c r="I28" s="927"/>
      <c r="J28" s="927"/>
      <c r="K28" s="927"/>
      <c r="L28" s="927"/>
      <c r="M28" s="927"/>
      <c r="N28" s="927"/>
      <c r="O28" s="927"/>
      <c r="P28" s="927"/>
      <c r="Q28" s="927"/>
      <c r="R28" s="927"/>
      <c r="S28" s="927"/>
      <c r="T28" s="927"/>
      <c r="U28" s="927"/>
      <c r="V28" s="927"/>
      <c r="W28" s="927"/>
      <c r="X28" s="927"/>
      <c r="Y28" s="927"/>
      <c r="Z28" s="927"/>
      <c r="AA28" s="927"/>
      <c r="AB28" s="927">
        <v>559.01</v>
      </c>
      <c r="AC28" s="927"/>
      <c r="AD28" s="927"/>
      <c r="AE28" s="927"/>
      <c r="AF28" s="920"/>
      <c r="AG28" s="921">
        <f t="shared" si="1"/>
        <v>0</v>
      </c>
    </row>
    <row r="29" spans="1:33" s="922" customFormat="1" ht="37.5" x14ac:dyDescent="0.3">
      <c r="A29" s="928" t="s">
        <v>174</v>
      </c>
      <c r="B29" s="927">
        <f>J29+L29+N29+P29+R29+T29+V29+X29+Z29+AB29+AD29+H29</f>
        <v>559.01</v>
      </c>
      <c r="C29" s="927">
        <f>H29+J29+L29+N29</f>
        <v>0</v>
      </c>
      <c r="D29" s="927">
        <f>E29</f>
        <v>0</v>
      </c>
      <c r="E29" s="927">
        <f>SUM(I29,K29,M29,O29,Q29,S29,U29,W29,Y29,AA29,AC29,AE29)</f>
        <v>0</v>
      </c>
      <c r="F29" s="927">
        <f t="shared" si="4"/>
        <v>0</v>
      </c>
      <c r="G29" s="927">
        <f t="shared" si="5"/>
        <v>0</v>
      </c>
      <c r="H29" s="927"/>
      <c r="I29" s="927"/>
      <c r="J29" s="927"/>
      <c r="K29" s="927"/>
      <c r="L29" s="927"/>
      <c r="M29" s="927"/>
      <c r="N29" s="927"/>
      <c r="O29" s="927"/>
      <c r="P29" s="927"/>
      <c r="Q29" s="927"/>
      <c r="R29" s="927"/>
      <c r="S29" s="927"/>
      <c r="T29" s="927"/>
      <c r="U29" s="927"/>
      <c r="V29" s="927"/>
      <c r="W29" s="927"/>
      <c r="X29" s="927"/>
      <c r="Y29" s="927"/>
      <c r="Z29" s="927"/>
      <c r="AA29" s="927"/>
      <c r="AB29" s="927">
        <v>559.01</v>
      </c>
      <c r="AC29" s="927"/>
      <c r="AD29" s="927"/>
      <c r="AE29" s="927"/>
      <c r="AF29" s="920"/>
      <c r="AG29" s="921"/>
    </row>
    <row r="30" spans="1:33" s="922" customFormat="1" ht="22.5" customHeight="1" x14ac:dyDescent="0.3">
      <c r="A30" s="926" t="s">
        <v>170</v>
      </c>
      <c r="B30" s="927">
        <f>J30+L30+N30+P30+R30+T30+V30+X30+Z30+AB30+AD30+H30</f>
        <v>1715</v>
      </c>
      <c r="C30" s="927">
        <f>H30+J30+L30+N30</f>
        <v>765</v>
      </c>
      <c r="D30" s="927">
        <f>E30</f>
        <v>0</v>
      </c>
      <c r="E30" s="927">
        <f>SUM(I30,K30,M30,O30,Q30,S30,U30,W30,Y30,AA30,AC30,AE30)</f>
        <v>0</v>
      </c>
      <c r="F30" s="927">
        <f t="shared" si="4"/>
        <v>0</v>
      </c>
      <c r="G30" s="927">
        <f t="shared" si="5"/>
        <v>0</v>
      </c>
      <c r="H30" s="927"/>
      <c r="I30" s="927"/>
      <c r="J30" s="927"/>
      <c r="K30" s="927"/>
      <c r="L30" s="927">
        <v>765</v>
      </c>
      <c r="M30" s="927">
        <v>0</v>
      </c>
      <c r="N30" s="927"/>
      <c r="O30" s="927"/>
      <c r="P30" s="927"/>
      <c r="Q30" s="927"/>
      <c r="R30" s="927"/>
      <c r="S30" s="927"/>
      <c r="T30" s="927"/>
      <c r="U30" s="927"/>
      <c r="V30" s="927"/>
      <c r="W30" s="927"/>
      <c r="X30" s="927"/>
      <c r="Y30" s="927"/>
      <c r="Z30" s="927"/>
      <c r="AA30" s="927"/>
      <c r="AB30" s="927"/>
      <c r="AC30" s="927"/>
      <c r="AD30" s="927">
        <v>950</v>
      </c>
      <c r="AE30" s="927"/>
      <c r="AF30" s="920"/>
      <c r="AG30" s="921">
        <f t="shared" si="1"/>
        <v>0</v>
      </c>
    </row>
    <row r="31" spans="1:33" s="617" customFormat="1" ht="93.75" x14ac:dyDescent="0.3">
      <c r="A31" s="624" t="s">
        <v>321</v>
      </c>
      <c r="B31" s="619"/>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625"/>
      <c r="AC31" s="625"/>
      <c r="AD31" s="625"/>
      <c r="AE31" s="625"/>
      <c r="AF31" s="615"/>
      <c r="AG31" s="616">
        <f t="shared" si="1"/>
        <v>0</v>
      </c>
    </row>
    <row r="32" spans="1:33" s="617" customFormat="1" x14ac:dyDescent="0.3">
      <c r="A32" s="618" t="s">
        <v>31</v>
      </c>
      <c r="B32" s="619">
        <f>B33+B34+B35</f>
        <v>34383</v>
      </c>
      <c r="C32" s="619">
        <f>C33+C34+C35</f>
        <v>14359.5</v>
      </c>
      <c r="D32" s="619">
        <f>D33+D34+D35</f>
        <v>13840.3</v>
      </c>
      <c r="E32" s="619">
        <f>E33+E34+E35</f>
        <v>13840.3</v>
      </c>
      <c r="F32" s="620">
        <f t="shared" ref="F32:F37" si="7">IFERROR(E32/B32*100,0)</f>
        <v>40.253322863042776</v>
      </c>
      <c r="G32" s="620">
        <f t="shared" ref="G32:G37" si="8">IFERROR(E32/C32*100,0)</f>
        <v>96.38427521849647</v>
      </c>
      <c r="H32" s="619">
        <f t="shared" ref="H32:AE32" si="9">H33+H34+H35</f>
        <v>4676.5</v>
      </c>
      <c r="I32" s="619">
        <f t="shared" si="9"/>
        <v>420.84</v>
      </c>
      <c r="J32" s="619">
        <f t="shared" si="9"/>
        <v>5487</v>
      </c>
      <c r="K32" s="619">
        <f t="shared" si="9"/>
        <v>9742.16</v>
      </c>
      <c r="L32" s="619">
        <f t="shared" si="9"/>
        <v>3626</v>
      </c>
      <c r="M32" s="619">
        <f t="shared" si="9"/>
        <v>326.33999999999997</v>
      </c>
      <c r="N32" s="619">
        <f t="shared" si="9"/>
        <v>570</v>
      </c>
      <c r="O32" s="619">
        <f t="shared" si="9"/>
        <v>3350.96</v>
      </c>
      <c r="P32" s="619">
        <f t="shared" si="9"/>
        <v>0</v>
      </c>
      <c r="Q32" s="619">
        <f t="shared" si="9"/>
        <v>0</v>
      </c>
      <c r="R32" s="619">
        <f t="shared" si="9"/>
        <v>0</v>
      </c>
      <c r="S32" s="619">
        <f t="shared" si="9"/>
        <v>0</v>
      </c>
      <c r="T32" s="619">
        <f t="shared" si="9"/>
        <v>0</v>
      </c>
      <c r="U32" s="619">
        <f t="shared" si="9"/>
        <v>0</v>
      </c>
      <c r="V32" s="619">
        <f t="shared" si="9"/>
        <v>0</v>
      </c>
      <c r="W32" s="619">
        <f t="shared" si="9"/>
        <v>0</v>
      </c>
      <c r="X32" s="619">
        <f t="shared" si="9"/>
        <v>0</v>
      </c>
      <c r="Y32" s="619">
        <f t="shared" si="9"/>
        <v>0</v>
      </c>
      <c r="Z32" s="619">
        <f t="shared" si="9"/>
        <v>0</v>
      </c>
      <c r="AA32" s="619">
        <f t="shared" si="9"/>
        <v>0</v>
      </c>
      <c r="AB32" s="619">
        <f t="shared" si="9"/>
        <v>0</v>
      </c>
      <c r="AC32" s="619">
        <f t="shared" si="9"/>
        <v>0</v>
      </c>
      <c r="AD32" s="619">
        <f t="shared" si="9"/>
        <v>20023.5</v>
      </c>
      <c r="AE32" s="619">
        <f t="shared" si="9"/>
        <v>0</v>
      </c>
      <c r="AF32" s="615"/>
      <c r="AG32" s="616">
        <f t="shared" si="1"/>
        <v>0</v>
      </c>
    </row>
    <row r="33" spans="1:33" s="617" customFormat="1" x14ac:dyDescent="0.3">
      <c r="A33" s="621" t="s">
        <v>169</v>
      </c>
      <c r="B33" s="622">
        <f>J33+L33+N33+P33+R33+T33+V33+X33+Z33+AB33+AD33+H33</f>
        <v>0</v>
      </c>
      <c r="C33" s="622">
        <f>SUM(H33+J33+L33+N33)</f>
        <v>0</v>
      </c>
      <c r="D33" s="622">
        <f>E33</f>
        <v>0</v>
      </c>
      <c r="E33" s="622">
        <f>SUM(I33,K33,M33,O33,Q33,S33,U33,W33,Y33,AA33,AC33,AE33)</f>
        <v>0</v>
      </c>
      <c r="F33" s="622">
        <f t="shared" si="7"/>
        <v>0</v>
      </c>
      <c r="G33" s="622">
        <f t="shared" si="8"/>
        <v>0</v>
      </c>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15"/>
      <c r="AG33" s="616">
        <f t="shared" si="1"/>
        <v>0</v>
      </c>
    </row>
    <row r="34" spans="1:33" s="617" customFormat="1" x14ac:dyDescent="0.3">
      <c r="A34" s="621" t="s">
        <v>32</v>
      </c>
      <c r="B34" s="622">
        <f>J34+L34+N34+P34+R34+T34+V34+X34+Z34+AB34+AD34+H34</f>
        <v>31288.5</v>
      </c>
      <c r="C34" s="622">
        <f>SUM(H34+J34+L34+N34)</f>
        <v>13067.03</v>
      </c>
      <c r="D34" s="622">
        <f>E34</f>
        <v>12547.99</v>
      </c>
      <c r="E34" s="622">
        <f>SUM(I34,K34,M34,O34,Q34,S34,U34,W34,Y34,AA34,AC34,AE34)</f>
        <v>12547.99</v>
      </c>
      <c r="F34" s="622">
        <f t="shared" si="7"/>
        <v>40.104159675280052</v>
      </c>
      <c r="G34" s="622">
        <f t="shared" si="8"/>
        <v>96.027865551697673</v>
      </c>
      <c r="H34" s="622">
        <v>4255.5</v>
      </c>
      <c r="I34" s="622"/>
      <c r="J34" s="622">
        <v>4993.17</v>
      </c>
      <c r="K34" s="622">
        <v>9248.33</v>
      </c>
      <c r="L34" s="622">
        <v>3299.66</v>
      </c>
      <c r="M34" s="622"/>
      <c r="N34" s="622">
        <v>518.70000000000005</v>
      </c>
      <c r="O34" s="622">
        <v>3299.66</v>
      </c>
      <c r="P34" s="622"/>
      <c r="Q34" s="622"/>
      <c r="R34" s="622"/>
      <c r="S34" s="622"/>
      <c r="T34" s="622"/>
      <c r="U34" s="622"/>
      <c r="V34" s="622"/>
      <c r="W34" s="622"/>
      <c r="X34" s="622"/>
      <c r="Y34" s="622"/>
      <c r="Z34" s="622"/>
      <c r="AA34" s="622"/>
      <c r="AB34" s="622"/>
      <c r="AC34" s="622"/>
      <c r="AD34" s="622">
        <v>18221.47</v>
      </c>
      <c r="AE34" s="622"/>
      <c r="AF34" s="615"/>
      <c r="AG34" s="616">
        <f t="shared" si="1"/>
        <v>0</v>
      </c>
    </row>
    <row r="35" spans="1:33" s="617" customFormat="1" x14ac:dyDescent="0.3">
      <c r="A35" s="621" t="s">
        <v>33</v>
      </c>
      <c r="B35" s="622">
        <f>J35+L35+N35+P35+R35+T35+V35+X35+Z35+AB35+AD35+H35</f>
        <v>3094.5</v>
      </c>
      <c r="C35" s="622">
        <f>SUM(H35+J35+L35+N35)</f>
        <v>1292.4699999999998</v>
      </c>
      <c r="D35" s="622">
        <f>E35</f>
        <v>1292.31</v>
      </c>
      <c r="E35" s="622">
        <f>SUM(I35,K35,M35,O35,Q35,S35,U35,W35,Y35,AA35,AC35,AE35)</f>
        <v>1292.31</v>
      </c>
      <c r="F35" s="622">
        <f t="shared" si="7"/>
        <v>41.761512360639841</v>
      </c>
      <c r="G35" s="622">
        <f t="shared" si="8"/>
        <v>99.987620602412449</v>
      </c>
      <c r="H35" s="622">
        <v>421</v>
      </c>
      <c r="I35" s="622">
        <v>420.84</v>
      </c>
      <c r="J35" s="622">
        <v>493.83</v>
      </c>
      <c r="K35" s="622">
        <v>493.83</v>
      </c>
      <c r="L35" s="622">
        <v>326.33999999999997</v>
      </c>
      <c r="M35" s="622">
        <v>326.33999999999997</v>
      </c>
      <c r="N35" s="622">
        <v>51.3</v>
      </c>
      <c r="O35" s="622">
        <v>51.3</v>
      </c>
      <c r="P35" s="622"/>
      <c r="Q35" s="622"/>
      <c r="R35" s="622"/>
      <c r="S35" s="622"/>
      <c r="T35" s="622"/>
      <c r="U35" s="622"/>
      <c r="V35" s="622"/>
      <c r="W35" s="622"/>
      <c r="X35" s="622"/>
      <c r="Y35" s="622"/>
      <c r="Z35" s="622"/>
      <c r="AA35" s="622"/>
      <c r="AB35" s="622"/>
      <c r="AC35" s="622"/>
      <c r="AD35" s="622">
        <v>1802.03</v>
      </c>
      <c r="AE35" s="622"/>
      <c r="AF35" s="615"/>
      <c r="AG35" s="616">
        <f t="shared" si="1"/>
        <v>0</v>
      </c>
    </row>
    <row r="36" spans="1:33" s="617" customFormat="1" ht="37.5" x14ac:dyDescent="0.3">
      <c r="A36" s="628" t="s">
        <v>174</v>
      </c>
      <c r="B36" s="622">
        <f>J36+L36+N36+P36+R36+T36+V36+X36+Z36+AB36+AD36+H36</f>
        <v>3094.5</v>
      </c>
      <c r="C36" s="622">
        <f>SUM(H36+J36+L36+N36)</f>
        <v>1292.4699999999998</v>
      </c>
      <c r="D36" s="622">
        <f>E36</f>
        <v>1292.31</v>
      </c>
      <c r="E36" s="622">
        <f>SUM(I36,K36,M36,O36,Q36,S36,U36,W36,Y36,AA36,AC36,AE36)</f>
        <v>1292.31</v>
      </c>
      <c r="F36" s="622">
        <f t="shared" si="7"/>
        <v>41.761512360639841</v>
      </c>
      <c r="G36" s="622">
        <f t="shared" si="8"/>
        <v>99.987620602412449</v>
      </c>
      <c r="H36" s="622">
        <v>421</v>
      </c>
      <c r="I36" s="622">
        <v>420.84</v>
      </c>
      <c r="J36" s="622">
        <v>493.83</v>
      </c>
      <c r="K36" s="622">
        <v>493.83</v>
      </c>
      <c r="L36" s="622">
        <v>326.33999999999997</v>
      </c>
      <c r="M36" s="622">
        <v>326.33999999999997</v>
      </c>
      <c r="N36" s="622">
        <v>51.3</v>
      </c>
      <c r="O36" s="622">
        <v>51.3</v>
      </c>
      <c r="P36" s="622"/>
      <c r="Q36" s="622"/>
      <c r="R36" s="622"/>
      <c r="S36" s="622"/>
      <c r="T36" s="622"/>
      <c r="U36" s="622"/>
      <c r="V36" s="622"/>
      <c r="W36" s="622"/>
      <c r="X36" s="622"/>
      <c r="Y36" s="622"/>
      <c r="Z36" s="622"/>
      <c r="AA36" s="622"/>
      <c r="AB36" s="622"/>
      <c r="AC36" s="622"/>
      <c r="AD36" s="622">
        <v>1802.03</v>
      </c>
      <c r="AE36" s="622"/>
      <c r="AF36" s="615"/>
      <c r="AG36" s="616"/>
    </row>
    <row r="37" spans="1:33" s="617" customFormat="1" x14ac:dyDescent="0.3">
      <c r="A37" s="621" t="s">
        <v>170</v>
      </c>
      <c r="B37" s="622">
        <f>J37+L37+N37+P37+R37+T37+V37+X37+Z37+AB37+AD37+H37</f>
        <v>0</v>
      </c>
      <c r="C37" s="622">
        <f>SUM(H37+J37+L37+N37)</f>
        <v>0</v>
      </c>
      <c r="D37" s="622">
        <f>E37</f>
        <v>0</v>
      </c>
      <c r="E37" s="622">
        <f>SUM(I37,K37,M37,O37,Q37,S37,U37,W37,Y37,AA37,AC37,AE37)</f>
        <v>0</v>
      </c>
      <c r="F37" s="622">
        <f t="shared" si="7"/>
        <v>0</v>
      </c>
      <c r="G37" s="622">
        <f t="shared" si="8"/>
        <v>0</v>
      </c>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15"/>
      <c r="AG37" s="616">
        <f t="shared" si="1"/>
        <v>0</v>
      </c>
    </row>
    <row r="38" spans="1:33" s="617" customFormat="1" ht="121.5" customHeight="1" x14ac:dyDescent="0.3">
      <c r="A38" s="624" t="s">
        <v>322</v>
      </c>
      <c r="B38" s="619"/>
      <c r="C38" s="625"/>
      <c r="D38" s="625"/>
      <c r="E38" s="625"/>
      <c r="F38" s="625"/>
      <c r="G38" s="625"/>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5"/>
      <c r="AG38" s="616">
        <f t="shared" si="1"/>
        <v>0</v>
      </c>
    </row>
    <row r="39" spans="1:33" s="617" customFormat="1" x14ac:dyDescent="0.3">
      <c r="A39" s="626" t="s">
        <v>31</v>
      </c>
      <c r="B39" s="619">
        <f>B40+B41+B42+B44</f>
        <v>19928.954999999994</v>
      </c>
      <c r="C39" s="619">
        <f>C40+C41+C42</f>
        <v>9151.8149999999987</v>
      </c>
      <c r="D39" s="619">
        <f>D40+D41+D42</f>
        <v>8469.3100000000013</v>
      </c>
      <c r="E39" s="619">
        <f>E40+E41+E42</f>
        <v>8469.3100000000013</v>
      </c>
      <c r="F39" s="620">
        <f t="shared" ref="F39:F44" si="10">IFERROR(E39/B39*100,0)</f>
        <v>42.497511786242697</v>
      </c>
      <c r="G39" s="620">
        <f t="shared" ref="G39:G44" si="11">IFERROR(E39/C39*100,0)</f>
        <v>92.542408254537506</v>
      </c>
      <c r="H39" s="619">
        <f>H40+H41+H42+H44</f>
        <v>0</v>
      </c>
      <c r="I39" s="619">
        <f t="shared" ref="I39:AE39" si="12">I40+I41+I42+I44</f>
        <v>0</v>
      </c>
      <c r="J39" s="619">
        <f t="shared" si="12"/>
        <v>1918</v>
      </c>
      <c r="K39" s="619">
        <f t="shared" si="12"/>
        <v>1318</v>
      </c>
      <c r="L39" s="619">
        <f t="shared" si="12"/>
        <v>3264.4450000000002</v>
      </c>
      <c r="M39" s="619">
        <f t="shared" si="12"/>
        <v>2954.4450000000002</v>
      </c>
      <c r="N39" s="619">
        <f t="shared" si="12"/>
        <v>0</v>
      </c>
      <c r="O39" s="619">
        <f t="shared" si="12"/>
        <v>909.995</v>
      </c>
      <c r="P39" s="619">
        <f t="shared" si="12"/>
        <v>3969.37</v>
      </c>
      <c r="Q39" s="619">
        <f t="shared" si="12"/>
        <v>3286.87</v>
      </c>
      <c r="R39" s="619">
        <f t="shared" si="12"/>
        <v>214.14000000000001</v>
      </c>
      <c r="S39" s="619">
        <f t="shared" si="12"/>
        <v>0</v>
      </c>
      <c r="T39" s="619">
        <f t="shared" si="12"/>
        <v>0</v>
      </c>
      <c r="U39" s="619">
        <f t="shared" si="12"/>
        <v>0</v>
      </c>
      <c r="V39" s="619">
        <f t="shared" si="12"/>
        <v>0</v>
      </c>
      <c r="W39" s="619">
        <f t="shared" si="12"/>
        <v>0</v>
      </c>
      <c r="X39" s="619">
        <f t="shared" si="12"/>
        <v>0</v>
      </c>
      <c r="Y39" s="619">
        <f t="shared" si="12"/>
        <v>0</v>
      </c>
      <c r="Z39" s="619">
        <f t="shared" si="12"/>
        <v>0</v>
      </c>
      <c r="AA39" s="619">
        <f t="shared" si="12"/>
        <v>0</v>
      </c>
      <c r="AB39" s="619">
        <f t="shared" si="12"/>
        <v>0</v>
      </c>
      <c r="AC39" s="619">
        <f t="shared" si="12"/>
        <v>0</v>
      </c>
      <c r="AD39" s="619">
        <f t="shared" si="12"/>
        <v>10563</v>
      </c>
      <c r="AE39" s="619">
        <f t="shared" si="12"/>
        <v>0</v>
      </c>
      <c r="AF39" s="615"/>
      <c r="AG39" s="616">
        <f t="shared" si="1"/>
        <v>0</v>
      </c>
    </row>
    <row r="40" spans="1:33" s="617" customFormat="1" x14ac:dyDescent="0.3">
      <c r="A40" s="627" t="s">
        <v>169</v>
      </c>
      <c r="B40" s="622">
        <f>J40+L40+N40+P40+R40+T40+V40+X40+Z40+AB40+AD40+H40</f>
        <v>0</v>
      </c>
      <c r="C40" s="622">
        <f>SUM(H40+J40+L40+N40)</f>
        <v>0</v>
      </c>
      <c r="D40" s="622">
        <f>E40</f>
        <v>0</v>
      </c>
      <c r="E40" s="622">
        <f>SUM(I40,K40,M40,O40,Q40,S40,U40,W40,Y40,AA40,AC40,AE40)</f>
        <v>0</v>
      </c>
      <c r="F40" s="622">
        <f t="shared" si="10"/>
        <v>0</v>
      </c>
      <c r="G40" s="622">
        <f t="shared" si="11"/>
        <v>0</v>
      </c>
      <c r="H40" s="622"/>
      <c r="I40" s="622"/>
      <c r="J40" s="622"/>
      <c r="K40" s="622"/>
      <c r="L40" s="622"/>
      <c r="M40" s="622"/>
      <c r="N40" s="622"/>
      <c r="O40" s="622"/>
      <c r="P40" s="622"/>
      <c r="Q40" s="622"/>
      <c r="R40" s="622"/>
      <c r="S40" s="622"/>
      <c r="T40" s="622"/>
      <c r="U40" s="622"/>
      <c r="V40" s="622"/>
      <c r="W40" s="622"/>
      <c r="X40" s="622"/>
      <c r="Y40" s="622"/>
      <c r="Z40" s="622"/>
      <c r="AA40" s="622"/>
      <c r="AB40" s="622"/>
      <c r="AC40" s="622"/>
      <c r="AD40" s="622"/>
      <c r="AE40" s="622"/>
      <c r="AF40" s="615"/>
      <c r="AG40" s="616">
        <f t="shared" si="1"/>
        <v>0</v>
      </c>
    </row>
    <row r="41" spans="1:33" s="617" customFormat="1" x14ac:dyDescent="0.3">
      <c r="A41" s="627" t="s">
        <v>32</v>
      </c>
      <c r="B41" s="622">
        <f>J41+L41+N41+P41+R41+T41+V41+X41+Z41+AB41+AD41+H41</f>
        <v>18135.284999999996</v>
      </c>
      <c r="C41" s="622">
        <f>SUM(H41+J41+L41+P41+N41)</f>
        <v>8328.1549999999988</v>
      </c>
      <c r="D41" s="622">
        <f>E41</f>
        <v>7645.6500000000005</v>
      </c>
      <c r="E41" s="622">
        <f>SUM(I41,K41,M41,O41,Q41,S41,U41,W41,Y41,AA41,AC41,AE41)</f>
        <v>7645.6500000000005</v>
      </c>
      <c r="F41" s="622">
        <f t="shared" si="10"/>
        <v>42.158973514891009</v>
      </c>
      <c r="G41" s="622">
        <f t="shared" si="11"/>
        <v>91.804847532256559</v>
      </c>
      <c r="H41" s="622"/>
      <c r="I41" s="622"/>
      <c r="J41" s="622">
        <v>1745.38</v>
      </c>
      <c r="K41" s="622">
        <v>1199.3800000000001</v>
      </c>
      <c r="L41" s="622">
        <v>2970.645</v>
      </c>
      <c r="M41" s="622">
        <v>2606.645</v>
      </c>
      <c r="N41" s="622"/>
      <c r="O41" s="622">
        <v>909.995</v>
      </c>
      <c r="P41" s="622">
        <v>3612.13</v>
      </c>
      <c r="Q41" s="622">
        <v>2929.63</v>
      </c>
      <c r="R41" s="622">
        <v>194.83</v>
      </c>
      <c r="S41" s="622">
        <v>0</v>
      </c>
      <c r="T41" s="622"/>
      <c r="U41" s="622"/>
      <c r="V41" s="622"/>
      <c r="W41" s="622"/>
      <c r="X41" s="622"/>
      <c r="Y41" s="622"/>
      <c r="Z41" s="622"/>
      <c r="AA41" s="622"/>
      <c r="AB41" s="622"/>
      <c r="AC41" s="622"/>
      <c r="AD41" s="622">
        <v>9612.2999999999993</v>
      </c>
      <c r="AE41" s="622"/>
      <c r="AF41" s="615"/>
      <c r="AG41" s="616">
        <f t="shared" si="1"/>
        <v>0</v>
      </c>
    </row>
    <row r="42" spans="1:33" s="617" customFormat="1" x14ac:dyDescent="0.3">
      <c r="A42" s="627" t="s">
        <v>33</v>
      </c>
      <c r="B42" s="622">
        <f>J42+L42+N42+P42+R42+T42+V42+X42+Z42+AB42+AD42+H42</f>
        <v>1793.67</v>
      </c>
      <c r="C42" s="622">
        <f>SUM(H42+J42+L42+P42+N42)</f>
        <v>823.66000000000008</v>
      </c>
      <c r="D42" s="622">
        <f>E42</f>
        <v>823.66000000000008</v>
      </c>
      <c r="E42" s="622">
        <f>SUM(I42,K42,M42,O42,Q42,S42,U42,W42,Y42,AA42,AC42,AE42)</f>
        <v>823.66000000000008</v>
      </c>
      <c r="F42" s="622">
        <f t="shared" si="10"/>
        <v>45.920375542881359</v>
      </c>
      <c r="G42" s="622">
        <f t="shared" si="11"/>
        <v>100</v>
      </c>
      <c r="H42" s="622"/>
      <c r="I42" s="622"/>
      <c r="J42" s="622">
        <v>172.62</v>
      </c>
      <c r="K42" s="622">
        <v>118.62</v>
      </c>
      <c r="L42" s="622">
        <v>293.8</v>
      </c>
      <c r="M42" s="622">
        <v>347.8</v>
      </c>
      <c r="N42" s="622"/>
      <c r="O42" s="622"/>
      <c r="P42" s="622">
        <v>357.24</v>
      </c>
      <c r="Q42" s="622">
        <v>357.24</v>
      </c>
      <c r="R42" s="622">
        <v>19.309999999999999</v>
      </c>
      <c r="S42" s="622">
        <v>0</v>
      </c>
      <c r="T42" s="622"/>
      <c r="U42" s="622"/>
      <c r="V42" s="622"/>
      <c r="W42" s="622"/>
      <c r="X42" s="622"/>
      <c r="Y42" s="622"/>
      <c r="Z42" s="622"/>
      <c r="AA42" s="622"/>
      <c r="AB42" s="622"/>
      <c r="AC42" s="622"/>
      <c r="AD42" s="622">
        <v>950.7</v>
      </c>
      <c r="AE42" s="622"/>
      <c r="AF42" s="615"/>
      <c r="AG42" s="616">
        <f t="shared" si="1"/>
        <v>0</v>
      </c>
    </row>
    <row r="43" spans="1:33" s="617" customFormat="1" ht="37.5" x14ac:dyDescent="0.3">
      <c r="A43" s="628" t="s">
        <v>174</v>
      </c>
      <c r="B43" s="622">
        <f>J43+L43+N43+P43+R43+T43+V43+X43+Z43+AB43+AD43+H43</f>
        <v>1793.67</v>
      </c>
      <c r="C43" s="622">
        <f>SUM(H43+J43+L43+P43+N43)</f>
        <v>823.66000000000008</v>
      </c>
      <c r="D43" s="622">
        <f>E43</f>
        <v>823.66000000000008</v>
      </c>
      <c r="E43" s="622">
        <f>SUM(I43,K43,M43,O43,Q43,S43,U43,W43,Y43,AA43,AC43,AE43)</f>
        <v>823.66000000000008</v>
      </c>
      <c r="F43" s="622">
        <f t="shared" si="10"/>
        <v>45.920375542881359</v>
      </c>
      <c r="G43" s="622">
        <f t="shared" si="11"/>
        <v>100</v>
      </c>
      <c r="H43" s="622"/>
      <c r="I43" s="622"/>
      <c r="J43" s="622">
        <v>172.62</v>
      </c>
      <c r="K43" s="622">
        <v>118.62</v>
      </c>
      <c r="L43" s="622">
        <v>293.8</v>
      </c>
      <c r="M43" s="622">
        <v>347.8</v>
      </c>
      <c r="N43" s="622"/>
      <c r="O43" s="622"/>
      <c r="P43" s="622">
        <v>357.24</v>
      </c>
      <c r="Q43" s="622">
        <v>357.24</v>
      </c>
      <c r="R43" s="622">
        <v>19.309999999999999</v>
      </c>
      <c r="S43" s="622">
        <v>0</v>
      </c>
      <c r="T43" s="622"/>
      <c r="U43" s="622"/>
      <c r="V43" s="622"/>
      <c r="W43" s="622"/>
      <c r="X43" s="622"/>
      <c r="Y43" s="622"/>
      <c r="Z43" s="622"/>
      <c r="AA43" s="622"/>
      <c r="AB43" s="622"/>
      <c r="AC43" s="622"/>
      <c r="AD43" s="622">
        <v>950.7</v>
      </c>
      <c r="AE43" s="622"/>
      <c r="AF43" s="615"/>
      <c r="AG43" s="616"/>
    </row>
    <row r="44" spans="1:33" s="617" customFormat="1" x14ac:dyDescent="0.3">
      <c r="A44" s="627" t="s">
        <v>170</v>
      </c>
      <c r="B44" s="622">
        <f>J44+L44+N44+P44+R44+T44+V44+X44+Z44+AB44+AD44+H44</f>
        <v>0</v>
      </c>
      <c r="C44" s="622">
        <f>SUM(H44+J44+L44+P44+N44)</f>
        <v>0</v>
      </c>
      <c r="D44" s="622">
        <f>E44</f>
        <v>0</v>
      </c>
      <c r="E44" s="622">
        <f>SUM(I44,K44,M44,O44,Q44,S44,U44,W44,Y44,AA44,AC44,AE44)</f>
        <v>0</v>
      </c>
      <c r="F44" s="622">
        <f t="shared" si="10"/>
        <v>0</v>
      </c>
      <c r="G44" s="622">
        <f t="shared" si="11"/>
        <v>0</v>
      </c>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15"/>
      <c r="AG44" s="616">
        <f t="shared" si="1"/>
        <v>0</v>
      </c>
    </row>
    <row r="45" spans="1:33" s="617" customFormat="1" ht="131.25" x14ac:dyDescent="0.3">
      <c r="A45" s="624" t="s">
        <v>323</v>
      </c>
      <c r="B45" s="619"/>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625"/>
      <c r="AA45" s="625"/>
      <c r="AB45" s="625"/>
      <c r="AC45" s="625"/>
      <c r="AD45" s="625"/>
      <c r="AE45" s="625"/>
      <c r="AF45" s="615"/>
      <c r="AG45" s="616">
        <f t="shared" si="1"/>
        <v>0</v>
      </c>
    </row>
    <row r="46" spans="1:33" s="617" customFormat="1" x14ac:dyDescent="0.3">
      <c r="A46" s="626" t="s">
        <v>31</v>
      </c>
      <c r="B46" s="619">
        <f>B47+B48+B49+B50</f>
        <v>0</v>
      </c>
      <c r="C46" s="619">
        <f>C47+C48+C49</f>
        <v>0</v>
      </c>
      <c r="D46" s="619">
        <f>D47+D48+D49</f>
        <v>0</v>
      </c>
      <c r="E46" s="619">
        <f>E47+E48+E49</f>
        <v>0</v>
      </c>
      <c r="F46" s="619">
        <f>IFERROR(E46/B46*100,0)</f>
        <v>0</v>
      </c>
      <c r="G46" s="619">
        <f>IFERROR(E46/C46*100,0)</f>
        <v>0</v>
      </c>
      <c r="H46" s="619">
        <f>H47+H48+H49</f>
        <v>0</v>
      </c>
      <c r="I46" s="619">
        <f t="shared" ref="I46:AE46" si="13">I47+I48+I49</f>
        <v>0</v>
      </c>
      <c r="J46" s="619">
        <f t="shared" si="13"/>
        <v>0</v>
      </c>
      <c r="K46" s="619">
        <f t="shared" si="13"/>
        <v>0</v>
      </c>
      <c r="L46" s="619">
        <f t="shared" si="13"/>
        <v>0</v>
      </c>
      <c r="M46" s="619">
        <f t="shared" si="13"/>
        <v>0</v>
      </c>
      <c r="N46" s="619">
        <f t="shared" si="13"/>
        <v>0</v>
      </c>
      <c r="O46" s="619">
        <f t="shared" si="13"/>
        <v>0</v>
      </c>
      <c r="P46" s="619">
        <f t="shared" si="13"/>
        <v>0</v>
      </c>
      <c r="Q46" s="619">
        <f t="shared" si="13"/>
        <v>0</v>
      </c>
      <c r="R46" s="619">
        <f t="shared" si="13"/>
        <v>0</v>
      </c>
      <c r="S46" s="619">
        <f t="shared" si="13"/>
        <v>0</v>
      </c>
      <c r="T46" s="619">
        <f t="shared" si="13"/>
        <v>0</v>
      </c>
      <c r="U46" s="619">
        <f t="shared" si="13"/>
        <v>0</v>
      </c>
      <c r="V46" s="619">
        <f t="shared" si="13"/>
        <v>0</v>
      </c>
      <c r="W46" s="619">
        <f t="shared" si="13"/>
        <v>0</v>
      </c>
      <c r="X46" s="619">
        <f t="shared" si="13"/>
        <v>0</v>
      </c>
      <c r="Y46" s="619">
        <f t="shared" si="13"/>
        <v>0</v>
      </c>
      <c r="Z46" s="619">
        <f t="shared" si="13"/>
        <v>0</v>
      </c>
      <c r="AA46" s="619">
        <f t="shared" si="13"/>
        <v>0</v>
      </c>
      <c r="AB46" s="619">
        <f t="shared" si="13"/>
        <v>0</v>
      </c>
      <c r="AC46" s="619">
        <f t="shared" si="13"/>
        <v>0</v>
      </c>
      <c r="AD46" s="619">
        <f t="shared" si="13"/>
        <v>0</v>
      </c>
      <c r="AE46" s="619">
        <f t="shared" si="13"/>
        <v>0</v>
      </c>
      <c r="AF46" s="615"/>
      <c r="AG46" s="616">
        <f t="shared" si="1"/>
        <v>0</v>
      </c>
    </row>
    <row r="47" spans="1:33" s="617" customFormat="1" x14ac:dyDescent="0.3">
      <c r="A47" s="627" t="s">
        <v>169</v>
      </c>
      <c r="B47" s="622">
        <f>J47+L47+N47+P47+R47+T47+V47+X47+Z47+AB47+AD47+H47</f>
        <v>0</v>
      </c>
      <c r="C47" s="622">
        <f>SUM(H47+J47+L47+N47)</f>
        <v>0</v>
      </c>
      <c r="D47" s="622">
        <f>E47</f>
        <v>0</v>
      </c>
      <c r="E47" s="622">
        <f>SUM(I47,K47,M47,O47,Q47,S47,U47,W47,Y47,AA47,AC47,AE47)</f>
        <v>0</v>
      </c>
      <c r="F47" s="622">
        <f>IFERROR(E47/B47*100,0)</f>
        <v>0</v>
      </c>
      <c r="G47" s="622">
        <f>IFERROR(E47/C47*100,0)</f>
        <v>0</v>
      </c>
      <c r="H47" s="622"/>
      <c r="I47" s="622"/>
      <c r="J47" s="622"/>
      <c r="K47" s="622"/>
      <c r="L47" s="622"/>
      <c r="M47" s="622"/>
      <c r="N47" s="622"/>
      <c r="O47" s="622"/>
      <c r="P47" s="622"/>
      <c r="Q47" s="622"/>
      <c r="R47" s="622"/>
      <c r="S47" s="622"/>
      <c r="T47" s="622"/>
      <c r="U47" s="622"/>
      <c r="V47" s="622"/>
      <c r="W47" s="622"/>
      <c r="X47" s="622"/>
      <c r="Y47" s="622"/>
      <c r="Z47" s="622"/>
      <c r="AA47" s="622"/>
      <c r="AB47" s="622"/>
      <c r="AC47" s="622"/>
      <c r="AD47" s="622"/>
      <c r="AE47" s="622"/>
      <c r="AF47" s="615"/>
      <c r="AG47" s="616">
        <f t="shared" si="1"/>
        <v>0</v>
      </c>
    </row>
    <row r="48" spans="1:33" s="617" customFormat="1" x14ac:dyDescent="0.3">
      <c r="A48" s="627" t="s">
        <v>32</v>
      </c>
      <c r="B48" s="622">
        <f>J48+L48+N48+P48+R48+T48+V48+X48+Z48+AB48+AD48+H48</f>
        <v>0</v>
      </c>
      <c r="C48" s="622">
        <f>SUM(H48+J48+L48+N48)</f>
        <v>0</v>
      </c>
      <c r="D48" s="622">
        <f>E48</f>
        <v>0</v>
      </c>
      <c r="E48" s="622">
        <f>SUM(I48,K48,M48,O48,Q48,S48,U48,W48,Y48,AA48,AC48,AE48)</f>
        <v>0</v>
      </c>
      <c r="F48" s="622">
        <f>IFERROR(E48/B48*100,0)</f>
        <v>0</v>
      </c>
      <c r="G48" s="622">
        <f>IFERROR(E48/C48*100,0)</f>
        <v>0</v>
      </c>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15"/>
      <c r="AG48" s="616">
        <f t="shared" si="1"/>
        <v>0</v>
      </c>
    </row>
    <row r="49" spans="1:33" s="617" customFormat="1" x14ac:dyDescent="0.3">
      <c r="A49" s="627" t="s">
        <v>33</v>
      </c>
      <c r="B49" s="622">
        <f>J49+L49+N49+P49+R49+T49+V49+X49+Z49+AB49+AD49+H49</f>
        <v>0</v>
      </c>
      <c r="C49" s="622">
        <f>SUM(H49+J49+L49+N49)</f>
        <v>0</v>
      </c>
      <c r="D49" s="622">
        <f>E49</f>
        <v>0</v>
      </c>
      <c r="E49" s="622">
        <f>SUM(I49,K49,M49,O49,Q49,S49,U49,W49,Y49,AA49,AC49,AE49)</f>
        <v>0</v>
      </c>
      <c r="F49" s="622">
        <f>IFERROR(E49/B49*100,0)</f>
        <v>0</v>
      </c>
      <c r="G49" s="622">
        <f>IFERROR(E49/C49*100,0)</f>
        <v>0</v>
      </c>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15"/>
      <c r="AG49" s="616">
        <f t="shared" si="1"/>
        <v>0</v>
      </c>
    </row>
    <row r="50" spans="1:33" s="617" customFormat="1" x14ac:dyDescent="0.3">
      <c r="A50" s="627" t="s">
        <v>170</v>
      </c>
      <c r="B50" s="622">
        <f>J50+L50+N50+P50+R50+T50+V50+X50+Z50+AB50+AD50+H50</f>
        <v>0</v>
      </c>
      <c r="C50" s="622">
        <f>SUM(H50+J50+L50+N50)</f>
        <v>0</v>
      </c>
      <c r="D50" s="622">
        <f>E50</f>
        <v>0</v>
      </c>
      <c r="E50" s="622">
        <f>SUM(I50,K50,M50,O50,Q50,S50,U50,W50,Y50,AA50,AC50,AE50)</f>
        <v>0</v>
      </c>
      <c r="F50" s="622">
        <f>IFERROR(E50/B50*100,0)</f>
        <v>0</v>
      </c>
      <c r="G50" s="622">
        <f>IFERROR(E50/C50*100,0)</f>
        <v>0</v>
      </c>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15"/>
      <c r="AG50" s="616">
        <f t="shared" si="1"/>
        <v>0</v>
      </c>
    </row>
    <row r="51" spans="1:33" s="617" customFormat="1" ht="131.25" x14ac:dyDescent="0.3">
      <c r="A51" s="624" t="s">
        <v>486</v>
      </c>
      <c r="B51" s="622"/>
      <c r="C51" s="622"/>
      <c r="D51" s="622"/>
      <c r="E51" s="622"/>
      <c r="F51" s="622"/>
      <c r="G51" s="622"/>
      <c r="H51" s="622"/>
      <c r="I51" s="622"/>
      <c r="J51" s="622"/>
      <c r="K51" s="622"/>
      <c r="L51" s="622"/>
      <c r="M51" s="622"/>
      <c r="N51" s="622"/>
      <c r="O51" s="622"/>
      <c r="P51" s="622"/>
      <c r="Q51" s="622"/>
      <c r="R51" s="622"/>
      <c r="S51" s="622"/>
      <c r="T51" s="622"/>
      <c r="U51" s="622"/>
      <c r="V51" s="622"/>
      <c r="W51" s="622"/>
      <c r="X51" s="622"/>
      <c r="Y51" s="622"/>
      <c r="Z51" s="622"/>
      <c r="AA51" s="622"/>
      <c r="AB51" s="622"/>
      <c r="AC51" s="622"/>
      <c r="AD51" s="622"/>
      <c r="AE51" s="622"/>
      <c r="AF51" s="615"/>
      <c r="AG51" s="616"/>
    </row>
    <row r="52" spans="1:33" s="617" customFormat="1" x14ac:dyDescent="0.3">
      <c r="A52" s="626" t="s">
        <v>31</v>
      </c>
      <c r="B52" s="619">
        <f>B53+B54+B55+B57</f>
        <v>2697.0390000000002</v>
      </c>
      <c r="C52" s="619">
        <f>C53+C54+C55+C57</f>
        <v>0</v>
      </c>
      <c r="D52" s="619">
        <f>D53+D54+D55+D57</f>
        <v>0</v>
      </c>
      <c r="E52" s="619">
        <f>E53+E54+E55+E57</f>
        <v>0</v>
      </c>
      <c r="F52" s="619">
        <f t="shared" ref="F52:F57" si="14">IFERROR(E52/B52*100,0)</f>
        <v>0</v>
      </c>
      <c r="G52" s="619">
        <f t="shared" ref="G52:G57" si="15">IFERROR(E52/C52*100,0)</f>
        <v>0</v>
      </c>
      <c r="H52" s="619">
        <f>H53+H54+H55+H57</f>
        <v>0</v>
      </c>
      <c r="I52" s="619">
        <f t="shared" ref="I52:AF52" si="16">I53+I54+I55+I57</f>
        <v>0</v>
      </c>
      <c r="J52" s="619">
        <f t="shared" si="16"/>
        <v>0</v>
      </c>
      <c r="K52" s="619">
        <f t="shared" si="16"/>
        <v>0</v>
      </c>
      <c r="L52" s="619">
        <f t="shared" si="16"/>
        <v>0</v>
      </c>
      <c r="M52" s="619">
        <f t="shared" si="16"/>
        <v>0</v>
      </c>
      <c r="N52" s="619">
        <f t="shared" si="16"/>
        <v>0</v>
      </c>
      <c r="O52" s="619">
        <f t="shared" si="16"/>
        <v>0</v>
      </c>
      <c r="P52" s="619">
        <f t="shared" si="16"/>
        <v>0</v>
      </c>
      <c r="Q52" s="619">
        <f t="shared" si="16"/>
        <v>0</v>
      </c>
      <c r="R52" s="619">
        <f t="shared" si="16"/>
        <v>2697.0390000000002</v>
      </c>
      <c r="S52" s="619">
        <f t="shared" si="16"/>
        <v>0</v>
      </c>
      <c r="T52" s="619">
        <f t="shared" si="16"/>
        <v>0</v>
      </c>
      <c r="U52" s="619">
        <f t="shared" si="16"/>
        <v>0</v>
      </c>
      <c r="V52" s="619">
        <f t="shared" si="16"/>
        <v>0</v>
      </c>
      <c r="W52" s="619">
        <f t="shared" si="16"/>
        <v>0</v>
      </c>
      <c r="X52" s="619">
        <f t="shared" si="16"/>
        <v>0</v>
      </c>
      <c r="Y52" s="619">
        <f t="shared" si="16"/>
        <v>0</v>
      </c>
      <c r="Z52" s="619">
        <f t="shared" si="16"/>
        <v>0</v>
      </c>
      <c r="AA52" s="619">
        <f t="shared" si="16"/>
        <v>0</v>
      </c>
      <c r="AB52" s="619">
        <f t="shared" si="16"/>
        <v>0</v>
      </c>
      <c r="AC52" s="619">
        <f t="shared" si="16"/>
        <v>0</v>
      </c>
      <c r="AD52" s="619">
        <f t="shared" si="16"/>
        <v>0</v>
      </c>
      <c r="AE52" s="619">
        <f t="shared" si="16"/>
        <v>0</v>
      </c>
      <c r="AF52" s="619">
        <f t="shared" si="16"/>
        <v>0</v>
      </c>
      <c r="AG52" s="616"/>
    </row>
    <row r="53" spans="1:33" s="617" customFormat="1" x14ac:dyDescent="0.3">
      <c r="A53" s="627" t="s">
        <v>169</v>
      </c>
      <c r="B53" s="622">
        <f>H53+J53+L53+N53+P53+R53+T53+V53+X53+Z53+AB53+AD53+AF53</f>
        <v>0</v>
      </c>
      <c r="C53" s="622">
        <f>H53+J53+L53+N53</f>
        <v>0</v>
      </c>
      <c r="D53" s="622">
        <f>E53</f>
        <v>0</v>
      </c>
      <c r="E53" s="622">
        <f>I53+K53+M53+O53+Q53+S53+U53+W53+Y53+AA53+AC53+AE53</f>
        <v>0</v>
      </c>
      <c r="F53" s="622">
        <f t="shared" si="14"/>
        <v>0</v>
      </c>
      <c r="G53" s="622">
        <f t="shared" si="15"/>
        <v>0</v>
      </c>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15"/>
      <c r="AG53" s="616"/>
    </row>
    <row r="54" spans="1:33" s="617" customFormat="1" x14ac:dyDescent="0.3">
      <c r="A54" s="627" t="s">
        <v>32</v>
      </c>
      <c r="B54" s="622">
        <f>H54+J54+L54+N54+P54+R54+T54+V54+X54+Z54+AB54+AD54+AF54</f>
        <v>2454.306</v>
      </c>
      <c r="C54" s="622">
        <f>H54+J54+L54+N54</f>
        <v>0</v>
      </c>
      <c r="D54" s="622">
        <f>E54</f>
        <v>0</v>
      </c>
      <c r="E54" s="622">
        <f>I54+K54+M54+O54+Q54+S54+U54+W54+Y54+AA54+AC54+AE54</f>
        <v>0</v>
      </c>
      <c r="F54" s="622">
        <f t="shared" si="14"/>
        <v>0</v>
      </c>
      <c r="G54" s="622">
        <f t="shared" si="15"/>
        <v>0</v>
      </c>
      <c r="H54" s="622"/>
      <c r="I54" s="622"/>
      <c r="J54" s="622"/>
      <c r="K54" s="622"/>
      <c r="L54" s="622"/>
      <c r="M54" s="622"/>
      <c r="N54" s="622"/>
      <c r="O54" s="622"/>
      <c r="P54" s="622"/>
      <c r="Q54" s="622"/>
      <c r="R54" s="622">
        <v>2454.306</v>
      </c>
      <c r="S54" s="622"/>
      <c r="T54" s="622"/>
      <c r="U54" s="622"/>
      <c r="V54" s="622"/>
      <c r="W54" s="622"/>
      <c r="X54" s="622"/>
      <c r="Y54" s="622"/>
      <c r="Z54" s="622"/>
      <c r="AA54" s="622"/>
      <c r="AB54" s="622"/>
      <c r="AC54" s="622"/>
      <c r="AD54" s="622"/>
      <c r="AE54" s="622"/>
      <c r="AF54" s="615"/>
      <c r="AG54" s="616"/>
    </row>
    <row r="55" spans="1:33" s="617" customFormat="1" x14ac:dyDescent="0.3">
      <c r="A55" s="627" t="s">
        <v>33</v>
      </c>
      <c r="B55" s="622">
        <f>H55+J55+L55+N55+P55+R55+T55+V55+X55+Z55+AB55+AD55+AF55</f>
        <v>242.733</v>
      </c>
      <c r="C55" s="622">
        <f>H55+J55+L55+N55</f>
        <v>0</v>
      </c>
      <c r="D55" s="622">
        <f>E55</f>
        <v>0</v>
      </c>
      <c r="E55" s="622">
        <f>I55+K55+M55+O55+Q55+S55+U55+W55+Y55+AA55+AC55+AE55</f>
        <v>0</v>
      </c>
      <c r="F55" s="622">
        <f t="shared" si="14"/>
        <v>0</v>
      </c>
      <c r="G55" s="622">
        <f t="shared" si="15"/>
        <v>0</v>
      </c>
      <c r="H55" s="622"/>
      <c r="I55" s="622"/>
      <c r="J55" s="622"/>
      <c r="K55" s="622"/>
      <c r="L55" s="622"/>
      <c r="M55" s="622"/>
      <c r="N55" s="622"/>
      <c r="O55" s="622"/>
      <c r="P55" s="622"/>
      <c r="Q55" s="622"/>
      <c r="R55" s="622">
        <v>242.733</v>
      </c>
      <c r="S55" s="622"/>
      <c r="T55" s="622"/>
      <c r="U55" s="622"/>
      <c r="V55" s="622"/>
      <c r="W55" s="622"/>
      <c r="X55" s="622"/>
      <c r="Y55" s="622"/>
      <c r="Z55" s="622"/>
      <c r="AA55" s="622"/>
      <c r="AB55" s="622"/>
      <c r="AC55" s="622"/>
      <c r="AD55" s="622"/>
      <c r="AE55" s="622"/>
      <c r="AF55" s="615"/>
      <c r="AG55" s="616"/>
    </row>
    <row r="56" spans="1:33" s="617" customFormat="1" ht="37.5" x14ac:dyDescent="0.3">
      <c r="A56" s="622" t="s">
        <v>174</v>
      </c>
      <c r="B56" s="622">
        <f>H56+J56+L56+N56+P56+R56+T56+V56+X56+Z56+AB56+AD56+AF56</f>
        <v>242.733</v>
      </c>
      <c r="C56" s="622">
        <f>H56+J56+L56+N56</f>
        <v>0</v>
      </c>
      <c r="D56" s="622">
        <f>E56</f>
        <v>0</v>
      </c>
      <c r="E56" s="622">
        <f>I56+K56+M56+O56+Q56+S56+U56+W56+Y56+AA56+AC56+AE56</f>
        <v>0</v>
      </c>
      <c r="F56" s="622">
        <f t="shared" si="14"/>
        <v>0</v>
      </c>
      <c r="G56" s="622">
        <f t="shared" si="15"/>
        <v>0</v>
      </c>
      <c r="H56" s="622"/>
      <c r="I56" s="622"/>
      <c r="J56" s="622"/>
      <c r="K56" s="622"/>
      <c r="L56" s="622"/>
      <c r="M56" s="622"/>
      <c r="N56" s="622"/>
      <c r="O56" s="622"/>
      <c r="P56" s="622"/>
      <c r="Q56" s="622"/>
      <c r="R56" s="622">
        <v>242.733</v>
      </c>
      <c r="S56" s="622"/>
      <c r="T56" s="622"/>
      <c r="U56" s="622"/>
      <c r="V56" s="622"/>
      <c r="W56" s="622"/>
      <c r="X56" s="622"/>
      <c r="Y56" s="622"/>
      <c r="Z56" s="622"/>
      <c r="AA56" s="622"/>
      <c r="AB56" s="622"/>
      <c r="AC56" s="622"/>
      <c r="AD56" s="622"/>
      <c r="AE56" s="622"/>
      <c r="AF56" s="615"/>
      <c r="AG56" s="616"/>
    </row>
    <row r="57" spans="1:33" s="617" customFormat="1" x14ac:dyDescent="0.3">
      <c r="A57" s="627" t="s">
        <v>170</v>
      </c>
      <c r="B57" s="622">
        <f>H57+J57+L57+N57+P57+R57+T57+V57+X57+Z57+AB57+AD57+AF57</f>
        <v>0</v>
      </c>
      <c r="C57" s="622">
        <f>H57+J57+L57+N57</f>
        <v>0</v>
      </c>
      <c r="D57" s="622">
        <f>E57</f>
        <v>0</v>
      </c>
      <c r="E57" s="622">
        <f>I57+K57+M57+O57+Q57+S57+U57+W57+Y57+AA57+AC57+AE57</f>
        <v>0</v>
      </c>
      <c r="F57" s="622">
        <f t="shared" si="14"/>
        <v>0</v>
      </c>
      <c r="G57" s="622">
        <f t="shared" si="15"/>
        <v>0</v>
      </c>
      <c r="H57" s="622"/>
      <c r="I57" s="622"/>
      <c r="J57" s="622"/>
      <c r="K57" s="622"/>
      <c r="L57" s="622"/>
      <c r="M57" s="622"/>
      <c r="N57" s="622"/>
      <c r="O57" s="622"/>
      <c r="P57" s="622"/>
      <c r="Q57" s="622"/>
      <c r="R57" s="622"/>
      <c r="S57" s="622"/>
      <c r="T57" s="622"/>
      <c r="U57" s="622"/>
      <c r="V57" s="622"/>
      <c r="W57" s="622"/>
      <c r="X57" s="622"/>
      <c r="Y57" s="622"/>
      <c r="Z57" s="622"/>
      <c r="AA57" s="622"/>
      <c r="AB57" s="622"/>
      <c r="AC57" s="622"/>
      <c r="AD57" s="622"/>
      <c r="AE57" s="622"/>
      <c r="AF57" s="615"/>
      <c r="AG57" s="616"/>
    </row>
    <row r="58" spans="1:33" ht="93.75" x14ac:dyDescent="0.3">
      <c r="A58" s="623" t="s">
        <v>324</v>
      </c>
      <c r="B58" s="623"/>
      <c r="C58" s="623"/>
      <c r="D58" s="623"/>
      <c r="E58" s="623"/>
      <c r="F58" s="623"/>
      <c r="G58" s="623"/>
      <c r="H58" s="623"/>
      <c r="I58" s="623"/>
      <c r="J58" s="623"/>
      <c r="K58" s="623"/>
      <c r="L58" s="623"/>
      <c r="M58" s="623"/>
      <c r="N58" s="623"/>
      <c r="O58" s="623"/>
      <c r="P58" s="623"/>
      <c r="Q58" s="623"/>
      <c r="R58" s="623"/>
      <c r="S58" s="623"/>
      <c r="T58" s="623"/>
      <c r="U58" s="623"/>
      <c r="V58" s="623"/>
      <c r="W58" s="623"/>
      <c r="X58" s="623"/>
      <c r="Y58" s="623"/>
      <c r="Z58" s="623"/>
      <c r="AA58" s="623"/>
      <c r="AB58" s="623"/>
      <c r="AC58" s="623"/>
      <c r="AD58" s="623"/>
      <c r="AE58" s="623"/>
      <c r="AF58" s="623"/>
      <c r="AG58" s="102">
        <f t="shared" si="1"/>
        <v>0</v>
      </c>
    </row>
    <row r="59" spans="1:33" s="617" customFormat="1" x14ac:dyDescent="0.3">
      <c r="A59" s="1079" t="s">
        <v>54</v>
      </c>
      <c r="B59" s="1080"/>
      <c r="C59" s="1080"/>
      <c r="D59" s="1080"/>
      <c r="E59" s="1080"/>
      <c r="F59" s="1080"/>
      <c r="G59" s="1080"/>
      <c r="H59" s="1080"/>
      <c r="I59" s="1080"/>
      <c r="J59" s="1080"/>
      <c r="K59" s="1080"/>
      <c r="L59" s="1080"/>
      <c r="M59" s="1080"/>
      <c r="N59" s="1080"/>
      <c r="O59" s="1080"/>
      <c r="P59" s="1080"/>
      <c r="Q59" s="1080"/>
      <c r="R59" s="1080"/>
      <c r="S59" s="1080"/>
      <c r="T59" s="1080"/>
      <c r="U59" s="1080"/>
      <c r="V59" s="1080"/>
      <c r="W59" s="1080"/>
      <c r="X59" s="1080"/>
      <c r="Y59" s="1080"/>
      <c r="Z59" s="1080"/>
      <c r="AA59" s="1080"/>
      <c r="AB59" s="1080"/>
      <c r="AC59" s="1080"/>
      <c r="AD59" s="1080"/>
      <c r="AE59" s="1080"/>
      <c r="AF59" s="1081"/>
      <c r="AG59" s="616">
        <f t="shared" si="1"/>
        <v>0</v>
      </c>
    </row>
    <row r="60" spans="1:33" s="617" customFormat="1" ht="152.25" customHeight="1" x14ac:dyDescent="0.3">
      <c r="A60" s="624" t="s">
        <v>325</v>
      </c>
      <c r="B60" s="628"/>
      <c r="C60" s="629"/>
      <c r="D60" s="629"/>
      <c r="E60" s="629"/>
      <c r="F60" s="629"/>
      <c r="G60" s="629"/>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15"/>
      <c r="AG60" s="616">
        <f t="shared" si="1"/>
        <v>0</v>
      </c>
    </row>
    <row r="61" spans="1:33" s="617" customFormat="1" x14ac:dyDescent="0.3">
      <c r="A61" s="618" t="s">
        <v>31</v>
      </c>
      <c r="B61" s="619">
        <f>B62+B63+B64</f>
        <v>5480.5959999999995</v>
      </c>
      <c r="C61" s="619">
        <f>C62+C63+C64</f>
        <v>4679.8779999999997</v>
      </c>
      <c r="D61" s="619">
        <f>D62+D63+D64</f>
        <v>4679.8820000000005</v>
      </c>
      <c r="E61" s="619">
        <f>E62+E63+E64</f>
        <v>4679.8820000000005</v>
      </c>
      <c r="F61" s="619">
        <f>IFERROR(E61/B61*100,0)</f>
        <v>85.390019625602775</v>
      </c>
      <c r="G61" s="619">
        <f>IFERROR(E61/C61*100,0)</f>
        <v>100.0000854723136</v>
      </c>
      <c r="H61" s="619">
        <f t="shared" ref="H61:AE61" si="17">H62+H63+H64</f>
        <v>0</v>
      </c>
      <c r="I61" s="619">
        <f t="shared" si="17"/>
        <v>0</v>
      </c>
      <c r="J61" s="619">
        <f t="shared" si="17"/>
        <v>0</v>
      </c>
      <c r="K61" s="619">
        <f t="shared" si="17"/>
        <v>0</v>
      </c>
      <c r="L61" s="619">
        <f t="shared" si="17"/>
        <v>2127.5990000000002</v>
      </c>
      <c r="M61" s="619">
        <f t="shared" si="17"/>
        <v>2127.6019999999999</v>
      </c>
      <c r="N61" s="619">
        <f t="shared" si="17"/>
        <v>2552.2790000000005</v>
      </c>
      <c r="O61" s="619">
        <f t="shared" si="17"/>
        <v>2552.2799999999997</v>
      </c>
      <c r="P61" s="619">
        <f t="shared" si="17"/>
        <v>0</v>
      </c>
      <c r="Q61" s="619">
        <f t="shared" si="17"/>
        <v>0</v>
      </c>
      <c r="R61" s="619">
        <f t="shared" si="17"/>
        <v>0</v>
      </c>
      <c r="S61" s="619">
        <f t="shared" si="17"/>
        <v>0</v>
      </c>
      <c r="T61" s="619">
        <f t="shared" si="17"/>
        <v>0</v>
      </c>
      <c r="U61" s="619">
        <f t="shared" si="17"/>
        <v>0</v>
      </c>
      <c r="V61" s="619">
        <f t="shared" si="17"/>
        <v>0</v>
      </c>
      <c r="W61" s="619">
        <f t="shared" si="17"/>
        <v>0</v>
      </c>
      <c r="X61" s="619">
        <f t="shared" si="17"/>
        <v>0</v>
      </c>
      <c r="Y61" s="619">
        <f t="shared" si="17"/>
        <v>0</v>
      </c>
      <c r="Z61" s="619">
        <f t="shared" si="17"/>
        <v>0</v>
      </c>
      <c r="AA61" s="619">
        <f t="shared" si="17"/>
        <v>0</v>
      </c>
      <c r="AB61" s="619">
        <f t="shared" si="17"/>
        <v>0</v>
      </c>
      <c r="AC61" s="619">
        <f t="shared" si="17"/>
        <v>0</v>
      </c>
      <c r="AD61" s="619">
        <f t="shared" si="17"/>
        <v>800.71800000000007</v>
      </c>
      <c r="AE61" s="619">
        <f t="shared" si="17"/>
        <v>0</v>
      </c>
      <c r="AF61" s="615"/>
      <c r="AG61" s="616">
        <f t="shared" si="1"/>
        <v>-1.1368683772161603E-12</v>
      </c>
    </row>
    <row r="62" spans="1:33" s="617" customFormat="1" x14ac:dyDescent="0.3">
      <c r="A62" s="621" t="s">
        <v>169</v>
      </c>
      <c r="B62" s="622">
        <f>J62+L62+N62+P62+R62+T62+V62+X62+Z62+AB62+AD62+H62</f>
        <v>407.99800000000005</v>
      </c>
      <c r="C62" s="622">
        <f>SUM(H62+J62+L62+N62)</f>
        <v>348.37800000000004</v>
      </c>
      <c r="D62" s="622">
        <f>E62</f>
        <v>348.38099999999997</v>
      </c>
      <c r="E62" s="622">
        <f>SUM(I62,K62,M62,O62,Q62,S62,U62,W62,Y62,AA62,AC62,AE62)</f>
        <v>348.38099999999997</v>
      </c>
      <c r="F62" s="622">
        <f>IFERROR(E62/B62*100,0)</f>
        <v>85.387918568228258</v>
      </c>
      <c r="G62" s="622">
        <f>IFERROR(E62/C62*100,0)</f>
        <v>100.00086113359626</v>
      </c>
      <c r="H62" s="622"/>
      <c r="I62" s="622"/>
      <c r="J62" s="622"/>
      <c r="K62" s="622"/>
      <c r="L62" s="622">
        <v>158.38200000000001</v>
      </c>
      <c r="M62" s="622">
        <v>158.38200000000001</v>
      </c>
      <c r="N62" s="622">
        <v>189.99600000000001</v>
      </c>
      <c r="O62" s="622">
        <v>189.999</v>
      </c>
      <c r="P62" s="622"/>
      <c r="Q62" s="622"/>
      <c r="R62" s="622"/>
      <c r="S62" s="622"/>
      <c r="T62" s="622"/>
      <c r="U62" s="622"/>
      <c r="V62" s="622"/>
      <c r="W62" s="622"/>
      <c r="X62" s="622"/>
      <c r="Y62" s="622"/>
      <c r="Z62" s="622"/>
      <c r="AA62" s="622"/>
      <c r="AB62" s="622"/>
      <c r="AC62" s="622"/>
      <c r="AD62" s="622">
        <v>59.62</v>
      </c>
      <c r="AE62" s="622"/>
      <c r="AF62" s="615"/>
      <c r="AG62" s="616">
        <f t="shared" si="1"/>
        <v>0</v>
      </c>
    </row>
    <row r="63" spans="1:33" s="617" customFormat="1" x14ac:dyDescent="0.3">
      <c r="A63" s="621" t="s">
        <v>32</v>
      </c>
      <c r="B63" s="622">
        <f>J63+L63+N63+P63+R63+T63+V63+X63+Z63+AB63+AD63+H63</f>
        <v>4798.4989999999998</v>
      </c>
      <c r="C63" s="622">
        <f>SUM(H63+J63+L63+N63)</f>
        <v>4097.4470000000001</v>
      </c>
      <c r="D63" s="622">
        <f>E63</f>
        <v>4097.4470000000001</v>
      </c>
      <c r="E63" s="622">
        <f>SUM(I63,K63,M63,O63,Q63,S63,U63,W63,Y63,AA63,AC63,AE63)</f>
        <v>4097.4470000000001</v>
      </c>
      <c r="F63" s="622"/>
      <c r="G63" s="622"/>
      <c r="H63" s="622"/>
      <c r="I63" s="622"/>
      <c r="J63" s="622"/>
      <c r="K63" s="622"/>
      <c r="L63" s="622">
        <v>1862.81</v>
      </c>
      <c r="M63" s="622">
        <v>1862.81</v>
      </c>
      <c r="N63" s="622">
        <v>2234.6370000000002</v>
      </c>
      <c r="O63" s="622">
        <v>2234.6370000000002</v>
      </c>
      <c r="P63" s="622"/>
      <c r="Q63" s="622"/>
      <c r="R63" s="622"/>
      <c r="S63" s="622"/>
      <c r="T63" s="622"/>
      <c r="U63" s="622"/>
      <c r="V63" s="622"/>
      <c r="W63" s="622"/>
      <c r="X63" s="622"/>
      <c r="Y63" s="622"/>
      <c r="Z63" s="622"/>
      <c r="AA63" s="622"/>
      <c r="AB63" s="622"/>
      <c r="AC63" s="622"/>
      <c r="AD63" s="622">
        <v>701.05200000000002</v>
      </c>
      <c r="AE63" s="622"/>
      <c r="AF63" s="615"/>
      <c r="AG63" s="616">
        <f t="shared" si="1"/>
        <v>0</v>
      </c>
    </row>
    <row r="64" spans="1:33" s="617" customFormat="1" x14ac:dyDescent="0.3">
      <c r="A64" s="621" t="s">
        <v>33</v>
      </c>
      <c r="B64" s="622">
        <f>J64+L64+N64+P64+R64+T64+V64+X64+Z64+AB64+AD64+H64</f>
        <v>274.09899999999999</v>
      </c>
      <c r="C64" s="622">
        <f>SUM(H64+J64+L64+N64)</f>
        <v>234.053</v>
      </c>
      <c r="D64" s="622">
        <f>E64</f>
        <v>234.054</v>
      </c>
      <c r="E64" s="622">
        <f>SUM(I64,K64,M64,O64,Q64,S64,U64,W64,Y64,AA64,AC64,AE64)</f>
        <v>234.054</v>
      </c>
      <c r="F64" s="622">
        <f>IFERROR(E64/B64*100,0)</f>
        <v>85.390315178092592</v>
      </c>
      <c r="G64" s="622">
        <f>IFERROR(E64/C64*100,0)</f>
        <v>100.00042725365623</v>
      </c>
      <c r="H64" s="622"/>
      <c r="I64" s="622"/>
      <c r="J64" s="622"/>
      <c r="K64" s="622"/>
      <c r="L64" s="622">
        <v>106.407</v>
      </c>
      <c r="M64" s="622">
        <v>106.41</v>
      </c>
      <c r="N64" s="622">
        <v>127.646</v>
      </c>
      <c r="O64" s="622">
        <v>127.64400000000001</v>
      </c>
      <c r="P64" s="622"/>
      <c r="Q64" s="622"/>
      <c r="R64" s="622"/>
      <c r="S64" s="622"/>
      <c r="T64" s="622"/>
      <c r="U64" s="622"/>
      <c r="V64" s="622"/>
      <c r="W64" s="622"/>
      <c r="X64" s="622"/>
      <c r="Y64" s="622"/>
      <c r="Z64" s="622"/>
      <c r="AA64" s="622"/>
      <c r="AB64" s="622"/>
      <c r="AC64" s="622"/>
      <c r="AD64" s="622">
        <v>40.045999999999999</v>
      </c>
      <c r="AE64" s="622"/>
      <c r="AF64" s="615"/>
      <c r="AG64" s="616">
        <f t="shared" si="1"/>
        <v>0</v>
      </c>
    </row>
    <row r="65" spans="1:33" s="617" customFormat="1" ht="37.5" x14ac:dyDescent="0.3">
      <c r="A65" s="628" t="s">
        <v>174</v>
      </c>
      <c r="B65" s="622">
        <f>J65+L65+N65+P65+R65+T65+V65+X65+Z65+AB65+AD65+H65</f>
        <v>274.09899999999999</v>
      </c>
      <c r="C65" s="622">
        <f>SUM(H65+J65+L65+N65)</f>
        <v>234.053</v>
      </c>
      <c r="D65" s="622">
        <f>E65</f>
        <v>234.054</v>
      </c>
      <c r="E65" s="622">
        <f>SUM(I65,K65,M65,O65,Q65,S65,U65,W65,Y65,AA65,AC65,AE65)</f>
        <v>234.054</v>
      </c>
      <c r="F65" s="622">
        <f>IFERROR(E65/B65*100,0)</f>
        <v>85.390315178092592</v>
      </c>
      <c r="G65" s="622">
        <f>IFERROR(E65/C65*100,0)</f>
        <v>100.00042725365623</v>
      </c>
      <c r="H65" s="622"/>
      <c r="I65" s="622"/>
      <c r="J65" s="622"/>
      <c r="K65" s="622"/>
      <c r="L65" s="622">
        <v>106.407</v>
      </c>
      <c r="M65" s="622">
        <v>106.41</v>
      </c>
      <c r="N65" s="622">
        <v>127.646</v>
      </c>
      <c r="O65" s="622">
        <v>127.64400000000001</v>
      </c>
      <c r="P65" s="622"/>
      <c r="Q65" s="622"/>
      <c r="R65" s="622"/>
      <c r="S65" s="622"/>
      <c r="T65" s="622"/>
      <c r="U65" s="622"/>
      <c r="V65" s="622"/>
      <c r="W65" s="622"/>
      <c r="X65" s="622"/>
      <c r="Y65" s="622"/>
      <c r="Z65" s="622"/>
      <c r="AA65" s="622"/>
      <c r="AB65" s="622"/>
      <c r="AC65" s="622"/>
      <c r="AD65" s="622">
        <v>40.045999999999999</v>
      </c>
      <c r="AE65" s="622"/>
      <c r="AF65" s="615"/>
      <c r="AG65" s="616"/>
    </row>
    <row r="66" spans="1:33" s="617" customFormat="1" x14ac:dyDescent="0.3">
      <c r="A66" s="621" t="s">
        <v>170</v>
      </c>
      <c r="B66" s="622">
        <f>J66+L66+N66+P66+R66+T66+V66+X66+Z66+AB66+AD66+H66</f>
        <v>0</v>
      </c>
      <c r="C66" s="622">
        <f>SUM(H66+J66+L66+N66)</f>
        <v>0</v>
      </c>
      <c r="D66" s="622">
        <f>E66</f>
        <v>0</v>
      </c>
      <c r="E66" s="622">
        <f>SUM(I66,K66,M66,O66,Q66,S66,U66,W66,Y66,AA66,AC66,AE66)</f>
        <v>0</v>
      </c>
      <c r="F66" s="622">
        <f>IFERROR(E66/B66*100,0)</f>
        <v>0</v>
      </c>
      <c r="G66" s="622">
        <f>IFERROR(E66/C66*100,0)</f>
        <v>0</v>
      </c>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15"/>
      <c r="AG66" s="616">
        <f t="shared" si="1"/>
        <v>0</v>
      </c>
    </row>
    <row r="67" spans="1:33" s="617" customFormat="1" ht="168.75" x14ac:dyDescent="0.3">
      <c r="A67" s="624" t="s">
        <v>326</v>
      </c>
      <c r="B67" s="622"/>
      <c r="C67" s="630"/>
      <c r="D67" s="630"/>
      <c r="E67" s="630"/>
      <c r="F67" s="630"/>
      <c r="G67" s="630"/>
      <c r="H67" s="622"/>
      <c r="I67" s="622"/>
      <c r="J67" s="622"/>
      <c r="K67" s="622"/>
      <c r="L67" s="622"/>
      <c r="M67" s="622"/>
      <c r="N67" s="622"/>
      <c r="O67" s="622"/>
      <c r="P67" s="622"/>
      <c r="Q67" s="622"/>
      <c r="R67" s="622"/>
      <c r="S67" s="622"/>
      <c r="T67" s="622"/>
      <c r="U67" s="622"/>
      <c r="V67" s="622"/>
      <c r="W67" s="622"/>
      <c r="X67" s="622"/>
      <c r="Y67" s="622"/>
      <c r="Z67" s="622"/>
      <c r="AA67" s="622"/>
      <c r="AB67" s="622"/>
      <c r="AC67" s="622"/>
      <c r="AD67" s="622"/>
      <c r="AE67" s="622"/>
      <c r="AF67" s="615"/>
      <c r="AG67" s="616">
        <f t="shared" si="1"/>
        <v>0</v>
      </c>
    </row>
    <row r="68" spans="1:33" s="617" customFormat="1" x14ac:dyDescent="0.3">
      <c r="A68" s="618" t="s">
        <v>31</v>
      </c>
      <c r="B68" s="619">
        <f>B69+B70+B71+B72</f>
        <v>1981</v>
      </c>
      <c r="C68" s="619">
        <f>C69+C70+C71+C72</f>
        <v>0</v>
      </c>
      <c r="D68" s="619">
        <f>D69+D70+D71+D72</f>
        <v>0</v>
      </c>
      <c r="E68" s="619">
        <f>E69+E70+E71+E72</f>
        <v>0</v>
      </c>
      <c r="F68" s="622">
        <v>0</v>
      </c>
      <c r="G68" s="622">
        <v>0</v>
      </c>
      <c r="H68" s="619">
        <f>H69+H70+H71+H72</f>
        <v>0</v>
      </c>
      <c r="I68" s="619">
        <f t="shared" ref="I68:AE68" si="18">I69+I70+I71+I72</f>
        <v>0</v>
      </c>
      <c r="J68" s="619">
        <f t="shared" si="18"/>
        <v>0</v>
      </c>
      <c r="K68" s="619">
        <f t="shared" si="18"/>
        <v>0</v>
      </c>
      <c r="L68" s="619">
        <f t="shared" si="18"/>
        <v>0</v>
      </c>
      <c r="M68" s="619">
        <f t="shared" si="18"/>
        <v>0</v>
      </c>
      <c r="N68" s="619">
        <f t="shared" si="18"/>
        <v>0</v>
      </c>
      <c r="O68" s="619">
        <f t="shared" si="18"/>
        <v>0</v>
      </c>
      <c r="P68" s="619">
        <f t="shared" si="18"/>
        <v>0</v>
      </c>
      <c r="Q68" s="619">
        <f t="shared" si="18"/>
        <v>0</v>
      </c>
      <c r="R68" s="619">
        <f t="shared" si="18"/>
        <v>0</v>
      </c>
      <c r="S68" s="619">
        <f t="shared" si="18"/>
        <v>0</v>
      </c>
      <c r="T68" s="619">
        <f t="shared" si="18"/>
        <v>0</v>
      </c>
      <c r="U68" s="619">
        <f t="shared" si="18"/>
        <v>0</v>
      </c>
      <c r="V68" s="619">
        <f t="shared" si="18"/>
        <v>0</v>
      </c>
      <c r="W68" s="619">
        <f t="shared" si="18"/>
        <v>0</v>
      </c>
      <c r="X68" s="619">
        <f t="shared" si="18"/>
        <v>0</v>
      </c>
      <c r="Y68" s="619">
        <f t="shared" si="18"/>
        <v>0</v>
      </c>
      <c r="Z68" s="619">
        <f t="shared" si="18"/>
        <v>0</v>
      </c>
      <c r="AA68" s="619">
        <f t="shared" si="18"/>
        <v>0</v>
      </c>
      <c r="AB68" s="619">
        <f t="shared" si="18"/>
        <v>0</v>
      </c>
      <c r="AC68" s="619">
        <f t="shared" si="18"/>
        <v>0</v>
      </c>
      <c r="AD68" s="619">
        <f t="shared" si="18"/>
        <v>1981</v>
      </c>
      <c r="AE68" s="619">
        <f t="shared" si="18"/>
        <v>0</v>
      </c>
      <c r="AF68" s="615"/>
      <c r="AG68" s="616">
        <f t="shared" si="1"/>
        <v>0</v>
      </c>
    </row>
    <row r="69" spans="1:33" s="617" customFormat="1" x14ac:dyDescent="0.3">
      <c r="A69" s="621" t="s">
        <v>169</v>
      </c>
      <c r="B69" s="622">
        <f>J69+L69+N69+P69+R69+T69+V69+X69+Z69+AB69+AD69+H69</f>
        <v>1981</v>
      </c>
      <c r="C69" s="622">
        <f>SUM(H69+J69+L69+N69)</f>
        <v>0</v>
      </c>
      <c r="D69" s="622">
        <f>E69</f>
        <v>0</v>
      </c>
      <c r="E69" s="622">
        <f>SUM(I69,K69,M69,O69,Q69,S69,U69,W69,Y69,AA69,AC69,AE69)</f>
        <v>0</v>
      </c>
      <c r="F69" s="622"/>
      <c r="G69" s="622"/>
      <c r="H69" s="622"/>
      <c r="I69" s="622"/>
      <c r="J69" s="622"/>
      <c r="K69" s="622"/>
      <c r="L69" s="622"/>
      <c r="M69" s="622"/>
      <c r="N69" s="622"/>
      <c r="O69" s="622"/>
      <c r="P69" s="622"/>
      <c r="Q69" s="622"/>
      <c r="R69" s="622"/>
      <c r="S69" s="622"/>
      <c r="T69" s="622"/>
      <c r="U69" s="622"/>
      <c r="V69" s="622"/>
      <c r="W69" s="622"/>
      <c r="X69" s="622"/>
      <c r="Y69" s="622"/>
      <c r="Z69" s="622"/>
      <c r="AA69" s="622"/>
      <c r="AB69" s="622"/>
      <c r="AC69" s="622"/>
      <c r="AD69" s="622">
        <v>1981</v>
      </c>
      <c r="AE69" s="622"/>
      <c r="AF69" s="615"/>
      <c r="AG69" s="616">
        <f t="shared" si="1"/>
        <v>0</v>
      </c>
    </row>
    <row r="70" spans="1:33" s="617" customFormat="1" x14ac:dyDescent="0.3">
      <c r="A70" s="621" t="s">
        <v>32</v>
      </c>
      <c r="B70" s="622">
        <f>J70+L70+N70+P70+R70+T70+V70+X70+Z70+AB70+AD70+H70</f>
        <v>0</v>
      </c>
      <c r="C70" s="622">
        <f>SUM(H70+J70+L70+N70)</f>
        <v>0</v>
      </c>
      <c r="D70" s="622">
        <f>E70</f>
        <v>0</v>
      </c>
      <c r="E70" s="622">
        <f>SUM(I70,K70,M70,O70,Q70,S70,U70,W70,Y70,AA70,AC70,AE70)</f>
        <v>0</v>
      </c>
      <c r="F70" s="622"/>
      <c r="G70" s="622"/>
      <c r="H70" s="622"/>
      <c r="I70" s="622"/>
      <c r="J70" s="622"/>
      <c r="K70" s="622"/>
      <c r="L70" s="622"/>
      <c r="M70" s="622"/>
      <c r="N70" s="622"/>
      <c r="O70" s="622"/>
      <c r="P70" s="622"/>
      <c r="Q70" s="622"/>
      <c r="R70" s="622"/>
      <c r="S70" s="622"/>
      <c r="T70" s="622"/>
      <c r="U70" s="622"/>
      <c r="V70" s="622"/>
      <c r="W70" s="622"/>
      <c r="X70" s="622"/>
      <c r="Y70" s="622"/>
      <c r="Z70" s="622"/>
      <c r="AA70" s="622"/>
      <c r="AB70" s="622"/>
      <c r="AC70" s="622"/>
      <c r="AD70" s="622"/>
      <c r="AE70" s="622"/>
      <c r="AF70" s="615"/>
      <c r="AG70" s="616">
        <f t="shared" si="1"/>
        <v>0</v>
      </c>
    </row>
    <row r="71" spans="1:33" s="617" customFormat="1" x14ac:dyDescent="0.3">
      <c r="A71" s="621" t="s">
        <v>33</v>
      </c>
      <c r="B71" s="622">
        <f>J71+L71+N71+P71+R71+T71+V71+X71+Z71+AB71+AD71+H71</f>
        <v>0</v>
      </c>
      <c r="C71" s="622">
        <f>SUM(H71+J71+L71+N71)</f>
        <v>0</v>
      </c>
      <c r="D71" s="622">
        <f>E71</f>
        <v>0</v>
      </c>
      <c r="E71" s="622">
        <f>SUM(I71,K71,M71,O71,Q71,S71,U71,W71,Y71,AA71,AC71,AE71)</f>
        <v>0</v>
      </c>
      <c r="F71" s="622">
        <f>IFERROR(E71/B71*100,0)</f>
        <v>0</v>
      </c>
      <c r="G71" s="622">
        <f>IFERROR(E71/C71*100,0)</f>
        <v>0</v>
      </c>
      <c r="H71" s="622"/>
      <c r="I71" s="622"/>
      <c r="J71" s="622"/>
      <c r="K71" s="622"/>
      <c r="L71" s="622"/>
      <c r="M71" s="622"/>
      <c r="N71" s="622"/>
      <c r="O71" s="622"/>
      <c r="P71" s="622"/>
      <c r="Q71" s="622"/>
      <c r="R71" s="622"/>
      <c r="S71" s="622"/>
      <c r="T71" s="622"/>
      <c r="U71" s="622"/>
      <c r="V71" s="622"/>
      <c r="W71" s="622"/>
      <c r="X71" s="622"/>
      <c r="Y71" s="622"/>
      <c r="Z71" s="622"/>
      <c r="AA71" s="622"/>
      <c r="AB71" s="622"/>
      <c r="AC71" s="622"/>
      <c r="AD71" s="622"/>
      <c r="AE71" s="622"/>
      <c r="AF71" s="615"/>
      <c r="AG71" s="616">
        <f t="shared" si="1"/>
        <v>0</v>
      </c>
    </row>
    <row r="72" spans="1:33" s="617" customFormat="1" x14ac:dyDescent="0.3">
      <c r="A72" s="621" t="s">
        <v>170</v>
      </c>
      <c r="B72" s="622">
        <f>J72+L72+N72+P72+R72+T72+V72+X72+Z72+AB72+AD72+H72</f>
        <v>0</v>
      </c>
      <c r="C72" s="622">
        <f>SUM(H72+J72+L72+N72)</f>
        <v>0</v>
      </c>
      <c r="D72" s="622">
        <f>E72</f>
        <v>0</v>
      </c>
      <c r="E72" s="622">
        <f>SUM(I72,K72,M72,O72,Q72,S72,U72,W72,Y72,AA72,AC72,AE72)</f>
        <v>0</v>
      </c>
      <c r="F72" s="622"/>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15"/>
      <c r="AG72" s="616">
        <f t="shared" si="1"/>
        <v>0</v>
      </c>
    </row>
    <row r="73" spans="1:33" s="617" customFormat="1" ht="75" x14ac:dyDescent="0.3">
      <c r="A73" s="624" t="s">
        <v>327</v>
      </c>
      <c r="B73" s="622"/>
      <c r="C73" s="630"/>
      <c r="D73" s="630"/>
      <c r="E73" s="630"/>
      <c r="F73" s="630"/>
      <c r="G73" s="630"/>
      <c r="H73" s="622"/>
      <c r="I73" s="622"/>
      <c r="J73" s="622"/>
      <c r="K73" s="622"/>
      <c r="L73" s="622"/>
      <c r="M73" s="622"/>
      <c r="N73" s="622"/>
      <c r="O73" s="622"/>
      <c r="P73" s="622"/>
      <c r="Q73" s="622"/>
      <c r="R73" s="622"/>
      <c r="S73" s="622"/>
      <c r="T73" s="622"/>
      <c r="U73" s="622"/>
      <c r="V73" s="622"/>
      <c r="W73" s="622"/>
      <c r="X73" s="622"/>
      <c r="Y73" s="622"/>
      <c r="Z73" s="622"/>
      <c r="AA73" s="622"/>
      <c r="AB73" s="622"/>
      <c r="AC73" s="622"/>
      <c r="AD73" s="622"/>
      <c r="AE73" s="622"/>
      <c r="AF73" s="615"/>
      <c r="AG73" s="616">
        <f t="shared" si="1"/>
        <v>0</v>
      </c>
    </row>
    <row r="74" spans="1:33" s="617" customFormat="1" x14ac:dyDescent="0.3">
      <c r="A74" s="618" t="s">
        <v>31</v>
      </c>
      <c r="B74" s="619">
        <f>B75+B76+B77+B78</f>
        <v>2055.7999999999997</v>
      </c>
      <c r="C74" s="619">
        <f>C75+C76+C77+C78</f>
        <v>9.1999999999999993</v>
      </c>
      <c r="D74" s="619">
        <f>D75+D76+D77+D78</f>
        <v>0</v>
      </c>
      <c r="E74" s="619">
        <f>E75+E76+E77+E78</f>
        <v>0</v>
      </c>
      <c r="F74" s="622">
        <v>0</v>
      </c>
      <c r="G74" s="622">
        <v>0</v>
      </c>
      <c r="H74" s="619">
        <f>H75+H76+H77+H78</f>
        <v>0</v>
      </c>
      <c r="I74" s="619">
        <f t="shared" ref="I74:AE74" si="19">I75+I76+I77+I78</f>
        <v>0</v>
      </c>
      <c r="J74" s="619">
        <f t="shared" si="19"/>
        <v>0</v>
      </c>
      <c r="K74" s="619">
        <f t="shared" si="19"/>
        <v>0</v>
      </c>
      <c r="L74" s="619">
        <f t="shared" si="19"/>
        <v>0</v>
      </c>
      <c r="M74" s="619">
        <f t="shared" si="19"/>
        <v>0</v>
      </c>
      <c r="N74" s="619">
        <f t="shared" si="19"/>
        <v>9.1999999999999993</v>
      </c>
      <c r="O74" s="619">
        <f t="shared" si="19"/>
        <v>0</v>
      </c>
      <c r="P74" s="619">
        <f t="shared" si="19"/>
        <v>0</v>
      </c>
      <c r="Q74" s="619">
        <f t="shared" si="19"/>
        <v>0</v>
      </c>
      <c r="R74" s="619">
        <f t="shared" si="19"/>
        <v>0</v>
      </c>
      <c r="S74" s="619">
        <f t="shared" si="19"/>
        <v>0</v>
      </c>
      <c r="T74" s="619">
        <f t="shared" si="19"/>
        <v>0</v>
      </c>
      <c r="U74" s="619">
        <f t="shared" si="19"/>
        <v>0</v>
      </c>
      <c r="V74" s="619">
        <f t="shared" si="19"/>
        <v>0</v>
      </c>
      <c r="W74" s="619">
        <f t="shared" si="19"/>
        <v>0</v>
      </c>
      <c r="X74" s="619">
        <f t="shared" si="19"/>
        <v>0</v>
      </c>
      <c r="Y74" s="619">
        <f t="shared" si="19"/>
        <v>0</v>
      </c>
      <c r="Z74" s="619">
        <f t="shared" si="19"/>
        <v>0</v>
      </c>
      <c r="AA74" s="619">
        <f t="shared" si="19"/>
        <v>0</v>
      </c>
      <c r="AB74" s="619">
        <f t="shared" si="19"/>
        <v>0</v>
      </c>
      <c r="AC74" s="619">
        <f t="shared" si="19"/>
        <v>0</v>
      </c>
      <c r="AD74" s="619">
        <f t="shared" si="19"/>
        <v>2046.6</v>
      </c>
      <c r="AE74" s="619">
        <f t="shared" si="19"/>
        <v>0</v>
      </c>
      <c r="AF74" s="615"/>
      <c r="AG74" s="616">
        <f t="shared" si="1"/>
        <v>0</v>
      </c>
    </row>
    <row r="75" spans="1:33" s="617" customFormat="1" x14ac:dyDescent="0.3">
      <c r="A75" s="621" t="s">
        <v>169</v>
      </c>
      <c r="B75" s="622">
        <f>J75+L75+N75+P75+R75+T75+V75+X75+Z75+AB75+AD75+H75</f>
        <v>2046.6</v>
      </c>
      <c r="C75" s="622">
        <f>SUM(H75+J75+L75+N75)</f>
        <v>0</v>
      </c>
      <c r="D75" s="622">
        <f>E75</f>
        <v>0</v>
      </c>
      <c r="E75" s="622">
        <f>SUM(I75,K75,M75,O75,Q75,S75,U75,W75,Y75,AA75,AC75,AE75)</f>
        <v>0</v>
      </c>
      <c r="F75" s="622"/>
      <c r="G75" s="622"/>
      <c r="H75" s="622"/>
      <c r="I75" s="622"/>
      <c r="J75" s="622"/>
      <c r="K75" s="622"/>
      <c r="L75" s="622"/>
      <c r="M75" s="622"/>
      <c r="N75" s="622"/>
      <c r="O75" s="622"/>
      <c r="P75" s="622"/>
      <c r="Q75" s="622"/>
      <c r="R75" s="622"/>
      <c r="S75" s="622"/>
      <c r="T75" s="622"/>
      <c r="U75" s="622"/>
      <c r="V75" s="622"/>
      <c r="W75" s="622"/>
      <c r="X75" s="622"/>
      <c r="Y75" s="622"/>
      <c r="Z75" s="622"/>
      <c r="AA75" s="622"/>
      <c r="AB75" s="622"/>
      <c r="AC75" s="622"/>
      <c r="AD75" s="622">
        <v>2046.6</v>
      </c>
      <c r="AE75" s="622"/>
      <c r="AF75" s="615"/>
      <c r="AG75" s="616">
        <f t="shared" si="1"/>
        <v>0</v>
      </c>
    </row>
    <row r="76" spans="1:33" s="617" customFormat="1" x14ac:dyDescent="0.3">
      <c r="A76" s="621" t="s">
        <v>32</v>
      </c>
      <c r="B76" s="622">
        <f>J76+L76+N76+P76+R76+T76+V76+X76+Z76+AB76+AD76+H76</f>
        <v>9.1999999999999993</v>
      </c>
      <c r="C76" s="622">
        <f>SUM(H76+J76+L76+N76)</f>
        <v>9.1999999999999993</v>
      </c>
      <c r="D76" s="622">
        <f>E76</f>
        <v>0</v>
      </c>
      <c r="E76" s="622">
        <f>SUM(I76,K76,M76,O76,Q76,S76,U76,W76,Y76,AA76,AC76,AE76)</f>
        <v>0</v>
      </c>
      <c r="F76" s="622"/>
      <c r="G76" s="622"/>
      <c r="H76" s="622"/>
      <c r="I76" s="622"/>
      <c r="J76" s="622"/>
      <c r="K76" s="622"/>
      <c r="L76" s="622"/>
      <c r="M76" s="622"/>
      <c r="N76" s="622">
        <v>9.1999999999999993</v>
      </c>
      <c r="O76" s="622"/>
      <c r="P76" s="622"/>
      <c r="Q76" s="622"/>
      <c r="R76" s="622"/>
      <c r="S76" s="622"/>
      <c r="T76" s="622"/>
      <c r="U76" s="622"/>
      <c r="V76" s="622"/>
      <c r="W76" s="622"/>
      <c r="X76" s="622"/>
      <c r="Y76" s="622"/>
      <c r="Z76" s="622"/>
      <c r="AA76" s="622"/>
      <c r="AB76" s="622"/>
      <c r="AC76" s="622"/>
      <c r="AD76" s="622"/>
      <c r="AE76" s="622"/>
      <c r="AF76" s="615"/>
      <c r="AG76" s="616">
        <f t="shared" si="1"/>
        <v>0</v>
      </c>
    </row>
    <row r="77" spans="1:33" s="617" customFormat="1" x14ac:dyDescent="0.3">
      <c r="A77" s="621" t="s">
        <v>33</v>
      </c>
      <c r="B77" s="622">
        <f>J77+L77+N77+P77+R77+T77+V77+X77+Z77+AB77+AD77+H77</f>
        <v>0</v>
      </c>
      <c r="C77" s="622">
        <f>SUM(H77+J77+L77+N77)</f>
        <v>0</v>
      </c>
      <c r="D77" s="622">
        <f>E77</f>
        <v>0</v>
      </c>
      <c r="E77" s="622">
        <f>SUM(I77,K77,M77,O77,Q77,S77,U77,W77,Y77,AA77,AC77,AE77)</f>
        <v>0</v>
      </c>
      <c r="F77" s="622">
        <f>IFERROR(E77/B77*100,0)</f>
        <v>0</v>
      </c>
      <c r="G77" s="622">
        <f>IFERROR(E77/C77*100,0)</f>
        <v>0</v>
      </c>
      <c r="H77" s="622"/>
      <c r="I77" s="622"/>
      <c r="J77" s="622"/>
      <c r="K77" s="622"/>
      <c r="L77" s="622"/>
      <c r="M77" s="622"/>
      <c r="N77" s="622"/>
      <c r="O77" s="622"/>
      <c r="P77" s="622"/>
      <c r="Q77" s="622"/>
      <c r="R77" s="622"/>
      <c r="S77" s="622"/>
      <c r="T77" s="622"/>
      <c r="U77" s="622"/>
      <c r="V77" s="622"/>
      <c r="W77" s="622"/>
      <c r="X77" s="622"/>
      <c r="Y77" s="622"/>
      <c r="Z77" s="622"/>
      <c r="AA77" s="622"/>
      <c r="AB77" s="622"/>
      <c r="AC77" s="622"/>
      <c r="AD77" s="622"/>
      <c r="AE77" s="622"/>
      <c r="AF77" s="615"/>
      <c r="AG77" s="616">
        <f t="shared" si="1"/>
        <v>0</v>
      </c>
    </row>
    <row r="78" spans="1:33" s="617" customFormat="1" x14ac:dyDescent="0.3">
      <c r="A78" s="621" t="s">
        <v>170</v>
      </c>
      <c r="B78" s="622">
        <f>J78+L78+N78+P78+R78+T78+V78+X78+Z78+AB78+AD78+H78</f>
        <v>0</v>
      </c>
      <c r="C78" s="622">
        <f>SUM(H78+J78+L78+N78)</f>
        <v>0</v>
      </c>
      <c r="D78" s="622">
        <f>E78</f>
        <v>0</v>
      </c>
      <c r="E78" s="622">
        <f>SUM(I78,K78,M78,O78,Q78,S78,U78,W78,Y78,AA78,AC78,AE78)</f>
        <v>0</v>
      </c>
      <c r="F78" s="622"/>
      <c r="G78" s="622"/>
      <c r="H78" s="622"/>
      <c r="I78" s="622"/>
      <c r="J78" s="622"/>
      <c r="K78" s="622"/>
      <c r="L78" s="622"/>
      <c r="M78" s="622"/>
      <c r="N78" s="622"/>
      <c r="O78" s="622"/>
      <c r="P78" s="622"/>
      <c r="Q78" s="622"/>
      <c r="R78" s="622"/>
      <c r="S78" s="622"/>
      <c r="T78" s="622"/>
      <c r="U78" s="622"/>
      <c r="V78" s="622"/>
      <c r="W78" s="622"/>
      <c r="X78" s="622"/>
      <c r="Y78" s="622"/>
      <c r="Z78" s="622"/>
      <c r="AA78" s="622"/>
      <c r="AB78" s="622"/>
      <c r="AC78" s="622"/>
      <c r="AD78" s="622"/>
      <c r="AE78" s="622"/>
      <c r="AF78" s="615"/>
      <c r="AG78" s="616">
        <f t="shared" si="1"/>
        <v>0</v>
      </c>
    </row>
    <row r="79" spans="1:33" s="617" customFormat="1" ht="187.5" x14ac:dyDescent="0.3">
      <c r="A79" s="624" t="s">
        <v>328</v>
      </c>
      <c r="B79" s="622"/>
      <c r="C79" s="630"/>
      <c r="D79" s="630"/>
      <c r="E79" s="630"/>
      <c r="F79" s="630"/>
      <c r="G79" s="630"/>
      <c r="H79" s="622"/>
      <c r="I79" s="622"/>
      <c r="J79" s="622"/>
      <c r="K79" s="622"/>
      <c r="L79" s="622"/>
      <c r="M79" s="622"/>
      <c r="N79" s="622"/>
      <c r="O79" s="622"/>
      <c r="P79" s="622"/>
      <c r="Q79" s="622"/>
      <c r="R79" s="622"/>
      <c r="S79" s="622"/>
      <c r="T79" s="622"/>
      <c r="U79" s="622"/>
      <c r="V79" s="622"/>
      <c r="W79" s="622"/>
      <c r="X79" s="622"/>
      <c r="Y79" s="622"/>
      <c r="Z79" s="622"/>
      <c r="AA79" s="622"/>
      <c r="AB79" s="622"/>
      <c r="AC79" s="622"/>
      <c r="AD79" s="622"/>
      <c r="AE79" s="622"/>
      <c r="AF79" s="615"/>
      <c r="AG79" s="616">
        <f t="shared" si="1"/>
        <v>0</v>
      </c>
    </row>
    <row r="80" spans="1:33" s="617" customFormat="1" x14ac:dyDescent="0.3">
      <c r="A80" s="618" t="s">
        <v>31</v>
      </c>
      <c r="B80" s="619">
        <f>B81+B82+B83+B84</f>
        <v>0</v>
      </c>
      <c r="C80" s="619">
        <f>C81+C82+C83+C84</f>
        <v>0</v>
      </c>
      <c r="D80" s="619">
        <f>D81+D82+D83+D84</f>
        <v>0</v>
      </c>
      <c r="E80" s="619">
        <f>E81+E82+E83+E84</f>
        <v>0</v>
      </c>
      <c r="F80" s="622">
        <v>0</v>
      </c>
      <c r="G80" s="622">
        <v>0</v>
      </c>
      <c r="H80" s="619">
        <f>H81+H82+H83+H84</f>
        <v>0</v>
      </c>
      <c r="I80" s="619">
        <f t="shared" ref="I80:AE80" si="20">I81+I82+I83+I84</f>
        <v>0</v>
      </c>
      <c r="J80" s="619">
        <f t="shared" si="20"/>
        <v>0</v>
      </c>
      <c r="K80" s="619">
        <f t="shared" si="20"/>
        <v>0</v>
      </c>
      <c r="L80" s="619">
        <f t="shared" si="20"/>
        <v>0</v>
      </c>
      <c r="M80" s="619">
        <f t="shared" si="20"/>
        <v>0</v>
      </c>
      <c r="N80" s="619">
        <f t="shared" si="20"/>
        <v>0</v>
      </c>
      <c r="O80" s="619">
        <f t="shared" si="20"/>
        <v>0</v>
      </c>
      <c r="P80" s="619">
        <f t="shared" si="20"/>
        <v>0</v>
      </c>
      <c r="Q80" s="619">
        <f t="shared" si="20"/>
        <v>0</v>
      </c>
      <c r="R80" s="619">
        <f t="shared" si="20"/>
        <v>0</v>
      </c>
      <c r="S80" s="619">
        <f t="shared" si="20"/>
        <v>0</v>
      </c>
      <c r="T80" s="619">
        <f t="shared" si="20"/>
        <v>0</v>
      </c>
      <c r="U80" s="619">
        <f t="shared" si="20"/>
        <v>0</v>
      </c>
      <c r="V80" s="619">
        <f t="shared" si="20"/>
        <v>0</v>
      </c>
      <c r="W80" s="619">
        <f t="shared" si="20"/>
        <v>0</v>
      </c>
      <c r="X80" s="619">
        <f t="shared" si="20"/>
        <v>0</v>
      </c>
      <c r="Y80" s="619">
        <f t="shared" si="20"/>
        <v>0</v>
      </c>
      <c r="Z80" s="619">
        <f t="shared" si="20"/>
        <v>0</v>
      </c>
      <c r="AA80" s="619">
        <f t="shared" si="20"/>
        <v>0</v>
      </c>
      <c r="AB80" s="619">
        <f t="shared" si="20"/>
        <v>0</v>
      </c>
      <c r="AC80" s="619">
        <f t="shared" si="20"/>
        <v>0</v>
      </c>
      <c r="AD80" s="619">
        <f t="shared" si="20"/>
        <v>0</v>
      </c>
      <c r="AE80" s="619">
        <f t="shared" si="20"/>
        <v>0</v>
      </c>
      <c r="AF80" s="615"/>
      <c r="AG80" s="616">
        <f t="shared" si="1"/>
        <v>0</v>
      </c>
    </row>
    <row r="81" spans="1:33" s="617" customFormat="1" x14ac:dyDescent="0.3">
      <c r="A81" s="621" t="s">
        <v>169</v>
      </c>
      <c r="B81" s="622">
        <f>J81+L81+N81+P81+R81+T81+V81+X81+Z81+AB81+AD81+H81</f>
        <v>0</v>
      </c>
      <c r="C81" s="622">
        <f>SUM(H81+J81+L81+N81)</f>
        <v>0</v>
      </c>
      <c r="D81" s="622">
        <f>E81</f>
        <v>0</v>
      </c>
      <c r="E81" s="622">
        <f>SUM(I81,K81,M81,O81,Q81,S81,U81,W81,Y81,AA81,AC81,AE81)</f>
        <v>0</v>
      </c>
      <c r="F81" s="622"/>
      <c r="G81" s="622"/>
      <c r="H81" s="622"/>
      <c r="I81" s="622"/>
      <c r="J81" s="622"/>
      <c r="K81" s="622"/>
      <c r="L81" s="622"/>
      <c r="M81" s="622"/>
      <c r="N81" s="622"/>
      <c r="O81" s="622"/>
      <c r="P81" s="622"/>
      <c r="Q81" s="622"/>
      <c r="R81" s="622"/>
      <c r="S81" s="622"/>
      <c r="T81" s="622"/>
      <c r="U81" s="622"/>
      <c r="V81" s="622"/>
      <c r="W81" s="622"/>
      <c r="X81" s="622"/>
      <c r="Y81" s="622"/>
      <c r="Z81" s="622"/>
      <c r="AA81" s="622"/>
      <c r="AB81" s="622"/>
      <c r="AC81" s="622"/>
      <c r="AD81" s="622"/>
      <c r="AE81" s="622"/>
      <c r="AF81" s="615"/>
      <c r="AG81" s="616">
        <f t="shared" si="1"/>
        <v>0</v>
      </c>
    </row>
    <row r="82" spans="1:33" s="617" customFormat="1" x14ac:dyDescent="0.3">
      <c r="A82" s="621" t="s">
        <v>32</v>
      </c>
      <c r="B82" s="622">
        <f>J82+L82+N82+P82+R82+T82+V82+X82+Z82+AB82+AD82+H82</f>
        <v>0</v>
      </c>
      <c r="C82" s="622">
        <f>SUM(H82+J82+L82+N82)</f>
        <v>0</v>
      </c>
      <c r="D82" s="622">
        <f>E82</f>
        <v>0</v>
      </c>
      <c r="E82" s="622">
        <f>SUM(I82,K82,M82,O82,Q82,S82,U82,W82,Y82,AA82,AC82,AE82)</f>
        <v>0</v>
      </c>
      <c r="F82" s="622"/>
      <c r="G82" s="622"/>
      <c r="H82" s="622"/>
      <c r="I82" s="622"/>
      <c r="J82" s="622"/>
      <c r="K82" s="622"/>
      <c r="L82" s="622"/>
      <c r="M82" s="622"/>
      <c r="N82" s="622"/>
      <c r="O82" s="622"/>
      <c r="P82" s="622"/>
      <c r="Q82" s="622"/>
      <c r="R82" s="622"/>
      <c r="S82" s="622"/>
      <c r="T82" s="622"/>
      <c r="U82" s="622"/>
      <c r="V82" s="622"/>
      <c r="W82" s="622"/>
      <c r="X82" s="622"/>
      <c r="Y82" s="622"/>
      <c r="Z82" s="622"/>
      <c r="AA82" s="622"/>
      <c r="AB82" s="622"/>
      <c r="AC82" s="622"/>
      <c r="AD82" s="622"/>
      <c r="AE82" s="622"/>
      <c r="AF82" s="615"/>
      <c r="AG82" s="616">
        <f t="shared" si="1"/>
        <v>0</v>
      </c>
    </row>
    <row r="83" spans="1:33" s="617" customFormat="1" x14ac:dyDescent="0.3">
      <c r="A83" s="621" t="s">
        <v>33</v>
      </c>
      <c r="B83" s="622">
        <f>J83+L83+N83+P83+R83+T83+V83+X83+Z83+AB83+AD83+H83</f>
        <v>0</v>
      </c>
      <c r="C83" s="622">
        <f>SUM(H83+J83+L83+N83)</f>
        <v>0</v>
      </c>
      <c r="D83" s="622">
        <f>E83</f>
        <v>0</v>
      </c>
      <c r="E83" s="622">
        <f>SUM(I83,K83,M83,O83,Q83,S83,U83,W83,Y83,AA83,AC83,AE83)</f>
        <v>0</v>
      </c>
      <c r="F83" s="622">
        <f>IFERROR(E83/B83*100,0)</f>
        <v>0</v>
      </c>
      <c r="G83" s="622">
        <f>IFERROR(E83/C83*100,0)</f>
        <v>0</v>
      </c>
      <c r="H83" s="622"/>
      <c r="I83" s="622"/>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15"/>
      <c r="AG83" s="616">
        <f t="shared" si="1"/>
        <v>0</v>
      </c>
    </row>
    <row r="84" spans="1:33" s="617" customFormat="1" x14ac:dyDescent="0.3">
      <c r="A84" s="621" t="s">
        <v>170</v>
      </c>
      <c r="B84" s="622">
        <f>J84+L84+N84+P84+R84+T84+V84+X84+Z84+AB84+AD84+H84</f>
        <v>0</v>
      </c>
      <c r="C84" s="622">
        <f>SUM(H84+J84+L84+N84)</f>
        <v>0</v>
      </c>
      <c r="D84" s="622">
        <f>E84</f>
        <v>0</v>
      </c>
      <c r="E84" s="622">
        <f>SUM(I84,K84,M84,O84,Q84,S84,U84,W84,Y84,AA84,AC84,AE84)</f>
        <v>0</v>
      </c>
      <c r="F84" s="622"/>
      <c r="G84" s="622"/>
      <c r="H84" s="622"/>
      <c r="I84" s="622"/>
      <c r="J84" s="622"/>
      <c r="K84" s="622"/>
      <c r="L84" s="622"/>
      <c r="M84" s="622"/>
      <c r="N84" s="622"/>
      <c r="O84" s="622"/>
      <c r="P84" s="622"/>
      <c r="Q84" s="622"/>
      <c r="R84" s="622"/>
      <c r="S84" s="622"/>
      <c r="T84" s="622"/>
      <c r="U84" s="622"/>
      <c r="V84" s="622"/>
      <c r="W84" s="622"/>
      <c r="X84" s="622"/>
      <c r="Y84" s="622"/>
      <c r="Z84" s="622"/>
      <c r="AA84" s="622"/>
      <c r="AB84" s="622"/>
      <c r="AC84" s="622"/>
      <c r="AD84" s="622"/>
      <c r="AE84" s="622"/>
      <c r="AF84" s="615"/>
      <c r="AG84" s="616">
        <f t="shared" si="1"/>
        <v>0</v>
      </c>
    </row>
    <row r="85" spans="1:33" ht="112.5" x14ac:dyDescent="0.3">
      <c r="A85" s="623" t="s">
        <v>329</v>
      </c>
      <c r="B85" s="623"/>
      <c r="C85" s="623"/>
      <c r="D85" s="623"/>
      <c r="E85" s="623"/>
      <c r="F85" s="623"/>
      <c r="G85" s="623"/>
      <c r="H85" s="623"/>
      <c r="I85" s="623"/>
      <c r="J85" s="623"/>
      <c r="K85" s="623"/>
      <c r="L85" s="623"/>
      <c r="M85" s="623"/>
      <c r="N85" s="623"/>
      <c r="O85" s="623"/>
      <c r="P85" s="623"/>
      <c r="Q85" s="623"/>
      <c r="R85" s="623"/>
      <c r="S85" s="623"/>
      <c r="T85" s="623"/>
      <c r="U85" s="623"/>
      <c r="V85" s="623"/>
      <c r="W85" s="623"/>
      <c r="X85" s="623"/>
      <c r="Y85" s="623"/>
      <c r="Z85" s="623"/>
      <c r="AA85" s="623"/>
      <c r="AB85" s="623"/>
      <c r="AC85" s="623"/>
      <c r="AD85" s="623"/>
      <c r="AE85" s="623"/>
      <c r="AF85" s="623"/>
      <c r="AG85" s="102">
        <f t="shared" si="1"/>
        <v>0</v>
      </c>
    </row>
    <row r="86" spans="1:33" s="617" customFormat="1" x14ac:dyDescent="0.3">
      <c r="A86" s="1079" t="s">
        <v>54</v>
      </c>
      <c r="B86" s="1080"/>
      <c r="C86" s="1080"/>
      <c r="D86" s="1080"/>
      <c r="E86" s="1080"/>
      <c r="F86" s="1080"/>
      <c r="G86" s="1080"/>
      <c r="H86" s="1080"/>
      <c r="I86" s="1080"/>
      <c r="J86" s="1080"/>
      <c r="K86" s="1080"/>
      <c r="L86" s="1080"/>
      <c r="M86" s="1080"/>
      <c r="N86" s="1080"/>
      <c r="O86" s="1080"/>
      <c r="P86" s="1080"/>
      <c r="Q86" s="1080"/>
      <c r="R86" s="1080"/>
      <c r="S86" s="1080"/>
      <c r="T86" s="1080"/>
      <c r="U86" s="1080"/>
      <c r="V86" s="1080"/>
      <c r="W86" s="1080"/>
      <c r="X86" s="1080"/>
      <c r="Y86" s="1080"/>
      <c r="Z86" s="1080"/>
      <c r="AA86" s="1080"/>
      <c r="AB86" s="1080"/>
      <c r="AC86" s="1080"/>
      <c r="AD86" s="1080"/>
      <c r="AE86" s="1080"/>
      <c r="AF86" s="1081"/>
      <c r="AG86" s="616">
        <f t="shared" si="1"/>
        <v>0</v>
      </c>
    </row>
    <row r="87" spans="1:33" s="617" customFormat="1" ht="93.75" x14ac:dyDescent="0.3">
      <c r="A87" s="631" t="s">
        <v>330</v>
      </c>
      <c r="B87" s="632"/>
      <c r="C87" s="633"/>
      <c r="D87" s="633"/>
      <c r="E87" s="633"/>
      <c r="F87" s="633"/>
      <c r="G87" s="633"/>
      <c r="H87" s="632"/>
      <c r="I87" s="632"/>
      <c r="J87" s="632"/>
      <c r="K87" s="632"/>
      <c r="L87" s="632"/>
      <c r="M87" s="632"/>
      <c r="N87" s="632"/>
      <c r="O87" s="632"/>
      <c r="P87" s="632"/>
      <c r="Q87" s="632"/>
      <c r="R87" s="632"/>
      <c r="S87" s="632"/>
      <c r="T87" s="632"/>
      <c r="U87" s="632"/>
      <c r="V87" s="632"/>
      <c r="W87" s="632"/>
      <c r="X87" s="632"/>
      <c r="Y87" s="632"/>
      <c r="Z87" s="632"/>
      <c r="AA87" s="632"/>
      <c r="AB87" s="632"/>
      <c r="AC87" s="632"/>
      <c r="AD87" s="632"/>
      <c r="AE87" s="632"/>
      <c r="AF87" s="615"/>
      <c r="AG87" s="616">
        <f t="shared" ref="AG87:AG126" si="21">B87-H87-J87-L87-N87-P87-R87-T87-V87-X87-Z87-AB87-AD87</f>
        <v>0</v>
      </c>
    </row>
    <row r="88" spans="1:33" s="617" customFormat="1" x14ac:dyDescent="0.3">
      <c r="A88" s="618" t="s">
        <v>31</v>
      </c>
      <c r="B88" s="619">
        <f>B89+B90+B91+B92</f>
        <v>10192.700000000001</v>
      </c>
      <c r="C88" s="619">
        <f>C89+C90+C91+C92</f>
        <v>4677.1139999999996</v>
      </c>
      <c r="D88" s="619">
        <f>D89+D90+D91+D92</f>
        <v>3355.6880000000001</v>
      </c>
      <c r="E88" s="619">
        <f>E89+E90+E91+E92</f>
        <v>3355.6880000000001</v>
      </c>
      <c r="F88" s="619">
        <f>IFERROR(E88/B88*100,0)</f>
        <v>32.922464116475517</v>
      </c>
      <c r="G88" s="619">
        <f>IFERROR(E88/C88*100,0)</f>
        <v>71.746979013126477</v>
      </c>
      <c r="H88" s="619">
        <f>H89+H90+H91+H92</f>
        <v>1346.835</v>
      </c>
      <c r="I88" s="619">
        <f t="shared" ref="I88:AE88" si="22">I89+I90+I91+I92</f>
        <v>505.76100000000002</v>
      </c>
      <c r="J88" s="619">
        <f t="shared" si="22"/>
        <v>860.06899999999996</v>
      </c>
      <c r="K88" s="619">
        <f t="shared" si="22"/>
        <v>875.25400000000002</v>
      </c>
      <c r="L88" s="619">
        <f t="shared" si="22"/>
        <v>683.37599999999998</v>
      </c>
      <c r="M88" s="619">
        <f t="shared" si="22"/>
        <v>565.35</v>
      </c>
      <c r="N88" s="619">
        <f t="shared" si="22"/>
        <v>1006.02</v>
      </c>
      <c r="O88" s="619">
        <f t="shared" si="22"/>
        <v>686.33299999999997</v>
      </c>
      <c r="P88" s="619">
        <f t="shared" si="22"/>
        <v>780.81399999999996</v>
      </c>
      <c r="Q88" s="619">
        <f t="shared" si="22"/>
        <v>722.99</v>
      </c>
      <c r="R88" s="619">
        <f t="shared" si="22"/>
        <v>683.37599999999998</v>
      </c>
      <c r="S88" s="619">
        <f t="shared" si="22"/>
        <v>0</v>
      </c>
      <c r="T88" s="619">
        <f t="shared" si="22"/>
        <v>1006.02</v>
      </c>
      <c r="U88" s="619">
        <f t="shared" si="22"/>
        <v>0</v>
      </c>
      <c r="V88" s="619">
        <f t="shared" si="22"/>
        <v>780.81399999999996</v>
      </c>
      <c r="W88" s="619">
        <f t="shared" si="22"/>
        <v>0</v>
      </c>
      <c r="X88" s="619">
        <f t="shared" si="22"/>
        <v>683.37599999999998</v>
      </c>
      <c r="Y88" s="619">
        <f t="shared" si="22"/>
        <v>0</v>
      </c>
      <c r="Z88" s="619">
        <f t="shared" si="22"/>
        <v>1006.02</v>
      </c>
      <c r="AA88" s="619">
        <f t="shared" si="22"/>
        <v>0</v>
      </c>
      <c r="AB88" s="619">
        <f t="shared" si="22"/>
        <v>780.81399999999996</v>
      </c>
      <c r="AC88" s="619">
        <f t="shared" si="22"/>
        <v>0</v>
      </c>
      <c r="AD88" s="619">
        <f t="shared" si="22"/>
        <v>575.16600000000005</v>
      </c>
      <c r="AE88" s="619">
        <f t="shared" si="22"/>
        <v>0</v>
      </c>
      <c r="AF88" s="615"/>
      <c r="AG88" s="616">
        <f t="shared" si="21"/>
        <v>9.0949470177292824E-13</v>
      </c>
    </row>
    <row r="89" spans="1:33" s="617" customFormat="1" x14ac:dyDescent="0.3">
      <c r="A89" s="621" t="s">
        <v>169</v>
      </c>
      <c r="B89" s="622">
        <f>J89+L89+N89+P89+R89+T89+V89+X89+Z89+AB89+AD89+H89</f>
        <v>0</v>
      </c>
      <c r="C89" s="622">
        <f>SUM(H89+J89+L89+N89)</f>
        <v>0</v>
      </c>
      <c r="D89" s="622">
        <f>E89</f>
        <v>0</v>
      </c>
      <c r="E89" s="622">
        <f>SUM(I89,K89,M89,O89,Q89,S89,U89,W89,Y89,AA89,AC89,AE89)</f>
        <v>0</v>
      </c>
      <c r="F89" s="622"/>
      <c r="G89" s="622"/>
      <c r="H89" s="622"/>
      <c r="I89" s="622"/>
      <c r="J89" s="622"/>
      <c r="K89" s="622"/>
      <c r="L89" s="622"/>
      <c r="M89" s="622"/>
      <c r="N89" s="622"/>
      <c r="O89" s="622"/>
      <c r="P89" s="622"/>
      <c r="Q89" s="622"/>
      <c r="R89" s="622"/>
      <c r="S89" s="622"/>
      <c r="T89" s="622"/>
      <c r="U89" s="622"/>
      <c r="V89" s="622"/>
      <c r="W89" s="622"/>
      <c r="X89" s="622"/>
      <c r="Y89" s="622"/>
      <c r="Z89" s="622"/>
      <c r="AA89" s="622"/>
      <c r="AB89" s="622"/>
      <c r="AC89" s="622"/>
      <c r="AD89" s="622"/>
      <c r="AE89" s="622"/>
      <c r="AF89" s="615"/>
      <c r="AG89" s="616">
        <f t="shared" si="21"/>
        <v>0</v>
      </c>
    </row>
    <row r="90" spans="1:33" s="617" customFormat="1" x14ac:dyDescent="0.3">
      <c r="A90" s="621" t="s">
        <v>32</v>
      </c>
      <c r="B90" s="622">
        <f>J90+L90+N90+P90+R90+T90+V90+X90+Z90+AB90+AD90+H90</f>
        <v>0</v>
      </c>
      <c r="C90" s="622">
        <f>SUM(H90+J90+L90+N90)</f>
        <v>0</v>
      </c>
      <c r="D90" s="622">
        <f>E90</f>
        <v>0</v>
      </c>
      <c r="E90" s="622">
        <f>SUM(I90,K90,M90,O90,Q90,S90,U90,W90,Y90,AA90,AC90,AE90)</f>
        <v>0</v>
      </c>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15"/>
      <c r="AG90" s="616">
        <f t="shared" si="21"/>
        <v>0</v>
      </c>
    </row>
    <row r="91" spans="1:33" s="617" customFormat="1" x14ac:dyDescent="0.3">
      <c r="A91" s="621" t="s">
        <v>33</v>
      </c>
      <c r="B91" s="622">
        <f>J91+L91+N91+P91+R91+T91+V91+X91+Z91+AB91+AD91+H91</f>
        <v>10192.700000000001</v>
      </c>
      <c r="C91" s="622">
        <f>SUM(H91+J91+L91+P91+N91)</f>
        <v>4677.1139999999996</v>
      </c>
      <c r="D91" s="622">
        <f>E91</f>
        <v>3355.6880000000001</v>
      </c>
      <c r="E91" s="622">
        <f>SUM(I91,K91,M91,O91,Q91,S91,U91,W91,Y91,AA91,AC91,AE91)</f>
        <v>3355.6880000000001</v>
      </c>
      <c r="F91" s="622">
        <f>IFERROR(E91/B91*100,0)</f>
        <v>32.922464116475517</v>
      </c>
      <c r="G91" s="622">
        <f>IFERROR(E91/C91*100,0)</f>
        <v>71.746979013126477</v>
      </c>
      <c r="H91" s="622">
        <v>1346.835</v>
      </c>
      <c r="I91" s="622">
        <v>505.76100000000002</v>
      </c>
      <c r="J91" s="622">
        <v>860.06899999999996</v>
      </c>
      <c r="K91" s="622">
        <v>875.25400000000002</v>
      </c>
      <c r="L91" s="622">
        <v>683.37599999999998</v>
      </c>
      <c r="M91" s="622">
        <v>565.35</v>
      </c>
      <c r="N91" s="622">
        <v>1006.02</v>
      </c>
      <c r="O91" s="622">
        <v>686.33299999999997</v>
      </c>
      <c r="P91" s="622">
        <v>780.81399999999996</v>
      </c>
      <c r="Q91" s="622">
        <v>722.99</v>
      </c>
      <c r="R91" s="622">
        <v>683.37599999999998</v>
      </c>
      <c r="S91" s="622"/>
      <c r="T91" s="622">
        <v>1006.02</v>
      </c>
      <c r="U91" s="622"/>
      <c r="V91" s="622">
        <v>780.81399999999996</v>
      </c>
      <c r="W91" s="622"/>
      <c r="X91" s="622">
        <v>683.37599999999998</v>
      </c>
      <c r="Y91" s="622"/>
      <c r="Z91" s="622">
        <v>1006.02</v>
      </c>
      <c r="AA91" s="622"/>
      <c r="AB91" s="622">
        <v>780.81399999999996</v>
      </c>
      <c r="AC91" s="622"/>
      <c r="AD91" s="622">
        <v>575.16600000000005</v>
      </c>
      <c r="AE91" s="622"/>
      <c r="AF91" s="615"/>
      <c r="AG91" s="616">
        <f t="shared" si="21"/>
        <v>9.0949470177292824E-13</v>
      </c>
    </row>
    <row r="92" spans="1:33" s="617" customFormat="1" x14ac:dyDescent="0.3">
      <c r="A92" s="621" t="s">
        <v>170</v>
      </c>
      <c r="B92" s="622">
        <f>J92+L92+N92+P92+R92+T92+V92+X92+Z92+AB92+AD92+H92</f>
        <v>0</v>
      </c>
      <c r="C92" s="622">
        <f>SUM(H92+J92+L92+N92)</f>
        <v>0</v>
      </c>
      <c r="D92" s="622">
        <f>E92</f>
        <v>0</v>
      </c>
      <c r="E92" s="622">
        <f>SUM(I92,K92,M92,O92,Q92,S92,U92,W92,Y92,AA92,AC92,AE92)</f>
        <v>0</v>
      </c>
      <c r="F92" s="622"/>
      <c r="G92" s="622"/>
      <c r="H92" s="622"/>
      <c r="I92" s="622"/>
      <c r="J92" s="622"/>
      <c r="K92" s="622"/>
      <c r="L92" s="622"/>
      <c r="M92" s="622"/>
      <c r="N92" s="622"/>
      <c r="O92" s="622"/>
      <c r="P92" s="622"/>
      <c r="Q92" s="622"/>
      <c r="R92" s="622"/>
      <c r="S92" s="622"/>
      <c r="T92" s="622"/>
      <c r="U92" s="622"/>
      <c r="V92" s="622"/>
      <c r="W92" s="622"/>
      <c r="X92" s="622"/>
      <c r="Y92" s="622"/>
      <c r="Z92" s="622"/>
      <c r="AA92" s="622"/>
      <c r="AB92" s="622"/>
      <c r="AC92" s="622"/>
      <c r="AD92" s="622"/>
      <c r="AE92" s="622"/>
      <c r="AF92" s="615"/>
      <c r="AG92" s="616">
        <f t="shared" si="21"/>
        <v>0</v>
      </c>
    </row>
    <row r="93" spans="1:33" s="617" customFormat="1" ht="75" x14ac:dyDescent="0.3">
      <c r="A93" s="631" t="s">
        <v>331</v>
      </c>
      <c r="B93" s="632"/>
      <c r="C93" s="622"/>
      <c r="D93" s="633"/>
      <c r="E93" s="633"/>
      <c r="F93" s="633"/>
      <c r="G93" s="633"/>
      <c r="H93" s="632"/>
      <c r="I93" s="632"/>
      <c r="J93" s="632"/>
      <c r="K93" s="632"/>
      <c r="L93" s="632"/>
      <c r="M93" s="632"/>
      <c r="N93" s="632"/>
      <c r="O93" s="632"/>
      <c r="P93" s="632"/>
      <c r="Q93" s="632"/>
      <c r="R93" s="632"/>
      <c r="S93" s="632"/>
      <c r="T93" s="632"/>
      <c r="U93" s="632"/>
      <c r="V93" s="632"/>
      <c r="W93" s="632"/>
      <c r="X93" s="632"/>
      <c r="Y93" s="632"/>
      <c r="Z93" s="632"/>
      <c r="AA93" s="632"/>
      <c r="AB93" s="632"/>
      <c r="AC93" s="632"/>
      <c r="AD93" s="632"/>
      <c r="AE93" s="632"/>
      <c r="AF93" s="615"/>
      <c r="AG93" s="616">
        <f t="shared" si="21"/>
        <v>0</v>
      </c>
    </row>
    <row r="94" spans="1:33" s="617" customFormat="1" x14ac:dyDescent="0.3">
      <c r="A94" s="618" t="s">
        <v>31</v>
      </c>
      <c r="B94" s="619">
        <f>B95+B96+B97+B98</f>
        <v>18835</v>
      </c>
      <c r="C94" s="619">
        <f>C95+C96+C97+C98</f>
        <v>8613.7830000000013</v>
      </c>
      <c r="D94" s="619">
        <f>D95+D96+D97+D98</f>
        <v>7326.6329999999998</v>
      </c>
      <c r="E94" s="619">
        <f>E95+E96+E97+E98</f>
        <v>7326.6329999999998</v>
      </c>
      <c r="F94" s="619">
        <f>IFERROR(E94/B94*100,0)</f>
        <v>38.899033713830633</v>
      </c>
      <c r="G94" s="619">
        <f>IFERROR(E94/C94*100,0)</f>
        <v>85.057088157433242</v>
      </c>
      <c r="H94" s="619">
        <f>H95+H96+H97+H98</f>
        <v>2430.2660000000001</v>
      </c>
      <c r="I94" s="619">
        <f t="shared" ref="I94:AE94" si="23">I95+I96+I97+I98</f>
        <v>1047.0619999999999</v>
      </c>
      <c r="J94" s="619">
        <f t="shared" si="23"/>
        <v>1596.345</v>
      </c>
      <c r="K94" s="619">
        <f t="shared" si="23"/>
        <v>1690.673</v>
      </c>
      <c r="L94" s="619">
        <f t="shared" si="23"/>
        <v>1267.1220000000001</v>
      </c>
      <c r="M94" s="619">
        <f t="shared" si="23"/>
        <v>1305.6310000000001</v>
      </c>
      <c r="N94" s="619">
        <f t="shared" si="23"/>
        <v>1870.66</v>
      </c>
      <c r="O94" s="619">
        <f t="shared" si="23"/>
        <v>1312.827</v>
      </c>
      <c r="P94" s="619">
        <f t="shared" si="23"/>
        <v>1449.39</v>
      </c>
      <c r="Q94" s="619">
        <f t="shared" si="23"/>
        <v>1970.44</v>
      </c>
      <c r="R94" s="619">
        <f t="shared" si="23"/>
        <v>1267.1220000000001</v>
      </c>
      <c r="S94" s="619">
        <f t="shared" si="23"/>
        <v>0</v>
      </c>
      <c r="T94" s="619">
        <f t="shared" si="23"/>
        <v>1870.66</v>
      </c>
      <c r="U94" s="619">
        <f t="shared" si="23"/>
        <v>0</v>
      </c>
      <c r="V94" s="619">
        <f t="shared" si="23"/>
        <v>1449.39</v>
      </c>
      <c r="W94" s="619">
        <f t="shared" si="23"/>
        <v>0</v>
      </c>
      <c r="X94" s="619">
        <f t="shared" si="23"/>
        <v>1267.1220000000001</v>
      </c>
      <c r="Y94" s="619">
        <f t="shared" si="23"/>
        <v>0</v>
      </c>
      <c r="Z94" s="619">
        <f t="shared" si="23"/>
        <v>1870.66</v>
      </c>
      <c r="AA94" s="619">
        <f t="shared" si="23"/>
        <v>0</v>
      </c>
      <c r="AB94" s="619">
        <f t="shared" si="23"/>
        <v>1449.39</v>
      </c>
      <c r="AC94" s="619">
        <f t="shared" si="23"/>
        <v>0</v>
      </c>
      <c r="AD94" s="619">
        <f t="shared" si="23"/>
        <v>1046.873</v>
      </c>
      <c r="AE94" s="619">
        <f t="shared" si="23"/>
        <v>0</v>
      </c>
      <c r="AF94" s="615"/>
      <c r="AG94" s="616">
        <f t="shared" si="21"/>
        <v>2.5011104298755527E-12</v>
      </c>
    </row>
    <row r="95" spans="1:33" s="617" customFormat="1" x14ac:dyDescent="0.3">
      <c r="A95" s="621" t="s">
        <v>169</v>
      </c>
      <c r="B95" s="622">
        <f>J95+L95+N95+P95+R95+T95+V95+X95+Z95+AB95+AD95+H95</f>
        <v>0</v>
      </c>
      <c r="C95" s="622">
        <f>SUM(H95+J95+L95+N95)</f>
        <v>0</v>
      </c>
      <c r="D95" s="622">
        <f>E95</f>
        <v>0</v>
      </c>
      <c r="E95" s="622">
        <f>SUM(I95,K95,M95,O95,Q95,S95,U95,W95,Y95,AA95,AC95,AE95)</f>
        <v>0</v>
      </c>
      <c r="F95" s="622"/>
      <c r="G95" s="622"/>
      <c r="H95" s="622"/>
      <c r="I95" s="622"/>
      <c r="J95" s="622"/>
      <c r="K95" s="622"/>
      <c r="L95" s="622"/>
      <c r="M95" s="622"/>
      <c r="N95" s="622"/>
      <c r="O95" s="622"/>
      <c r="P95" s="622"/>
      <c r="Q95" s="622"/>
      <c r="R95" s="622"/>
      <c r="S95" s="622"/>
      <c r="T95" s="622"/>
      <c r="U95" s="622"/>
      <c r="V95" s="622"/>
      <c r="W95" s="622"/>
      <c r="X95" s="622"/>
      <c r="Y95" s="622"/>
      <c r="Z95" s="622"/>
      <c r="AA95" s="622"/>
      <c r="AB95" s="622"/>
      <c r="AC95" s="622"/>
      <c r="AD95" s="622"/>
      <c r="AE95" s="622"/>
      <c r="AF95" s="615"/>
      <c r="AG95" s="616">
        <f t="shared" si="21"/>
        <v>0</v>
      </c>
    </row>
    <row r="96" spans="1:33" s="617" customFormat="1" x14ac:dyDescent="0.3">
      <c r="A96" s="621" t="s">
        <v>32</v>
      </c>
      <c r="B96" s="622">
        <f>J96+L96+N96+P96+R96+T96+V96+X96+Z96+AB96+AD96+H96</f>
        <v>0</v>
      </c>
      <c r="C96" s="622">
        <f>SUM(H96+J96+L96+N96)</f>
        <v>0</v>
      </c>
      <c r="D96" s="622">
        <f>E96</f>
        <v>0</v>
      </c>
      <c r="E96" s="622">
        <f>SUM(I96,K96,M96,O96,Q96,S96,U96,W96,Y96,AA96,AC96,AE96)</f>
        <v>0</v>
      </c>
      <c r="F96" s="622"/>
      <c r="G96" s="622"/>
      <c r="H96" s="622"/>
      <c r="I96" s="622"/>
      <c r="J96" s="622"/>
      <c r="K96" s="622"/>
      <c r="L96" s="622"/>
      <c r="M96" s="622"/>
      <c r="N96" s="622"/>
      <c r="O96" s="622"/>
      <c r="P96" s="622"/>
      <c r="Q96" s="622"/>
      <c r="R96" s="622"/>
      <c r="S96" s="622"/>
      <c r="T96" s="622"/>
      <c r="U96" s="622"/>
      <c r="V96" s="622"/>
      <c r="W96" s="622"/>
      <c r="X96" s="622"/>
      <c r="Y96" s="622"/>
      <c r="Z96" s="622"/>
      <c r="AA96" s="622"/>
      <c r="AB96" s="622"/>
      <c r="AC96" s="622"/>
      <c r="AD96" s="622"/>
      <c r="AE96" s="622"/>
      <c r="AF96" s="615"/>
      <c r="AG96" s="616">
        <f t="shared" si="21"/>
        <v>0</v>
      </c>
    </row>
    <row r="97" spans="1:33" s="617" customFormat="1" x14ac:dyDescent="0.3">
      <c r="A97" s="621" t="s">
        <v>33</v>
      </c>
      <c r="B97" s="622">
        <f>J97+L97+N97+P97+R97+T97+V97+X97+Z97+AB97+AD97+H97</f>
        <v>18835</v>
      </c>
      <c r="C97" s="622">
        <f>SUM(H97+J97+L97+P97+N97)</f>
        <v>8613.7830000000013</v>
      </c>
      <c r="D97" s="622">
        <f>E97</f>
        <v>7326.6329999999998</v>
      </c>
      <c r="E97" s="622">
        <f>SUM(I97,K97,M97,O97,Q97,S97,U97,W97,Y97,AA97,AC97,AE97)</f>
        <v>7326.6329999999998</v>
      </c>
      <c r="F97" s="622">
        <f>IFERROR(E97/B97*100,0)</f>
        <v>38.899033713830633</v>
      </c>
      <c r="G97" s="622">
        <f>IFERROR(E97/C97*100,0)</f>
        <v>85.057088157433242</v>
      </c>
      <c r="H97" s="622">
        <v>2430.2660000000001</v>
      </c>
      <c r="I97" s="622">
        <v>1047.0619999999999</v>
      </c>
      <c r="J97" s="622">
        <v>1596.345</v>
      </c>
      <c r="K97" s="622">
        <v>1690.673</v>
      </c>
      <c r="L97" s="622">
        <v>1267.1220000000001</v>
      </c>
      <c r="M97" s="622">
        <v>1305.6310000000001</v>
      </c>
      <c r="N97" s="622">
        <v>1870.66</v>
      </c>
      <c r="O97" s="622">
        <v>1312.827</v>
      </c>
      <c r="P97" s="622">
        <v>1449.39</v>
      </c>
      <c r="Q97" s="622">
        <v>1970.44</v>
      </c>
      <c r="R97" s="622">
        <v>1267.1220000000001</v>
      </c>
      <c r="S97" s="622"/>
      <c r="T97" s="622">
        <v>1870.66</v>
      </c>
      <c r="U97" s="622"/>
      <c r="V97" s="622">
        <v>1449.39</v>
      </c>
      <c r="W97" s="622"/>
      <c r="X97" s="622">
        <v>1267.1220000000001</v>
      </c>
      <c r="Y97" s="622"/>
      <c r="Z97" s="622">
        <v>1870.66</v>
      </c>
      <c r="AA97" s="622"/>
      <c r="AB97" s="622">
        <v>1449.39</v>
      </c>
      <c r="AC97" s="622"/>
      <c r="AD97" s="622">
        <v>1046.873</v>
      </c>
      <c r="AE97" s="622"/>
      <c r="AF97" s="615"/>
      <c r="AG97" s="616">
        <f t="shared" si="21"/>
        <v>2.5011104298755527E-12</v>
      </c>
    </row>
    <row r="98" spans="1:33" s="617" customFormat="1" x14ac:dyDescent="0.3">
      <c r="A98" s="621" t="s">
        <v>170</v>
      </c>
      <c r="B98" s="622">
        <f>J98+L98+N98+P98+R98+T98+V98+X98+Z98+AB98+AD98+H98</f>
        <v>0</v>
      </c>
      <c r="C98" s="622">
        <f>SUM(H98+J98+L98+N98)</f>
        <v>0</v>
      </c>
      <c r="D98" s="622">
        <f>E98</f>
        <v>0</v>
      </c>
      <c r="E98" s="622">
        <f>SUM(I98,K98,M98,O98,Q98,S98,U98,W98,Y98,AA98,AC98,AE98)</f>
        <v>0</v>
      </c>
      <c r="F98" s="622"/>
      <c r="G98" s="622"/>
      <c r="H98" s="622"/>
      <c r="I98" s="622"/>
      <c r="J98" s="622"/>
      <c r="K98" s="622"/>
      <c r="L98" s="622"/>
      <c r="M98" s="622"/>
      <c r="N98" s="622"/>
      <c r="O98" s="622"/>
      <c r="P98" s="622"/>
      <c r="Q98" s="622"/>
      <c r="R98" s="622"/>
      <c r="S98" s="622"/>
      <c r="T98" s="622"/>
      <c r="U98" s="622"/>
      <c r="V98" s="622"/>
      <c r="W98" s="622"/>
      <c r="X98" s="622"/>
      <c r="Y98" s="622"/>
      <c r="Z98" s="622"/>
      <c r="AA98" s="622"/>
      <c r="AB98" s="622"/>
      <c r="AC98" s="622"/>
      <c r="AD98" s="622"/>
      <c r="AE98" s="622"/>
      <c r="AF98" s="615"/>
      <c r="AG98" s="616">
        <f t="shared" si="21"/>
        <v>0</v>
      </c>
    </row>
    <row r="99" spans="1:33" s="617" customFormat="1" ht="93.75" x14ac:dyDescent="0.3">
      <c r="A99" s="631" t="s">
        <v>332</v>
      </c>
      <c r="B99" s="632"/>
      <c r="C99" s="622">
        <f>SUM(H99+J99)</f>
        <v>0</v>
      </c>
      <c r="D99" s="633"/>
      <c r="E99" s="633"/>
      <c r="F99" s="633"/>
      <c r="G99" s="633"/>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15"/>
      <c r="AG99" s="616">
        <f t="shared" si="21"/>
        <v>0</v>
      </c>
    </row>
    <row r="100" spans="1:33" s="617" customFormat="1" x14ac:dyDescent="0.3">
      <c r="A100" s="618" t="s">
        <v>31</v>
      </c>
      <c r="B100" s="619">
        <f>B101+B102+B103+B104</f>
        <v>79081.343549999991</v>
      </c>
      <c r="C100" s="619">
        <f>C101+C102+C103+C104</f>
        <v>31431.841550000001</v>
      </c>
      <c r="D100" s="619">
        <f>D101+D102+D103+D104</f>
        <v>29432.713</v>
      </c>
      <c r="E100" s="619">
        <f>E101+E102+E103+E104</f>
        <v>29432.713</v>
      </c>
      <c r="F100" s="622">
        <f>IFERROR(E100/B100*100,0)</f>
        <v>37.218276370571353</v>
      </c>
      <c r="G100" s="622">
        <f>IFERROR(E100/C100*100,0)</f>
        <v>93.639798206478304</v>
      </c>
      <c r="H100" s="619">
        <f>H101+H102+H103+H104</f>
        <v>6588.7505499999997</v>
      </c>
      <c r="I100" s="619">
        <f t="shared" ref="I100:AE100" si="24">I101+I102+I103+I104</f>
        <v>5979.4539999999997</v>
      </c>
      <c r="J100" s="619">
        <f t="shared" si="24"/>
        <v>7421.74</v>
      </c>
      <c r="K100" s="619">
        <f t="shared" si="24"/>
        <v>6464.2879999999996</v>
      </c>
      <c r="L100" s="619">
        <f t="shared" si="24"/>
        <v>5279.7759999999998</v>
      </c>
      <c r="M100" s="619">
        <f t="shared" si="24"/>
        <v>5272.8850000000002</v>
      </c>
      <c r="N100" s="619">
        <f t="shared" si="24"/>
        <v>6742.9430000000002</v>
      </c>
      <c r="O100" s="619">
        <f t="shared" si="24"/>
        <v>6129.0259999999998</v>
      </c>
      <c r="P100" s="619">
        <f t="shared" si="24"/>
        <v>5398.6319999999996</v>
      </c>
      <c r="Q100" s="619">
        <f t="shared" si="24"/>
        <v>5587.0599999999995</v>
      </c>
      <c r="R100" s="619">
        <f t="shared" si="24"/>
        <v>6103.192</v>
      </c>
      <c r="S100" s="619">
        <f t="shared" si="24"/>
        <v>0</v>
      </c>
      <c r="T100" s="619">
        <f t="shared" si="24"/>
        <v>7060.0469999999996</v>
      </c>
      <c r="U100" s="619">
        <f t="shared" si="24"/>
        <v>0</v>
      </c>
      <c r="V100" s="619">
        <f t="shared" si="24"/>
        <v>6328.192</v>
      </c>
      <c r="W100" s="619">
        <f t="shared" si="24"/>
        <v>0</v>
      </c>
      <c r="X100" s="619">
        <f t="shared" si="24"/>
        <v>5636.2929999999997</v>
      </c>
      <c r="Y100" s="619">
        <f t="shared" si="24"/>
        <v>0</v>
      </c>
      <c r="Z100" s="619">
        <f t="shared" si="24"/>
        <v>6150.33</v>
      </c>
      <c r="AA100" s="619">
        <f t="shared" si="24"/>
        <v>0</v>
      </c>
      <c r="AB100" s="619">
        <f t="shared" si="24"/>
        <v>5483.0929999999998</v>
      </c>
      <c r="AC100" s="619">
        <f t="shared" si="24"/>
        <v>0</v>
      </c>
      <c r="AD100" s="619">
        <f t="shared" si="24"/>
        <v>10888.355</v>
      </c>
      <c r="AE100" s="619">
        <f t="shared" si="24"/>
        <v>0</v>
      </c>
      <c r="AF100" s="615"/>
      <c r="AG100" s="616">
        <f t="shared" si="21"/>
        <v>0</v>
      </c>
    </row>
    <row r="101" spans="1:33" s="617" customFormat="1" x14ac:dyDescent="0.3">
      <c r="A101" s="621" t="s">
        <v>169</v>
      </c>
      <c r="B101" s="622">
        <f>J101+L101+N101+P101+R101+T101+V101+X101+Z101+AB101+AD101+H101</f>
        <v>0</v>
      </c>
      <c r="C101" s="622">
        <f>SUM(H101+J101+L101+P101+N101)</f>
        <v>0</v>
      </c>
      <c r="D101" s="622">
        <f>E101</f>
        <v>0</v>
      </c>
      <c r="E101" s="622">
        <f>SUM(I101,K101,M101,O101,Q101,S101,U101,W101,Y101,AA101,AC101,AE101)</f>
        <v>0</v>
      </c>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622"/>
      <c r="AB101" s="622"/>
      <c r="AC101" s="622"/>
      <c r="AD101" s="622"/>
      <c r="AE101" s="622"/>
      <c r="AF101" s="615"/>
      <c r="AG101" s="616">
        <f t="shared" si="21"/>
        <v>0</v>
      </c>
    </row>
    <row r="102" spans="1:33" s="617" customFormat="1" x14ac:dyDescent="0.3">
      <c r="A102" s="621" t="s">
        <v>32</v>
      </c>
      <c r="B102" s="622">
        <f>J102+L102+N102+P102+R102+T102+V102+X102+Z102+AB102+AD102+H102</f>
        <v>22.45</v>
      </c>
      <c r="C102" s="622">
        <f>SUM(H102+J102+L102+P102+N102)</f>
        <v>22.45</v>
      </c>
      <c r="D102" s="622">
        <f>E102</f>
        <v>22.45</v>
      </c>
      <c r="E102" s="622">
        <f>SUM(I102,K102,M102,O102,Q102,S102,U102,W102,Y102,AA102,AC102,AE102)</f>
        <v>22.45</v>
      </c>
      <c r="F102" s="622"/>
      <c r="G102" s="622"/>
      <c r="H102" s="622"/>
      <c r="I102" s="622"/>
      <c r="J102" s="622"/>
      <c r="K102" s="622"/>
      <c r="L102" s="622"/>
      <c r="M102" s="622"/>
      <c r="N102" s="622"/>
      <c r="O102" s="622"/>
      <c r="P102" s="622">
        <v>22.45</v>
      </c>
      <c r="Q102" s="622">
        <v>22.45</v>
      </c>
      <c r="R102" s="622"/>
      <c r="S102" s="622"/>
      <c r="T102" s="622"/>
      <c r="U102" s="622"/>
      <c r="V102" s="622"/>
      <c r="W102" s="622"/>
      <c r="X102" s="622"/>
      <c r="Y102" s="622"/>
      <c r="Z102" s="622"/>
      <c r="AA102" s="622"/>
      <c r="AB102" s="622"/>
      <c r="AC102" s="622"/>
      <c r="AD102" s="622"/>
      <c r="AE102" s="622"/>
      <c r="AF102" s="615"/>
      <c r="AG102" s="616">
        <f t="shared" si="21"/>
        <v>0</v>
      </c>
    </row>
    <row r="103" spans="1:33" s="617" customFormat="1" x14ac:dyDescent="0.3">
      <c r="A103" s="621" t="s">
        <v>33</v>
      </c>
      <c r="B103" s="622">
        <f>J103+L103+N103+P103+R103+T103+V103+X103+Z103+AB103+AD103+H103</f>
        <v>79058.893549999993</v>
      </c>
      <c r="C103" s="622">
        <f>SUM(H103+J103+L103+P103+N103)</f>
        <v>31409.39155</v>
      </c>
      <c r="D103" s="622">
        <f>E103</f>
        <v>29410.262999999999</v>
      </c>
      <c r="E103" s="622">
        <f>SUM(I103,K103,M103,O103,Q103,S103,U103,W103,Y103,AA103,AC103,AE103)</f>
        <v>29410.262999999999</v>
      </c>
      <c r="F103" s="622">
        <f>IFERROR(E103/B103*100,0)</f>
        <v>37.20044852562954</v>
      </c>
      <c r="G103" s="622">
        <f>IFERROR(E103/C103*100,0)</f>
        <v>93.635252224425841</v>
      </c>
      <c r="H103" s="622">
        <v>6588.7505499999997</v>
      </c>
      <c r="I103" s="622">
        <v>5979.4539999999997</v>
      </c>
      <c r="J103" s="622">
        <v>7421.74</v>
      </c>
      <c r="K103" s="622">
        <v>6464.2879999999996</v>
      </c>
      <c r="L103" s="622">
        <v>5279.7759999999998</v>
      </c>
      <c r="M103" s="622">
        <v>5272.8850000000002</v>
      </c>
      <c r="N103" s="622">
        <v>6742.9430000000002</v>
      </c>
      <c r="O103" s="622">
        <v>6129.0259999999998</v>
      </c>
      <c r="P103" s="622">
        <v>5376.1819999999998</v>
      </c>
      <c r="Q103" s="622">
        <v>5564.61</v>
      </c>
      <c r="R103" s="622">
        <v>6103.192</v>
      </c>
      <c r="S103" s="622"/>
      <c r="T103" s="622">
        <v>7060.0469999999996</v>
      </c>
      <c r="U103" s="622"/>
      <c r="V103" s="622">
        <v>6328.192</v>
      </c>
      <c r="W103" s="622"/>
      <c r="X103" s="622">
        <v>5636.2929999999997</v>
      </c>
      <c r="Y103" s="622"/>
      <c r="Z103" s="622">
        <v>6150.33</v>
      </c>
      <c r="AA103" s="622"/>
      <c r="AB103" s="622">
        <v>5483.0929999999998</v>
      </c>
      <c r="AC103" s="622"/>
      <c r="AD103" s="622">
        <v>10888.355</v>
      </c>
      <c r="AE103" s="622"/>
      <c r="AF103" s="615"/>
      <c r="AG103" s="616">
        <f t="shared" si="21"/>
        <v>0</v>
      </c>
    </row>
    <row r="104" spans="1:33" s="617" customFormat="1" x14ac:dyDescent="0.3">
      <c r="A104" s="621" t="s">
        <v>170</v>
      </c>
      <c r="B104" s="622">
        <f>J104+L104+N104+P104+R104+T104+V104+X104+Z104+AB104+AD104+H104</f>
        <v>0</v>
      </c>
      <c r="C104" s="622">
        <f>SUM(H104+J104+L104+N104)</f>
        <v>0</v>
      </c>
      <c r="D104" s="622">
        <f>E104</f>
        <v>0</v>
      </c>
      <c r="E104" s="622">
        <f>SUM(I104,K104,M104,O104,Q104,S104,U104,W104,Y104,AA104,AC104,AE104)</f>
        <v>0</v>
      </c>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622"/>
      <c r="AB104" s="622"/>
      <c r="AC104" s="622"/>
      <c r="AD104" s="622"/>
      <c r="AE104" s="622"/>
      <c r="AF104" s="615"/>
      <c r="AG104" s="616">
        <f t="shared" si="21"/>
        <v>0</v>
      </c>
    </row>
    <row r="105" spans="1:33" ht="37.5" x14ac:dyDescent="0.3">
      <c r="A105" s="635" t="s">
        <v>217</v>
      </c>
      <c r="B105" s="636">
        <f>B106+B107+B108+B110</f>
        <v>182561.64354999998</v>
      </c>
      <c r="C105" s="636">
        <f>C106+C107+C108+C110</f>
        <v>73688.131550000006</v>
      </c>
      <c r="D105" s="636">
        <f>D106+D107+D108+D110</f>
        <v>67104.525999999998</v>
      </c>
      <c r="E105" s="636">
        <f>E106+E107+E108+E110</f>
        <v>67104.525999999998</v>
      </c>
      <c r="F105" s="636">
        <f t="shared" ref="F105:F121" si="25">IFERROR(E105/B105*100,0)</f>
        <v>36.757187706639712</v>
      </c>
      <c r="G105" s="636">
        <f t="shared" ref="G105:G121" si="26">IFERROR(E105/C105*100,0)</f>
        <v>91.065582188723567</v>
      </c>
      <c r="H105" s="636">
        <f t="shared" ref="H105:AE105" si="27">H106+H107+H108+H110</f>
        <v>15042.351549999999</v>
      </c>
      <c r="I105" s="636">
        <f t="shared" si="27"/>
        <v>7953.1170000000002</v>
      </c>
      <c r="J105" s="636">
        <f t="shared" si="27"/>
        <v>17283.153999999999</v>
      </c>
      <c r="K105" s="636">
        <f t="shared" si="27"/>
        <v>20090.375</v>
      </c>
      <c r="L105" s="636">
        <f t="shared" si="27"/>
        <v>17013.317999999999</v>
      </c>
      <c r="M105" s="636">
        <f t="shared" si="27"/>
        <v>12552.253000000001</v>
      </c>
      <c r="N105" s="636">
        <f t="shared" si="27"/>
        <v>12751.101999999999</v>
      </c>
      <c r="O105" s="636">
        <f t="shared" si="27"/>
        <v>14941.421</v>
      </c>
      <c r="P105" s="636">
        <f t="shared" si="27"/>
        <v>11598.206</v>
      </c>
      <c r="Q105" s="636">
        <f t="shared" si="27"/>
        <v>11567.359999999999</v>
      </c>
      <c r="R105" s="636">
        <f t="shared" si="27"/>
        <v>10964.869000000001</v>
      </c>
      <c r="S105" s="636">
        <f t="shared" si="27"/>
        <v>0</v>
      </c>
      <c r="T105" s="636">
        <f t="shared" si="27"/>
        <v>9936.726999999999</v>
      </c>
      <c r="U105" s="636">
        <f t="shared" si="27"/>
        <v>0</v>
      </c>
      <c r="V105" s="636">
        <f t="shared" si="27"/>
        <v>8558.3960000000006</v>
      </c>
      <c r="W105" s="636">
        <f t="shared" si="27"/>
        <v>0</v>
      </c>
      <c r="X105" s="636">
        <f t="shared" si="27"/>
        <v>7586.7909999999993</v>
      </c>
      <c r="Y105" s="636">
        <f t="shared" si="27"/>
        <v>0</v>
      </c>
      <c r="Z105" s="636">
        <f t="shared" si="27"/>
        <v>9027.01</v>
      </c>
      <c r="AA105" s="636">
        <f t="shared" si="27"/>
        <v>0</v>
      </c>
      <c r="AB105" s="636">
        <f t="shared" si="27"/>
        <v>13924.507000000001</v>
      </c>
      <c r="AC105" s="636">
        <f t="shared" si="27"/>
        <v>0</v>
      </c>
      <c r="AD105" s="636">
        <f t="shared" si="27"/>
        <v>48875.212</v>
      </c>
      <c r="AE105" s="636">
        <f t="shared" si="27"/>
        <v>0</v>
      </c>
      <c r="AF105" s="636"/>
      <c r="AG105" s="102">
        <f t="shared" si="21"/>
        <v>0</v>
      </c>
    </row>
    <row r="106" spans="1:33" s="617" customFormat="1" x14ac:dyDescent="0.3">
      <c r="A106" s="621" t="s">
        <v>169</v>
      </c>
      <c r="B106" s="622">
        <f>B13+B19+B26+B33+B40+B47+B62+B69+B75+B81+B89+B95+B101+B53</f>
        <v>4435.598</v>
      </c>
      <c r="C106" s="622">
        <f t="shared" ref="C106:AE106" si="28">C13+C19+C26+C33+C40+C47+C62+C69+C75+C81+C89+C95+C101+C53</f>
        <v>348.37800000000004</v>
      </c>
      <c r="D106" s="622">
        <f t="shared" si="28"/>
        <v>348.38099999999997</v>
      </c>
      <c r="E106" s="622">
        <f t="shared" si="28"/>
        <v>348.38099999999997</v>
      </c>
      <c r="F106" s="622">
        <f t="shared" si="25"/>
        <v>7.8542059041418995</v>
      </c>
      <c r="G106" s="622">
        <f t="shared" si="26"/>
        <v>100.00086113359626</v>
      </c>
      <c r="H106" s="622">
        <f t="shared" si="28"/>
        <v>0</v>
      </c>
      <c r="I106" s="622">
        <f t="shared" si="28"/>
        <v>0</v>
      </c>
      <c r="J106" s="622">
        <f t="shared" si="28"/>
        <v>0</v>
      </c>
      <c r="K106" s="622">
        <f t="shared" si="28"/>
        <v>0</v>
      </c>
      <c r="L106" s="622">
        <f t="shared" si="28"/>
        <v>158.38200000000001</v>
      </c>
      <c r="M106" s="622">
        <f t="shared" si="28"/>
        <v>158.38200000000001</v>
      </c>
      <c r="N106" s="622">
        <f t="shared" si="28"/>
        <v>189.99600000000001</v>
      </c>
      <c r="O106" s="622">
        <f t="shared" si="28"/>
        <v>189.999</v>
      </c>
      <c r="P106" s="622">
        <f t="shared" si="28"/>
        <v>0</v>
      </c>
      <c r="Q106" s="622">
        <f t="shared" si="28"/>
        <v>0</v>
      </c>
      <c r="R106" s="622">
        <f t="shared" si="28"/>
        <v>0</v>
      </c>
      <c r="S106" s="622">
        <f t="shared" si="28"/>
        <v>0</v>
      </c>
      <c r="T106" s="622">
        <f t="shared" si="28"/>
        <v>0</v>
      </c>
      <c r="U106" s="622">
        <f t="shared" si="28"/>
        <v>0</v>
      </c>
      <c r="V106" s="622">
        <f t="shared" si="28"/>
        <v>0</v>
      </c>
      <c r="W106" s="622">
        <f t="shared" si="28"/>
        <v>0</v>
      </c>
      <c r="X106" s="622">
        <f t="shared" si="28"/>
        <v>0</v>
      </c>
      <c r="Y106" s="622">
        <f t="shared" si="28"/>
        <v>0</v>
      </c>
      <c r="Z106" s="622">
        <f t="shared" si="28"/>
        <v>0</v>
      </c>
      <c r="AA106" s="622">
        <f t="shared" si="28"/>
        <v>0</v>
      </c>
      <c r="AB106" s="622">
        <f t="shared" si="28"/>
        <v>0</v>
      </c>
      <c r="AC106" s="622">
        <f t="shared" si="28"/>
        <v>0</v>
      </c>
      <c r="AD106" s="622">
        <f t="shared" si="28"/>
        <v>4087.22</v>
      </c>
      <c r="AE106" s="622">
        <f t="shared" si="28"/>
        <v>0</v>
      </c>
      <c r="AF106" s="622"/>
      <c r="AG106" s="616">
        <f t="shared" si="21"/>
        <v>0</v>
      </c>
    </row>
    <row r="107" spans="1:33" s="617" customFormat="1" x14ac:dyDescent="0.3">
      <c r="A107" s="621" t="s">
        <v>32</v>
      </c>
      <c r="B107" s="622">
        <f>B14+B20+B27+B34+B41+B48+B63+B70+B76+B82+B90+B96+B102+B54</f>
        <v>62360.439999999988</v>
      </c>
      <c r="C107" s="622">
        <f>C14+C20+C27+C34+C41+C48+C63+C70+C76+C82+C90+C96+C102+C54</f>
        <v>25524.281999999999</v>
      </c>
      <c r="D107" s="622">
        <f t="shared" ref="D107:AE107" si="29">D14+D20+D27+D34+D41+D48+D63+D70+D76+D82+D90+D96+D102+D54</f>
        <v>24313.537</v>
      </c>
      <c r="E107" s="622">
        <f t="shared" si="29"/>
        <v>24313.537</v>
      </c>
      <c r="F107" s="622">
        <f t="shared" si="25"/>
        <v>38.988719450985279</v>
      </c>
      <c r="G107" s="622">
        <f t="shared" si="26"/>
        <v>95.256497322823819</v>
      </c>
      <c r="H107" s="622">
        <f t="shared" si="29"/>
        <v>4255.5</v>
      </c>
      <c r="I107" s="622">
        <f t="shared" si="29"/>
        <v>0</v>
      </c>
      <c r="J107" s="622">
        <f t="shared" si="29"/>
        <v>6738.55</v>
      </c>
      <c r="K107" s="622">
        <f t="shared" si="29"/>
        <v>10447.709999999999</v>
      </c>
      <c r="L107" s="622">
        <f t="shared" si="29"/>
        <v>8133.1149999999998</v>
      </c>
      <c r="M107" s="622">
        <f t="shared" si="29"/>
        <v>4469.4549999999999</v>
      </c>
      <c r="N107" s="622">
        <f t="shared" si="29"/>
        <v>2762.5370000000003</v>
      </c>
      <c r="O107" s="622">
        <f t="shared" si="29"/>
        <v>6444.2919999999995</v>
      </c>
      <c r="P107" s="622">
        <f t="shared" si="29"/>
        <v>3634.58</v>
      </c>
      <c r="Q107" s="622">
        <f t="shared" si="29"/>
        <v>2952.08</v>
      </c>
      <c r="R107" s="622">
        <f t="shared" si="29"/>
        <v>2649.136</v>
      </c>
      <c r="S107" s="622">
        <f t="shared" si="29"/>
        <v>0</v>
      </c>
      <c r="T107" s="622">
        <f t="shared" si="29"/>
        <v>0</v>
      </c>
      <c r="U107" s="622">
        <f t="shared" si="29"/>
        <v>0</v>
      </c>
      <c r="V107" s="622">
        <f t="shared" si="29"/>
        <v>0</v>
      </c>
      <c r="W107" s="622">
        <f t="shared" si="29"/>
        <v>0</v>
      </c>
      <c r="X107" s="622">
        <f t="shared" si="29"/>
        <v>0</v>
      </c>
      <c r="Y107" s="622">
        <f t="shared" si="29"/>
        <v>0</v>
      </c>
      <c r="Z107" s="622">
        <f t="shared" si="29"/>
        <v>0</v>
      </c>
      <c r="AA107" s="622">
        <f t="shared" si="29"/>
        <v>0</v>
      </c>
      <c r="AB107" s="622">
        <f t="shared" si="29"/>
        <v>5652.2</v>
      </c>
      <c r="AC107" s="622">
        <f t="shared" si="29"/>
        <v>0</v>
      </c>
      <c r="AD107" s="622">
        <f t="shared" si="29"/>
        <v>28534.822</v>
      </c>
      <c r="AE107" s="622">
        <f t="shared" si="29"/>
        <v>0</v>
      </c>
      <c r="AF107" s="622"/>
      <c r="AG107" s="616">
        <f t="shared" si="21"/>
        <v>0</v>
      </c>
    </row>
    <row r="108" spans="1:33" s="617" customFormat="1" x14ac:dyDescent="0.3">
      <c r="A108" s="621" t="s">
        <v>33</v>
      </c>
      <c r="B108" s="622">
        <f>B15+B21+B28+B35+B42+B49+B64+B71+B77+B83+B91+B97+B103+B55</f>
        <v>114050.60554999999</v>
      </c>
      <c r="C108" s="622">
        <f t="shared" ref="C108:AE108" si="30">C15+C21+C28+C35+C42+C49+C64+C71+C77+C83+C91+C97+C103+C55</f>
        <v>47050.471550000002</v>
      </c>
      <c r="D108" s="622">
        <f t="shared" si="30"/>
        <v>42442.608</v>
      </c>
      <c r="E108" s="622">
        <f t="shared" si="30"/>
        <v>42442.608</v>
      </c>
      <c r="F108" s="622">
        <f t="shared" si="25"/>
        <v>37.21383836177273</v>
      </c>
      <c r="G108" s="622">
        <f t="shared" si="26"/>
        <v>90.206551819351532</v>
      </c>
      <c r="H108" s="622">
        <f t="shared" si="30"/>
        <v>10786.851549999999</v>
      </c>
      <c r="I108" s="622">
        <f t="shared" si="30"/>
        <v>7953.1170000000002</v>
      </c>
      <c r="J108" s="622">
        <f t="shared" si="30"/>
        <v>10544.603999999999</v>
      </c>
      <c r="K108" s="622">
        <f t="shared" si="30"/>
        <v>9642.6650000000009</v>
      </c>
      <c r="L108" s="622">
        <f t="shared" si="30"/>
        <v>7956.8209999999999</v>
      </c>
      <c r="M108" s="622">
        <f t="shared" si="30"/>
        <v>7924.4160000000002</v>
      </c>
      <c r="N108" s="622">
        <f t="shared" si="30"/>
        <v>9798.5689999999995</v>
      </c>
      <c r="O108" s="622">
        <f t="shared" si="30"/>
        <v>8307.130000000001</v>
      </c>
      <c r="P108" s="622">
        <f t="shared" si="30"/>
        <v>7963.6260000000002</v>
      </c>
      <c r="Q108" s="622">
        <f t="shared" si="30"/>
        <v>8615.2799999999988</v>
      </c>
      <c r="R108" s="622">
        <f t="shared" si="30"/>
        <v>8315.7330000000002</v>
      </c>
      <c r="S108" s="622">
        <f t="shared" si="30"/>
        <v>0</v>
      </c>
      <c r="T108" s="622">
        <f t="shared" si="30"/>
        <v>9936.726999999999</v>
      </c>
      <c r="U108" s="622">
        <f t="shared" si="30"/>
        <v>0</v>
      </c>
      <c r="V108" s="622">
        <f t="shared" si="30"/>
        <v>8558.3960000000006</v>
      </c>
      <c r="W108" s="622">
        <f t="shared" si="30"/>
        <v>0</v>
      </c>
      <c r="X108" s="622">
        <f t="shared" si="30"/>
        <v>7586.7909999999993</v>
      </c>
      <c r="Y108" s="622">
        <f t="shared" si="30"/>
        <v>0</v>
      </c>
      <c r="Z108" s="622">
        <f t="shared" si="30"/>
        <v>9027.01</v>
      </c>
      <c r="AA108" s="622">
        <f t="shared" si="30"/>
        <v>0</v>
      </c>
      <c r="AB108" s="622">
        <f t="shared" si="30"/>
        <v>8272.3070000000007</v>
      </c>
      <c r="AC108" s="622">
        <f t="shared" si="30"/>
        <v>0</v>
      </c>
      <c r="AD108" s="622">
        <f t="shared" si="30"/>
        <v>15303.17</v>
      </c>
      <c r="AE108" s="622">
        <f t="shared" si="30"/>
        <v>0</v>
      </c>
      <c r="AF108" s="622"/>
      <c r="AG108" s="616">
        <f t="shared" si="21"/>
        <v>0</v>
      </c>
    </row>
    <row r="109" spans="1:33" s="617" customFormat="1" ht="37.5" x14ac:dyDescent="0.3">
      <c r="A109" s="628" t="s">
        <v>174</v>
      </c>
      <c r="B109" s="622">
        <f>B29+B36+B43+B56+B65</f>
        <v>5964.0120000000006</v>
      </c>
      <c r="C109" s="622">
        <f t="shared" ref="C109:AE109" si="31">C29+C36+C43+C56+C65</f>
        <v>2350.183</v>
      </c>
      <c r="D109" s="622">
        <f t="shared" si="31"/>
        <v>2350.0240000000003</v>
      </c>
      <c r="E109" s="622">
        <f t="shared" si="31"/>
        <v>2350.0240000000003</v>
      </c>
      <c r="F109" s="622">
        <f t="shared" si="25"/>
        <v>39.403408309708297</v>
      </c>
      <c r="G109" s="622">
        <f t="shared" si="26"/>
        <v>99.993234569393124</v>
      </c>
      <c r="H109" s="622">
        <f t="shared" si="31"/>
        <v>421</v>
      </c>
      <c r="I109" s="622">
        <f t="shared" si="31"/>
        <v>420.84</v>
      </c>
      <c r="J109" s="622">
        <f t="shared" si="31"/>
        <v>666.45</v>
      </c>
      <c r="K109" s="622">
        <f t="shared" si="31"/>
        <v>612.45000000000005</v>
      </c>
      <c r="L109" s="622">
        <f t="shared" si="31"/>
        <v>726.54700000000003</v>
      </c>
      <c r="M109" s="622">
        <f t="shared" si="31"/>
        <v>780.55</v>
      </c>
      <c r="N109" s="622">
        <f t="shared" si="31"/>
        <v>178.946</v>
      </c>
      <c r="O109" s="622">
        <f t="shared" si="31"/>
        <v>178.94400000000002</v>
      </c>
      <c r="P109" s="622">
        <f t="shared" si="31"/>
        <v>357.24</v>
      </c>
      <c r="Q109" s="622">
        <f t="shared" si="31"/>
        <v>357.24</v>
      </c>
      <c r="R109" s="622">
        <f t="shared" si="31"/>
        <v>262.04300000000001</v>
      </c>
      <c r="S109" s="622">
        <f t="shared" si="31"/>
        <v>0</v>
      </c>
      <c r="T109" s="622">
        <f t="shared" si="31"/>
        <v>0</v>
      </c>
      <c r="U109" s="622">
        <f t="shared" si="31"/>
        <v>0</v>
      </c>
      <c r="V109" s="622">
        <f t="shared" si="31"/>
        <v>0</v>
      </c>
      <c r="W109" s="622">
        <f t="shared" si="31"/>
        <v>0</v>
      </c>
      <c r="X109" s="622">
        <f t="shared" si="31"/>
        <v>0</v>
      </c>
      <c r="Y109" s="622">
        <f t="shared" si="31"/>
        <v>0</v>
      </c>
      <c r="Z109" s="622">
        <f t="shared" si="31"/>
        <v>0</v>
      </c>
      <c r="AA109" s="622">
        <f t="shared" si="31"/>
        <v>0</v>
      </c>
      <c r="AB109" s="622">
        <f t="shared" si="31"/>
        <v>559.01</v>
      </c>
      <c r="AC109" s="622">
        <f t="shared" si="31"/>
        <v>0</v>
      </c>
      <c r="AD109" s="622">
        <f t="shared" si="31"/>
        <v>2792.7759999999998</v>
      </c>
      <c r="AE109" s="622">
        <f t="shared" si="31"/>
        <v>0</v>
      </c>
      <c r="AF109" s="622"/>
      <c r="AG109" s="616"/>
    </row>
    <row r="110" spans="1:33" s="617" customFormat="1" x14ac:dyDescent="0.3">
      <c r="A110" s="634" t="s">
        <v>170</v>
      </c>
      <c r="B110" s="622">
        <f>B16+B22+B30+B37+B44+B50+B66+B72+B78+B84+B92+B98+B104+B57</f>
        <v>1715</v>
      </c>
      <c r="C110" s="622">
        <f t="shared" ref="C110:AE110" si="32">C16+C22+C30+C37+C44+C50+C66+C72+C78+C84+C92+C98+C104+C57</f>
        <v>765</v>
      </c>
      <c r="D110" s="622">
        <f t="shared" si="32"/>
        <v>0</v>
      </c>
      <c r="E110" s="622">
        <f t="shared" si="32"/>
        <v>0</v>
      </c>
      <c r="F110" s="622">
        <f t="shared" si="25"/>
        <v>0</v>
      </c>
      <c r="G110" s="622">
        <f t="shared" si="26"/>
        <v>0</v>
      </c>
      <c r="H110" s="622">
        <f t="shared" si="32"/>
        <v>0</v>
      </c>
      <c r="I110" s="622">
        <f t="shared" si="32"/>
        <v>0</v>
      </c>
      <c r="J110" s="622">
        <f t="shared" si="32"/>
        <v>0</v>
      </c>
      <c r="K110" s="622">
        <f t="shared" si="32"/>
        <v>0</v>
      </c>
      <c r="L110" s="622">
        <f t="shared" si="32"/>
        <v>765</v>
      </c>
      <c r="M110" s="622">
        <f t="shared" si="32"/>
        <v>0</v>
      </c>
      <c r="N110" s="622">
        <f t="shared" si="32"/>
        <v>0</v>
      </c>
      <c r="O110" s="622">
        <f t="shared" si="32"/>
        <v>0</v>
      </c>
      <c r="P110" s="622">
        <f t="shared" si="32"/>
        <v>0</v>
      </c>
      <c r="Q110" s="622">
        <f t="shared" si="32"/>
        <v>0</v>
      </c>
      <c r="R110" s="622">
        <f t="shared" si="32"/>
        <v>0</v>
      </c>
      <c r="S110" s="622">
        <f t="shared" si="32"/>
        <v>0</v>
      </c>
      <c r="T110" s="622">
        <f t="shared" si="32"/>
        <v>0</v>
      </c>
      <c r="U110" s="622">
        <f t="shared" si="32"/>
        <v>0</v>
      </c>
      <c r="V110" s="622">
        <f t="shared" si="32"/>
        <v>0</v>
      </c>
      <c r="W110" s="622">
        <f t="shared" si="32"/>
        <v>0</v>
      </c>
      <c r="X110" s="622">
        <f t="shared" si="32"/>
        <v>0</v>
      </c>
      <c r="Y110" s="622">
        <f t="shared" si="32"/>
        <v>0</v>
      </c>
      <c r="Z110" s="622">
        <f t="shared" si="32"/>
        <v>0</v>
      </c>
      <c r="AA110" s="622">
        <f t="shared" si="32"/>
        <v>0</v>
      </c>
      <c r="AB110" s="622">
        <f t="shared" si="32"/>
        <v>0</v>
      </c>
      <c r="AC110" s="622">
        <f t="shared" si="32"/>
        <v>0</v>
      </c>
      <c r="AD110" s="622">
        <f t="shared" si="32"/>
        <v>950</v>
      </c>
      <c r="AE110" s="622">
        <f t="shared" si="32"/>
        <v>0</v>
      </c>
      <c r="AF110" s="622"/>
      <c r="AG110" s="616">
        <f t="shared" si="21"/>
        <v>0</v>
      </c>
    </row>
    <row r="111" spans="1:33" ht="37.5" x14ac:dyDescent="0.3">
      <c r="A111" s="635" t="s">
        <v>218</v>
      </c>
      <c r="B111" s="636">
        <f>B112+B113+B114+B115</f>
        <v>0</v>
      </c>
      <c r="C111" s="636">
        <f>C112+C113+C114</f>
        <v>0</v>
      </c>
      <c r="D111" s="636">
        <f>D112+D113+D114</f>
        <v>0</v>
      </c>
      <c r="E111" s="636">
        <f>E112+E113+E114</f>
        <v>0</v>
      </c>
      <c r="F111" s="636">
        <f t="shared" si="25"/>
        <v>0</v>
      </c>
      <c r="G111" s="636">
        <f t="shared" si="26"/>
        <v>0</v>
      </c>
      <c r="H111" s="636">
        <f t="shared" ref="H111:AE111" si="33">H112+H113+H114+H115</f>
        <v>0</v>
      </c>
      <c r="I111" s="636">
        <f t="shared" si="33"/>
        <v>0</v>
      </c>
      <c r="J111" s="636">
        <f t="shared" si="33"/>
        <v>0</v>
      </c>
      <c r="K111" s="636">
        <f t="shared" si="33"/>
        <v>0</v>
      </c>
      <c r="L111" s="636">
        <f t="shared" si="33"/>
        <v>0</v>
      </c>
      <c r="M111" s="636">
        <f t="shared" si="33"/>
        <v>0</v>
      </c>
      <c r="N111" s="636">
        <f t="shared" si="33"/>
        <v>0</v>
      </c>
      <c r="O111" s="636">
        <f t="shared" si="33"/>
        <v>0</v>
      </c>
      <c r="P111" s="636">
        <f t="shared" si="33"/>
        <v>0</v>
      </c>
      <c r="Q111" s="636">
        <f t="shared" si="33"/>
        <v>0</v>
      </c>
      <c r="R111" s="636">
        <f t="shared" si="33"/>
        <v>0</v>
      </c>
      <c r="S111" s="636">
        <f t="shared" si="33"/>
        <v>0</v>
      </c>
      <c r="T111" s="636">
        <f t="shared" si="33"/>
        <v>0</v>
      </c>
      <c r="U111" s="636">
        <f t="shared" si="33"/>
        <v>0</v>
      </c>
      <c r="V111" s="636">
        <f t="shared" si="33"/>
        <v>0</v>
      </c>
      <c r="W111" s="636">
        <f t="shared" si="33"/>
        <v>0</v>
      </c>
      <c r="X111" s="636">
        <f t="shared" si="33"/>
        <v>0</v>
      </c>
      <c r="Y111" s="636">
        <f t="shared" si="33"/>
        <v>0</v>
      </c>
      <c r="Z111" s="636">
        <f t="shared" si="33"/>
        <v>0</v>
      </c>
      <c r="AA111" s="636">
        <f t="shared" si="33"/>
        <v>0</v>
      </c>
      <c r="AB111" s="636">
        <f t="shared" si="33"/>
        <v>0</v>
      </c>
      <c r="AC111" s="636">
        <f t="shared" si="33"/>
        <v>0</v>
      </c>
      <c r="AD111" s="636">
        <f t="shared" si="33"/>
        <v>0</v>
      </c>
      <c r="AE111" s="636">
        <f t="shared" si="33"/>
        <v>0</v>
      </c>
      <c r="AF111" s="636"/>
      <c r="AG111" s="102">
        <f t="shared" si="21"/>
        <v>0</v>
      </c>
    </row>
    <row r="112" spans="1:33" s="617" customFormat="1" x14ac:dyDescent="0.3">
      <c r="A112" s="621" t="s">
        <v>169</v>
      </c>
      <c r="B112" s="622">
        <f>B13+B19</f>
        <v>0</v>
      </c>
      <c r="C112" s="622">
        <f>C13+C19</f>
        <v>0</v>
      </c>
      <c r="D112" s="622">
        <f>D13+D19</f>
        <v>0</v>
      </c>
      <c r="E112" s="622">
        <f>E13+E19</f>
        <v>0</v>
      </c>
      <c r="F112" s="622">
        <f t="shared" si="25"/>
        <v>0</v>
      </c>
      <c r="G112" s="622">
        <f t="shared" si="26"/>
        <v>0</v>
      </c>
      <c r="H112" s="622">
        <f t="shared" ref="H112:AE112" si="34">H13+H19</f>
        <v>0</v>
      </c>
      <c r="I112" s="622">
        <f t="shared" si="34"/>
        <v>0</v>
      </c>
      <c r="J112" s="622">
        <f t="shared" si="34"/>
        <v>0</v>
      </c>
      <c r="K112" s="622">
        <f t="shared" si="34"/>
        <v>0</v>
      </c>
      <c r="L112" s="622">
        <f t="shared" si="34"/>
        <v>0</v>
      </c>
      <c r="M112" s="622">
        <f t="shared" si="34"/>
        <v>0</v>
      </c>
      <c r="N112" s="622">
        <f t="shared" si="34"/>
        <v>0</v>
      </c>
      <c r="O112" s="622">
        <f t="shared" si="34"/>
        <v>0</v>
      </c>
      <c r="P112" s="622">
        <f t="shared" si="34"/>
        <v>0</v>
      </c>
      <c r="Q112" s="622">
        <f t="shared" si="34"/>
        <v>0</v>
      </c>
      <c r="R112" s="622">
        <f t="shared" si="34"/>
        <v>0</v>
      </c>
      <c r="S112" s="622">
        <f t="shared" si="34"/>
        <v>0</v>
      </c>
      <c r="T112" s="622">
        <f t="shared" si="34"/>
        <v>0</v>
      </c>
      <c r="U112" s="622">
        <f t="shared" si="34"/>
        <v>0</v>
      </c>
      <c r="V112" s="622">
        <f t="shared" si="34"/>
        <v>0</v>
      </c>
      <c r="W112" s="622">
        <f t="shared" si="34"/>
        <v>0</v>
      </c>
      <c r="X112" s="622">
        <f t="shared" si="34"/>
        <v>0</v>
      </c>
      <c r="Y112" s="622">
        <f t="shared" si="34"/>
        <v>0</v>
      </c>
      <c r="Z112" s="622">
        <f t="shared" si="34"/>
        <v>0</v>
      </c>
      <c r="AA112" s="622">
        <f t="shared" si="34"/>
        <v>0</v>
      </c>
      <c r="AB112" s="622">
        <f t="shared" si="34"/>
        <v>0</v>
      </c>
      <c r="AC112" s="622">
        <f t="shared" si="34"/>
        <v>0</v>
      </c>
      <c r="AD112" s="622">
        <f t="shared" si="34"/>
        <v>0</v>
      </c>
      <c r="AE112" s="622">
        <f t="shared" si="34"/>
        <v>0</v>
      </c>
      <c r="AF112" s="622"/>
      <c r="AG112" s="616">
        <f t="shared" si="21"/>
        <v>0</v>
      </c>
    </row>
    <row r="113" spans="1:33" s="617" customFormat="1" x14ac:dyDescent="0.3">
      <c r="A113" s="621" t="s">
        <v>32</v>
      </c>
      <c r="B113" s="622">
        <f>B14+B20</f>
        <v>0</v>
      </c>
      <c r="C113" s="622">
        <f t="shared" ref="C113:E115" si="35">C14+C20</f>
        <v>0</v>
      </c>
      <c r="D113" s="622">
        <f t="shared" si="35"/>
        <v>0</v>
      </c>
      <c r="E113" s="622">
        <f t="shared" si="35"/>
        <v>0</v>
      </c>
      <c r="F113" s="622">
        <f t="shared" si="25"/>
        <v>0</v>
      </c>
      <c r="G113" s="622">
        <f t="shared" si="26"/>
        <v>0</v>
      </c>
      <c r="H113" s="622">
        <f t="shared" ref="H113:AE113" si="36">H14+H20</f>
        <v>0</v>
      </c>
      <c r="I113" s="622">
        <f t="shared" si="36"/>
        <v>0</v>
      </c>
      <c r="J113" s="622">
        <f t="shared" si="36"/>
        <v>0</v>
      </c>
      <c r="K113" s="622">
        <f t="shared" si="36"/>
        <v>0</v>
      </c>
      <c r="L113" s="622">
        <f t="shared" si="36"/>
        <v>0</v>
      </c>
      <c r="M113" s="622">
        <f t="shared" si="36"/>
        <v>0</v>
      </c>
      <c r="N113" s="622">
        <f t="shared" si="36"/>
        <v>0</v>
      </c>
      <c r="O113" s="622">
        <f t="shared" si="36"/>
        <v>0</v>
      </c>
      <c r="P113" s="622">
        <f t="shared" si="36"/>
        <v>0</v>
      </c>
      <c r="Q113" s="622">
        <f t="shared" si="36"/>
        <v>0</v>
      </c>
      <c r="R113" s="622">
        <f t="shared" si="36"/>
        <v>0</v>
      </c>
      <c r="S113" s="622">
        <f t="shared" si="36"/>
        <v>0</v>
      </c>
      <c r="T113" s="622">
        <f t="shared" si="36"/>
        <v>0</v>
      </c>
      <c r="U113" s="622">
        <f t="shared" si="36"/>
        <v>0</v>
      </c>
      <c r="V113" s="622">
        <f t="shared" si="36"/>
        <v>0</v>
      </c>
      <c r="W113" s="622">
        <f t="shared" si="36"/>
        <v>0</v>
      </c>
      <c r="X113" s="622">
        <f t="shared" si="36"/>
        <v>0</v>
      </c>
      <c r="Y113" s="622">
        <f t="shared" si="36"/>
        <v>0</v>
      </c>
      <c r="Z113" s="622">
        <f t="shared" si="36"/>
        <v>0</v>
      </c>
      <c r="AA113" s="622">
        <f t="shared" si="36"/>
        <v>0</v>
      </c>
      <c r="AB113" s="622">
        <f t="shared" si="36"/>
        <v>0</v>
      </c>
      <c r="AC113" s="622">
        <f t="shared" si="36"/>
        <v>0</v>
      </c>
      <c r="AD113" s="622">
        <f t="shared" si="36"/>
        <v>0</v>
      </c>
      <c r="AE113" s="622">
        <f t="shared" si="36"/>
        <v>0</v>
      </c>
      <c r="AF113" s="622"/>
      <c r="AG113" s="616">
        <f t="shared" si="21"/>
        <v>0</v>
      </c>
    </row>
    <row r="114" spans="1:33" s="617" customFormat="1" x14ac:dyDescent="0.3">
      <c r="A114" s="621" t="s">
        <v>33</v>
      </c>
      <c r="B114" s="622">
        <f>B15+B21</f>
        <v>0</v>
      </c>
      <c r="C114" s="622">
        <f t="shared" si="35"/>
        <v>0</v>
      </c>
      <c r="D114" s="622">
        <f t="shared" si="35"/>
        <v>0</v>
      </c>
      <c r="E114" s="622">
        <f t="shared" si="35"/>
        <v>0</v>
      </c>
      <c r="F114" s="622">
        <f t="shared" si="25"/>
        <v>0</v>
      </c>
      <c r="G114" s="622">
        <f t="shared" si="26"/>
        <v>0</v>
      </c>
      <c r="H114" s="622">
        <f t="shared" ref="H114:AE114" si="37">H15+H21</f>
        <v>0</v>
      </c>
      <c r="I114" s="622">
        <f t="shared" si="37"/>
        <v>0</v>
      </c>
      <c r="J114" s="622">
        <f t="shared" si="37"/>
        <v>0</v>
      </c>
      <c r="K114" s="622">
        <f t="shared" si="37"/>
        <v>0</v>
      </c>
      <c r="L114" s="622">
        <f t="shared" si="37"/>
        <v>0</v>
      </c>
      <c r="M114" s="622">
        <f t="shared" si="37"/>
        <v>0</v>
      </c>
      <c r="N114" s="622">
        <f t="shared" si="37"/>
        <v>0</v>
      </c>
      <c r="O114" s="622">
        <f t="shared" si="37"/>
        <v>0</v>
      </c>
      <c r="P114" s="622">
        <f t="shared" si="37"/>
        <v>0</v>
      </c>
      <c r="Q114" s="622">
        <f t="shared" si="37"/>
        <v>0</v>
      </c>
      <c r="R114" s="622">
        <f t="shared" si="37"/>
        <v>0</v>
      </c>
      <c r="S114" s="622">
        <f t="shared" si="37"/>
        <v>0</v>
      </c>
      <c r="T114" s="622">
        <f t="shared" si="37"/>
        <v>0</v>
      </c>
      <c r="U114" s="622">
        <f t="shared" si="37"/>
        <v>0</v>
      </c>
      <c r="V114" s="622">
        <f t="shared" si="37"/>
        <v>0</v>
      </c>
      <c r="W114" s="622">
        <f t="shared" si="37"/>
        <v>0</v>
      </c>
      <c r="X114" s="622">
        <f t="shared" si="37"/>
        <v>0</v>
      </c>
      <c r="Y114" s="622">
        <f t="shared" si="37"/>
        <v>0</v>
      </c>
      <c r="Z114" s="622">
        <f t="shared" si="37"/>
        <v>0</v>
      </c>
      <c r="AA114" s="622">
        <f t="shared" si="37"/>
        <v>0</v>
      </c>
      <c r="AB114" s="622">
        <f t="shared" si="37"/>
        <v>0</v>
      </c>
      <c r="AC114" s="622">
        <f t="shared" si="37"/>
        <v>0</v>
      </c>
      <c r="AD114" s="622">
        <f t="shared" si="37"/>
        <v>0</v>
      </c>
      <c r="AE114" s="622">
        <f t="shared" si="37"/>
        <v>0</v>
      </c>
      <c r="AF114" s="622"/>
      <c r="AG114" s="616">
        <f t="shared" si="21"/>
        <v>0</v>
      </c>
    </row>
    <row r="115" spans="1:33" s="617" customFormat="1" x14ac:dyDescent="0.3">
      <c r="A115" s="634" t="s">
        <v>170</v>
      </c>
      <c r="B115" s="622">
        <f>B16+B22</f>
        <v>0</v>
      </c>
      <c r="C115" s="622">
        <f t="shared" si="35"/>
        <v>0</v>
      </c>
      <c r="D115" s="622">
        <f t="shared" si="35"/>
        <v>0</v>
      </c>
      <c r="E115" s="622">
        <f t="shared" si="35"/>
        <v>0</v>
      </c>
      <c r="F115" s="622">
        <f t="shared" si="25"/>
        <v>0</v>
      </c>
      <c r="G115" s="622">
        <f t="shared" si="26"/>
        <v>0</v>
      </c>
      <c r="H115" s="622">
        <f t="shared" ref="H115:AE115" si="38">H16+H22</f>
        <v>0</v>
      </c>
      <c r="I115" s="622">
        <f t="shared" si="38"/>
        <v>0</v>
      </c>
      <c r="J115" s="622">
        <f t="shared" si="38"/>
        <v>0</v>
      </c>
      <c r="K115" s="622">
        <f t="shared" si="38"/>
        <v>0</v>
      </c>
      <c r="L115" s="622">
        <f t="shared" si="38"/>
        <v>0</v>
      </c>
      <c r="M115" s="622">
        <f t="shared" si="38"/>
        <v>0</v>
      </c>
      <c r="N115" s="622">
        <f t="shared" si="38"/>
        <v>0</v>
      </c>
      <c r="O115" s="622">
        <f t="shared" si="38"/>
        <v>0</v>
      </c>
      <c r="P115" s="622">
        <f t="shared" si="38"/>
        <v>0</v>
      </c>
      <c r="Q115" s="622">
        <f t="shared" si="38"/>
        <v>0</v>
      </c>
      <c r="R115" s="622">
        <f t="shared" si="38"/>
        <v>0</v>
      </c>
      <c r="S115" s="622">
        <f t="shared" si="38"/>
        <v>0</v>
      </c>
      <c r="T115" s="622">
        <f t="shared" si="38"/>
        <v>0</v>
      </c>
      <c r="U115" s="622">
        <f t="shared" si="38"/>
        <v>0</v>
      </c>
      <c r="V115" s="622">
        <f t="shared" si="38"/>
        <v>0</v>
      </c>
      <c r="W115" s="622">
        <f t="shared" si="38"/>
        <v>0</v>
      </c>
      <c r="X115" s="622">
        <f t="shared" si="38"/>
        <v>0</v>
      </c>
      <c r="Y115" s="622">
        <f t="shared" si="38"/>
        <v>0</v>
      </c>
      <c r="Z115" s="622">
        <f t="shared" si="38"/>
        <v>0</v>
      </c>
      <c r="AA115" s="622">
        <f t="shared" si="38"/>
        <v>0</v>
      </c>
      <c r="AB115" s="622">
        <f t="shared" si="38"/>
        <v>0</v>
      </c>
      <c r="AC115" s="622">
        <f t="shared" si="38"/>
        <v>0</v>
      </c>
      <c r="AD115" s="622">
        <f t="shared" si="38"/>
        <v>0</v>
      </c>
      <c r="AE115" s="622">
        <f t="shared" si="38"/>
        <v>0</v>
      </c>
      <c r="AF115" s="622"/>
      <c r="AG115" s="616">
        <f t="shared" si="21"/>
        <v>0</v>
      </c>
    </row>
    <row r="116" spans="1:33" ht="37.5" x14ac:dyDescent="0.3">
      <c r="A116" s="635" t="s">
        <v>219</v>
      </c>
      <c r="B116" s="636">
        <f>B117+B118+B119+B121</f>
        <v>182561.64354999998</v>
      </c>
      <c r="C116" s="636">
        <f>C117+C118+C119+C121</f>
        <v>73688.131550000006</v>
      </c>
      <c r="D116" s="636">
        <f>D117+D118+D119+D121</f>
        <v>67104.525999999998</v>
      </c>
      <c r="E116" s="636">
        <f>E117+E118+E119+E121</f>
        <v>67104.525999999998</v>
      </c>
      <c r="F116" s="636">
        <f t="shared" si="25"/>
        <v>36.757187706639712</v>
      </c>
      <c r="G116" s="636">
        <f t="shared" si="26"/>
        <v>91.065582188723567</v>
      </c>
      <c r="H116" s="636">
        <f>H117+H118+H119+H121</f>
        <v>15042.351549999999</v>
      </c>
      <c r="I116" s="636">
        <f t="shared" ref="I116:AE116" si="39">I117+I118+I119+I121</f>
        <v>7953.1170000000002</v>
      </c>
      <c r="J116" s="636">
        <f t="shared" si="39"/>
        <v>17283.153999999999</v>
      </c>
      <c r="K116" s="636">
        <f t="shared" si="39"/>
        <v>20090.375</v>
      </c>
      <c r="L116" s="636">
        <f t="shared" si="39"/>
        <v>17013.317999999999</v>
      </c>
      <c r="M116" s="636">
        <f t="shared" si="39"/>
        <v>12552.253000000001</v>
      </c>
      <c r="N116" s="636">
        <f t="shared" si="39"/>
        <v>12751.101999999999</v>
      </c>
      <c r="O116" s="636">
        <f t="shared" si="39"/>
        <v>14941.421</v>
      </c>
      <c r="P116" s="636">
        <f t="shared" si="39"/>
        <v>11598.206</v>
      </c>
      <c r="Q116" s="636">
        <f t="shared" si="39"/>
        <v>11567.359999999999</v>
      </c>
      <c r="R116" s="636">
        <f t="shared" si="39"/>
        <v>10964.869000000001</v>
      </c>
      <c r="S116" s="636">
        <f t="shared" si="39"/>
        <v>0</v>
      </c>
      <c r="T116" s="636">
        <f t="shared" si="39"/>
        <v>9936.726999999999</v>
      </c>
      <c r="U116" s="636">
        <f t="shared" si="39"/>
        <v>0</v>
      </c>
      <c r="V116" s="636">
        <f t="shared" si="39"/>
        <v>8558.3960000000006</v>
      </c>
      <c r="W116" s="636">
        <f t="shared" si="39"/>
        <v>0</v>
      </c>
      <c r="X116" s="636">
        <f t="shared" si="39"/>
        <v>7586.7909999999993</v>
      </c>
      <c r="Y116" s="636">
        <f t="shared" si="39"/>
        <v>0</v>
      </c>
      <c r="Z116" s="636">
        <f t="shared" si="39"/>
        <v>9027.01</v>
      </c>
      <c r="AA116" s="636">
        <f t="shared" si="39"/>
        <v>0</v>
      </c>
      <c r="AB116" s="636">
        <f t="shared" si="39"/>
        <v>13924.507000000001</v>
      </c>
      <c r="AC116" s="636">
        <f t="shared" si="39"/>
        <v>0</v>
      </c>
      <c r="AD116" s="636">
        <f t="shared" si="39"/>
        <v>48875.212</v>
      </c>
      <c r="AE116" s="636">
        <f t="shared" si="39"/>
        <v>0</v>
      </c>
      <c r="AF116" s="636"/>
      <c r="AG116" s="102">
        <f t="shared" si="21"/>
        <v>0</v>
      </c>
    </row>
    <row r="117" spans="1:33" s="617" customFormat="1" x14ac:dyDescent="0.3">
      <c r="A117" s="621" t="s">
        <v>169</v>
      </c>
      <c r="B117" s="622">
        <f>H117+J117+L117+N117+P117+R117+T117+V117+X117+Z117+AB117+AD117</f>
        <v>4435.598</v>
      </c>
      <c r="C117" s="622">
        <f t="shared" ref="C117:E119" si="40">C26+C33+C40+C47+C62+C69+C75+C81+C89+C95+C101+C53</f>
        <v>348.37800000000004</v>
      </c>
      <c r="D117" s="622">
        <f t="shared" si="40"/>
        <v>348.38099999999997</v>
      </c>
      <c r="E117" s="622">
        <f t="shared" si="40"/>
        <v>348.38099999999997</v>
      </c>
      <c r="F117" s="622">
        <f t="shared" si="25"/>
        <v>7.8542059041418995</v>
      </c>
      <c r="G117" s="622">
        <f t="shared" si="26"/>
        <v>100.00086113359626</v>
      </c>
      <c r="H117" s="622">
        <f>H26+H33+H40+H47+H62+H69+H75+H81+H89+H95+H101+H53</f>
        <v>0</v>
      </c>
      <c r="I117" s="622">
        <f t="shared" ref="I117:AE117" si="41">I26+I33+I40+I47+I62+I69+I75+I81+I89+I95+I101+I53</f>
        <v>0</v>
      </c>
      <c r="J117" s="622">
        <f t="shared" si="41"/>
        <v>0</v>
      </c>
      <c r="K117" s="622">
        <f t="shared" si="41"/>
        <v>0</v>
      </c>
      <c r="L117" s="622">
        <f t="shared" si="41"/>
        <v>158.38200000000001</v>
      </c>
      <c r="M117" s="622">
        <f t="shared" si="41"/>
        <v>158.38200000000001</v>
      </c>
      <c r="N117" s="622">
        <f t="shared" si="41"/>
        <v>189.99600000000001</v>
      </c>
      <c r="O117" s="622">
        <f t="shared" si="41"/>
        <v>189.999</v>
      </c>
      <c r="P117" s="622">
        <f t="shared" si="41"/>
        <v>0</v>
      </c>
      <c r="Q117" s="622">
        <f t="shared" si="41"/>
        <v>0</v>
      </c>
      <c r="R117" s="622">
        <f t="shared" si="41"/>
        <v>0</v>
      </c>
      <c r="S117" s="622">
        <f t="shared" si="41"/>
        <v>0</v>
      </c>
      <c r="T117" s="622">
        <f t="shared" si="41"/>
        <v>0</v>
      </c>
      <c r="U117" s="622">
        <f t="shared" si="41"/>
        <v>0</v>
      </c>
      <c r="V117" s="622">
        <f t="shared" si="41"/>
        <v>0</v>
      </c>
      <c r="W117" s="622">
        <f t="shared" si="41"/>
        <v>0</v>
      </c>
      <c r="X117" s="622">
        <f t="shared" si="41"/>
        <v>0</v>
      </c>
      <c r="Y117" s="622">
        <f t="shared" si="41"/>
        <v>0</v>
      </c>
      <c r="Z117" s="622">
        <f t="shared" si="41"/>
        <v>0</v>
      </c>
      <c r="AA117" s="622">
        <f t="shared" si="41"/>
        <v>0</v>
      </c>
      <c r="AB117" s="622">
        <f t="shared" si="41"/>
        <v>0</v>
      </c>
      <c r="AC117" s="622">
        <f t="shared" si="41"/>
        <v>0</v>
      </c>
      <c r="AD117" s="622">
        <f t="shared" si="41"/>
        <v>4087.22</v>
      </c>
      <c r="AE117" s="622">
        <f t="shared" si="41"/>
        <v>0</v>
      </c>
      <c r="AF117" s="622"/>
      <c r="AG117" s="616">
        <f t="shared" si="21"/>
        <v>0</v>
      </c>
    </row>
    <row r="118" spans="1:33" s="617" customFormat="1" x14ac:dyDescent="0.3">
      <c r="A118" s="621" t="s">
        <v>32</v>
      </c>
      <c r="B118" s="622">
        <f>H118+J118+L118+N118+P118+R118+T118+V118+X118+Z118+AB118+AD118</f>
        <v>62360.439999999995</v>
      </c>
      <c r="C118" s="622">
        <f t="shared" si="40"/>
        <v>25524.281999999999</v>
      </c>
      <c r="D118" s="622">
        <f t="shared" si="40"/>
        <v>24313.537</v>
      </c>
      <c r="E118" s="622">
        <f t="shared" si="40"/>
        <v>24313.537</v>
      </c>
      <c r="F118" s="622">
        <f t="shared" si="25"/>
        <v>38.988719450985279</v>
      </c>
      <c r="G118" s="622">
        <f t="shared" si="26"/>
        <v>95.256497322823819</v>
      </c>
      <c r="H118" s="622">
        <f>H27+H34+H41+H48+H63+H70+H76+H82+H90+H96+H102+H54</f>
        <v>4255.5</v>
      </c>
      <c r="I118" s="622">
        <f t="shared" ref="I118:AE118" si="42">I27+I34+I41+I48+I63+I70+I76+I82+I90+I96+I102+I54</f>
        <v>0</v>
      </c>
      <c r="J118" s="622">
        <f t="shared" si="42"/>
        <v>6738.55</v>
      </c>
      <c r="K118" s="622">
        <f t="shared" si="42"/>
        <v>10447.709999999999</v>
      </c>
      <c r="L118" s="622">
        <f t="shared" si="42"/>
        <v>8133.1149999999998</v>
      </c>
      <c r="M118" s="622">
        <f t="shared" si="42"/>
        <v>4469.4549999999999</v>
      </c>
      <c r="N118" s="622">
        <f t="shared" si="42"/>
        <v>2762.5370000000003</v>
      </c>
      <c r="O118" s="622">
        <f t="shared" si="42"/>
        <v>6444.2919999999995</v>
      </c>
      <c r="P118" s="622">
        <f t="shared" si="42"/>
        <v>3634.58</v>
      </c>
      <c r="Q118" s="622">
        <f t="shared" si="42"/>
        <v>2952.08</v>
      </c>
      <c r="R118" s="622">
        <f t="shared" si="42"/>
        <v>2649.136</v>
      </c>
      <c r="S118" s="622">
        <f t="shared" si="42"/>
        <v>0</v>
      </c>
      <c r="T118" s="622">
        <f t="shared" si="42"/>
        <v>0</v>
      </c>
      <c r="U118" s="622">
        <f t="shared" si="42"/>
        <v>0</v>
      </c>
      <c r="V118" s="622">
        <f t="shared" si="42"/>
        <v>0</v>
      </c>
      <c r="W118" s="622">
        <f t="shared" si="42"/>
        <v>0</v>
      </c>
      <c r="X118" s="622">
        <f t="shared" si="42"/>
        <v>0</v>
      </c>
      <c r="Y118" s="622">
        <f t="shared" si="42"/>
        <v>0</v>
      </c>
      <c r="Z118" s="622">
        <f t="shared" si="42"/>
        <v>0</v>
      </c>
      <c r="AA118" s="622">
        <f t="shared" si="42"/>
        <v>0</v>
      </c>
      <c r="AB118" s="622">
        <f t="shared" si="42"/>
        <v>5652.2</v>
      </c>
      <c r="AC118" s="622">
        <f t="shared" si="42"/>
        <v>0</v>
      </c>
      <c r="AD118" s="622">
        <f t="shared" si="42"/>
        <v>28534.822</v>
      </c>
      <c r="AE118" s="622">
        <f t="shared" si="42"/>
        <v>0</v>
      </c>
      <c r="AF118" s="622"/>
      <c r="AG118" s="616">
        <f t="shared" si="21"/>
        <v>0</v>
      </c>
    </row>
    <row r="119" spans="1:33" s="617" customFormat="1" x14ac:dyDescent="0.3">
      <c r="A119" s="621" t="s">
        <v>33</v>
      </c>
      <c r="B119" s="622">
        <f>H119+J119+L119+N119+P119+R119+T119+V119+X119+Z119+AB119+AD119</f>
        <v>114050.60554999999</v>
      </c>
      <c r="C119" s="622">
        <f t="shared" si="40"/>
        <v>47050.471550000002</v>
      </c>
      <c r="D119" s="622">
        <f t="shared" si="40"/>
        <v>42442.608</v>
      </c>
      <c r="E119" s="622">
        <f t="shared" si="40"/>
        <v>42442.608</v>
      </c>
      <c r="F119" s="622">
        <f t="shared" si="25"/>
        <v>37.21383836177273</v>
      </c>
      <c r="G119" s="622">
        <f t="shared" si="26"/>
        <v>90.206551819351532</v>
      </c>
      <c r="H119" s="622">
        <f>H28+H35+H42+H49+H64+H71+H77+H83+H91+H97+H103+H55</f>
        <v>10786.851549999999</v>
      </c>
      <c r="I119" s="622">
        <f t="shared" ref="I119:AE119" si="43">I28+I35+I42+I49+I64+I71+I77+I83+I91+I97+I103+I55</f>
        <v>7953.1170000000002</v>
      </c>
      <c r="J119" s="622">
        <f t="shared" si="43"/>
        <v>10544.603999999999</v>
      </c>
      <c r="K119" s="622">
        <f t="shared" si="43"/>
        <v>9642.6650000000009</v>
      </c>
      <c r="L119" s="622">
        <f t="shared" si="43"/>
        <v>7956.8209999999999</v>
      </c>
      <c r="M119" s="622">
        <f t="shared" si="43"/>
        <v>7924.4160000000002</v>
      </c>
      <c r="N119" s="622">
        <f t="shared" si="43"/>
        <v>9798.5689999999995</v>
      </c>
      <c r="O119" s="622">
        <f t="shared" si="43"/>
        <v>8307.130000000001</v>
      </c>
      <c r="P119" s="622">
        <f t="shared" si="43"/>
        <v>7963.6260000000002</v>
      </c>
      <c r="Q119" s="622">
        <f t="shared" si="43"/>
        <v>8615.2799999999988</v>
      </c>
      <c r="R119" s="622">
        <f t="shared" si="43"/>
        <v>8315.7330000000002</v>
      </c>
      <c r="S119" s="622">
        <f t="shared" si="43"/>
        <v>0</v>
      </c>
      <c r="T119" s="622">
        <f t="shared" si="43"/>
        <v>9936.726999999999</v>
      </c>
      <c r="U119" s="622">
        <f t="shared" si="43"/>
        <v>0</v>
      </c>
      <c r="V119" s="622">
        <f t="shared" si="43"/>
        <v>8558.3960000000006</v>
      </c>
      <c r="W119" s="622">
        <f t="shared" si="43"/>
        <v>0</v>
      </c>
      <c r="X119" s="622">
        <f t="shared" si="43"/>
        <v>7586.7909999999993</v>
      </c>
      <c r="Y119" s="622">
        <f t="shared" si="43"/>
        <v>0</v>
      </c>
      <c r="Z119" s="622">
        <f t="shared" si="43"/>
        <v>9027.01</v>
      </c>
      <c r="AA119" s="622">
        <f t="shared" si="43"/>
        <v>0</v>
      </c>
      <c r="AB119" s="622">
        <f t="shared" si="43"/>
        <v>8272.3070000000007</v>
      </c>
      <c r="AC119" s="622">
        <f t="shared" si="43"/>
        <v>0</v>
      </c>
      <c r="AD119" s="622">
        <f t="shared" si="43"/>
        <v>15303.17</v>
      </c>
      <c r="AE119" s="622">
        <f t="shared" si="43"/>
        <v>0</v>
      </c>
      <c r="AF119" s="622"/>
      <c r="AG119" s="616">
        <f t="shared" si="21"/>
        <v>0</v>
      </c>
    </row>
    <row r="120" spans="1:33" s="617" customFormat="1" ht="37.5" x14ac:dyDescent="0.3">
      <c r="A120" s="628" t="s">
        <v>174</v>
      </c>
      <c r="B120" s="622">
        <f>H120+J120+L120+N120+P120+R120+T120+V120+X120+Z120+AB120+AD120</f>
        <v>5964.0119999999997</v>
      </c>
      <c r="C120" s="622">
        <f>C29+C36+C43+C56+C65</f>
        <v>2350.183</v>
      </c>
      <c r="D120" s="622">
        <f>D29+D36+D43+D56+D65</f>
        <v>2350.0240000000003</v>
      </c>
      <c r="E120" s="622">
        <f>E29+E36+E43+E56+E65</f>
        <v>2350.0240000000003</v>
      </c>
      <c r="F120" s="622">
        <f t="shared" si="25"/>
        <v>39.403408309708304</v>
      </c>
      <c r="G120" s="622">
        <f t="shared" si="26"/>
        <v>99.993234569393124</v>
      </c>
      <c r="H120" s="622">
        <f>H29+H36+H43+H56+H65</f>
        <v>421</v>
      </c>
      <c r="I120" s="622">
        <f t="shared" ref="I120:AE120" si="44">I29+I36+I43+I56+I65</f>
        <v>420.84</v>
      </c>
      <c r="J120" s="622">
        <f t="shared" si="44"/>
        <v>666.45</v>
      </c>
      <c r="K120" s="622">
        <f t="shared" si="44"/>
        <v>612.45000000000005</v>
      </c>
      <c r="L120" s="622">
        <f t="shared" si="44"/>
        <v>726.54700000000003</v>
      </c>
      <c r="M120" s="622">
        <f t="shared" si="44"/>
        <v>780.55</v>
      </c>
      <c r="N120" s="622">
        <f t="shared" si="44"/>
        <v>178.946</v>
      </c>
      <c r="O120" s="622">
        <f t="shared" si="44"/>
        <v>178.94400000000002</v>
      </c>
      <c r="P120" s="622">
        <f t="shared" si="44"/>
        <v>357.24</v>
      </c>
      <c r="Q120" s="622">
        <f t="shared" si="44"/>
        <v>357.24</v>
      </c>
      <c r="R120" s="622">
        <f t="shared" si="44"/>
        <v>262.04300000000001</v>
      </c>
      <c r="S120" s="622">
        <f t="shared" si="44"/>
        <v>0</v>
      </c>
      <c r="T120" s="622">
        <f t="shared" si="44"/>
        <v>0</v>
      </c>
      <c r="U120" s="622">
        <f t="shared" si="44"/>
        <v>0</v>
      </c>
      <c r="V120" s="622">
        <f t="shared" si="44"/>
        <v>0</v>
      </c>
      <c r="W120" s="622">
        <f t="shared" si="44"/>
        <v>0</v>
      </c>
      <c r="X120" s="622">
        <f t="shared" si="44"/>
        <v>0</v>
      </c>
      <c r="Y120" s="622">
        <f t="shared" si="44"/>
        <v>0</v>
      </c>
      <c r="Z120" s="622">
        <f t="shared" si="44"/>
        <v>0</v>
      </c>
      <c r="AA120" s="622">
        <f t="shared" si="44"/>
        <v>0</v>
      </c>
      <c r="AB120" s="622">
        <f t="shared" si="44"/>
        <v>559.01</v>
      </c>
      <c r="AC120" s="622">
        <f t="shared" si="44"/>
        <v>0</v>
      </c>
      <c r="AD120" s="622">
        <f t="shared" si="44"/>
        <v>2792.7759999999998</v>
      </c>
      <c r="AE120" s="622">
        <f t="shared" si="44"/>
        <v>0</v>
      </c>
      <c r="AF120" s="622"/>
      <c r="AG120" s="616"/>
    </row>
    <row r="121" spans="1:33" s="617" customFormat="1" x14ac:dyDescent="0.3">
      <c r="A121" s="634" t="s">
        <v>170</v>
      </c>
      <c r="B121" s="622">
        <f>H121+J121+L121+N121+P121+R121+T121+V121+X121+Z121+AB121+AD121</f>
        <v>1715</v>
      </c>
      <c r="C121" s="622">
        <f>C30+C37+C44+C50+C66+C72+C78+C84+C92+C98+C104+C57</f>
        <v>765</v>
      </c>
      <c r="D121" s="622">
        <f>D30+D37+D44+D50+D66+D72+D78+D84+D92+D98+D104+D57</f>
        <v>0</v>
      </c>
      <c r="E121" s="622">
        <f>E30+E37+E44+E50+E66+E72+E78+E84+E92+E98+E104+E57</f>
        <v>0</v>
      </c>
      <c r="F121" s="622">
        <f t="shared" si="25"/>
        <v>0</v>
      </c>
      <c r="G121" s="622">
        <f t="shared" si="26"/>
        <v>0</v>
      </c>
      <c r="H121" s="622">
        <f>H30+H37+H44+H50+H66+H72+H78+H84+H92+H98+H104+H57</f>
        <v>0</v>
      </c>
      <c r="I121" s="622">
        <f t="shared" ref="I121:AE121" si="45">I30+I37+I44+I50+I66+I72+I78+I84+I92+I98+I104+I57</f>
        <v>0</v>
      </c>
      <c r="J121" s="622">
        <f t="shared" si="45"/>
        <v>0</v>
      </c>
      <c r="K121" s="622">
        <f t="shared" si="45"/>
        <v>0</v>
      </c>
      <c r="L121" s="622">
        <f t="shared" si="45"/>
        <v>765</v>
      </c>
      <c r="M121" s="622">
        <f t="shared" si="45"/>
        <v>0</v>
      </c>
      <c r="N121" s="622">
        <f t="shared" si="45"/>
        <v>0</v>
      </c>
      <c r="O121" s="622">
        <f t="shared" si="45"/>
        <v>0</v>
      </c>
      <c r="P121" s="622">
        <f t="shared" si="45"/>
        <v>0</v>
      </c>
      <c r="Q121" s="622">
        <f t="shared" si="45"/>
        <v>0</v>
      </c>
      <c r="R121" s="622">
        <f t="shared" si="45"/>
        <v>0</v>
      </c>
      <c r="S121" s="622">
        <f t="shared" si="45"/>
        <v>0</v>
      </c>
      <c r="T121" s="622">
        <f t="shared" si="45"/>
        <v>0</v>
      </c>
      <c r="U121" s="622">
        <f t="shared" si="45"/>
        <v>0</v>
      </c>
      <c r="V121" s="622">
        <f t="shared" si="45"/>
        <v>0</v>
      </c>
      <c r="W121" s="622">
        <f t="shared" si="45"/>
        <v>0</v>
      </c>
      <c r="X121" s="622">
        <f t="shared" si="45"/>
        <v>0</v>
      </c>
      <c r="Y121" s="622">
        <f t="shared" si="45"/>
        <v>0</v>
      </c>
      <c r="Z121" s="622">
        <f t="shared" si="45"/>
        <v>0</v>
      </c>
      <c r="AA121" s="622">
        <f t="shared" si="45"/>
        <v>0</v>
      </c>
      <c r="AB121" s="622">
        <f t="shared" si="45"/>
        <v>0</v>
      </c>
      <c r="AC121" s="622">
        <f t="shared" si="45"/>
        <v>0</v>
      </c>
      <c r="AD121" s="622">
        <f t="shared" si="45"/>
        <v>950</v>
      </c>
      <c r="AE121" s="622">
        <f t="shared" si="45"/>
        <v>0</v>
      </c>
      <c r="AF121" s="622"/>
      <c r="AG121" s="616">
        <f t="shared" si="21"/>
        <v>0</v>
      </c>
    </row>
    <row r="122" spans="1:33" hidden="1" x14ac:dyDescent="0.3">
      <c r="B122" s="155">
        <f t="shared" ref="B122:E125" si="46">B105-B111-B116</f>
        <v>0</v>
      </c>
      <c r="C122" s="155">
        <f t="shared" si="46"/>
        <v>0</v>
      </c>
      <c r="D122" s="155">
        <f t="shared" si="46"/>
        <v>0</v>
      </c>
      <c r="E122" s="155">
        <f t="shared" si="46"/>
        <v>0</v>
      </c>
      <c r="F122" s="155"/>
      <c r="G122" s="155"/>
      <c r="H122" s="155">
        <f t="shared" ref="H122:AE122" si="47">H105-H111-H116</f>
        <v>0</v>
      </c>
      <c r="I122" s="155">
        <f t="shared" si="47"/>
        <v>0</v>
      </c>
      <c r="J122" s="155">
        <f t="shared" si="47"/>
        <v>0</v>
      </c>
      <c r="K122" s="155">
        <f t="shared" si="47"/>
        <v>0</v>
      </c>
      <c r="L122" s="155">
        <f t="shared" si="47"/>
        <v>0</v>
      </c>
      <c r="M122" s="155">
        <f t="shared" si="47"/>
        <v>0</v>
      </c>
      <c r="N122" s="155">
        <f t="shared" si="47"/>
        <v>0</v>
      </c>
      <c r="O122" s="155">
        <f t="shared" si="47"/>
        <v>0</v>
      </c>
      <c r="P122" s="155">
        <f t="shared" si="47"/>
        <v>0</v>
      </c>
      <c r="Q122" s="155">
        <f t="shared" si="47"/>
        <v>0</v>
      </c>
      <c r="R122" s="155">
        <f t="shared" si="47"/>
        <v>0</v>
      </c>
      <c r="S122" s="155">
        <f t="shared" si="47"/>
        <v>0</v>
      </c>
      <c r="T122" s="155">
        <f t="shared" si="47"/>
        <v>0</v>
      </c>
      <c r="U122" s="155">
        <f t="shared" si="47"/>
        <v>0</v>
      </c>
      <c r="V122" s="155">
        <f t="shared" si="47"/>
        <v>0</v>
      </c>
      <c r="W122" s="155">
        <f t="shared" si="47"/>
        <v>0</v>
      </c>
      <c r="X122" s="155">
        <f t="shared" si="47"/>
        <v>0</v>
      </c>
      <c r="Y122" s="155">
        <f t="shared" si="47"/>
        <v>0</v>
      </c>
      <c r="Z122" s="155">
        <f t="shared" si="47"/>
        <v>0</v>
      </c>
      <c r="AA122" s="155">
        <f t="shared" si="47"/>
        <v>0</v>
      </c>
      <c r="AB122" s="155">
        <f t="shared" si="47"/>
        <v>0</v>
      </c>
      <c r="AC122" s="155">
        <f t="shared" si="47"/>
        <v>0</v>
      </c>
      <c r="AD122" s="155">
        <f t="shared" si="47"/>
        <v>0</v>
      </c>
      <c r="AE122" s="155">
        <f t="shared" si="47"/>
        <v>0</v>
      </c>
      <c r="AG122" s="102">
        <f t="shared" si="21"/>
        <v>0</v>
      </c>
    </row>
    <row r="123" spans="1:33" hidden="1" x14ac:dyDescent="0.3">
      <c r="A123" s="156" t="s">
        <v>169</v>
      </c>
      <c r="B123" s="155">
        <f t="shared" si="46"/>
        <v>0</v>
      </c>
      <c r="C123" s="155">
        <f t="shared" si="46"/>
        <v>0</v>
      </c>
      <c r="D123" s="155">
        <f t="shared" si="46"/>
        <v>0</v>
      </c>
      <c r="E123" s="155">
        <f t="shared" si="46"/>
        <v>0</v>
      </c>
      <c r="F123" s="155"/>
      <c r="G123" s="155"/>
      <c r="H123" s="155">
        <f t="shared" ref="H123:AE123" si="48">H106-H112-H117</f>
        <v>0</v>
      </c>
      <c r="I123" s="155">
        <f t="shared" si="48"/>
        <v>0</v>
      </c>
      <c r="J123" s="155">
        <f t="shared" si="48"/>
        <v>0</v>
      </c>
      <c r="K123" s="155">
        <f t="shared" si="48"/>
        <v>0</v>
      </c>
      <c r="L123" s="155">
        <f t="shared" si="48"/>
        <v>0</v>
      </c>
      <c r="M123" s="155">
        <f t="shared" si="48"/>
        <v>0</v>
      </c>
      <c r="N123" s="155">
        <f t="shared" si="48"/>
        <v>0</v>
      </c>
      <c r="O123" s="155">
        <f t="shared" si="48"/>
        <v>0</v>
      </c>
      <c r="P123" s="155">
        <f t="shared" si="48"/>
        <v>0</v>
      </c>
      <c r="Q123" s="155">
        <f t="shared" si="48"/>
        <v>0</v>
      </c>
      <c r="R123" s="155">
        <f t="shared" si="48"/>
        <v>0</v>
      </c>
      <c r="S123" s="155">
        <f t="shared" si="48"/>
        <v>0</v>
      </c>
      <c r="T123" s="155">
        <f t="shared" si="48"/>
        <v>0</v>
      </c>
      <c r="U123" s="155">
        <f t="shared" si="48"/>
        <v>0</v>
      </c>
      <c r="V123" s="155">
        <f t="shared" si="48"/>
        <v>0</v>
      </c>
      <c r="W123" s="155">
        <f t="shared" si="48"/>
        <v>0</v>
      </c>
      <c r="X123" s="155">
        <f t="shared" si="48"/>
        <v>0</v>
      </c>
      <c r="Y123" s="155">
        <f t="shared" si="48"/>
        <v>0</v>
      </c>
      <c r="Z123" s="155">
        <f t="shared" si="48"/>
        <v>0</v>
      </c>
      <c r="AA123" s="155">
        <f t="shared" si="48"/>
        <v>0</v>
      </c>
      <c r="AB123" s="155">
        <f t="shared" si="48"/>
        <v>0</v>
      </c>
      <c r="AC123" s="155">
        <f t="shared" si="48"/>
        <v>0</v>
      </c>
      <c r="AD123" s="155">
        <f t="shared" si="48"/>
        <v>0</v>
      </c>
      <c r="AE123" s="155">
        <f t="shared" si="48"/>
        <v>0</v>
      </c>
      <c r="AG123" s="102">
        <f t="shared" si="21"/>
        <v>0</v>
      </c>
    </row>
    <row r="124" spans="1:33" hidden="1" x14ac:dyDescent="0.3">
      <c r="A124" s="156" t="s">
        <v>32</v>
      </c>
      <c r="B124" s="155">
        <f t="shared" si="46"/>
        <v>0</v>
      </c>
      <c r="C124" s="155">
        <f t="shared" si="46"/>
        <v>0</v>
      </c>
      <c r="D124" s="155">
        <f t="shared" si="46"/>
        <v>0</v>
      </c>
      <c r="E124" s="155">
        <f t="shared" si="46"/>
        <v>0</v>
      </c>
      <c r="F124" s="155"/>
      <c r="G124" s="155"/>
      <c r="H124" s="155">
        <f t="shared" ref="H124:AE124" si="49">H107-H113-H118</f>
        <v>0</v>
      </c>
      <c r="I124" s="155">
        <f t="shared" si="49"/>
        <v>0</v>
      </c>
      <c r="J124" s="155">
        <f t="shared" si="49"/>
        <v>0</v>
      </c>
      <c r="K124" s="155">
        <f t="shared" si="49"/>
        <v>0</v>
      </c>
      <c r="L124" s="155">
        <f t="shared" si="49"/>
        <v>0</v>
      </c>
      <c r="M124" s="155">
        <f t="shared" si="49"/>
        <v>0</v>
      </c>
      <c r="N124" s="155">
        <f t="shared" si="49"/>
        <v>0</v>
      </c>
      <c r="O124" s="155">
        <f t="shared" si="49"/>
        <v>0</v>
      </c>
      <c r="P124" s="155">
        <f t="shared" si="49"/>
        <v>0</v>
      </c>
      <c r="Q124" s="155">
        <f t="shared" si="49"/>
        <v>0</v>
      </c>
      <c r="R124" s="155">
        <f t="shared" si="49"/>
        <v>0</v>
      </c>
      <c r="S124" s="155">
        <f t="shared" si="49"/>
        <v>0</v>
      </c>
      <c r="T124" s="155">
        <f t="shared" si="49"/>
        <v>0</v>
      </c>
      <c r="U124" s="155">
        <f t="shared" si="49"/>
        <v>0</v>
      </c>
      <c r="V124" s="155">
        <f t="shared" si="49"/>
        <v>0</v>
      </c>
      <c r="W124" s="155">
        <f t="shared" si="49"/>
        <v>0</v>
      </c>
      <c r="X124" s="155">
        <f t="shared" si="49"/>
        <v>0</v>
      </c>
      <c r="Y124" s="155">
        <f t="shared" si="49"/>
        <v>0</v>
      </c>
      <c r="Z124" s="155">
        <f t="shared" si="49"/>
        <v>0</v>
      </c>
      <c r="AA124" s="155">
        <f t="shared" si="49"/>
        <v>0</v>
      </c>
      <c r="AB124" s="155">
        <f t="shared" si="49"/>
        <v>0</v>
      </c>
      <c r="AC124" s="155">
        <f t="shared" si="49"/>
        <v>0</v>
      </c>
      <c r="AD124" s="155">
        <f t="shared" si="49"/>
        <v>0</v>
      </c>
      <c r="AE124" s="155">
        <f t="shared" si="49"/>
        <v>0</v>
      </c>
      <c r="AG124" s="102">
        <f t="shared" si="21"/>
        <v>0</v>
      </c>
    </row>
    <row r="125" spans="1:33" hidden="1" x14ac:dyDescent="0.3">
      <c r="A125" s="156" t="s">
        <v>33</v>
      </c>
      <c r="B125" s="155">
        <f t="shared" si="46"/>
        <v>0</v>
      </c>
      <c r="C125" s="155">
        <f t="shared" si="46"/>
        <v>0</v>
      </c>
      <c r="D125" s="155">
        <f t="shared" si="46"/>
        <v>0</v>
      </c>
      <c r="E125" s="155">
        <f t="shared" si="46"/>
        <v>0</v>
      </c>
      <c r="F125" s="155"/>
      <c r="G125" s="155"/>
      <c r="H125" s="155">
        <f t="shared" ref="H125:AE125" si="50">H108-H114-H119</f>
        <v>0</v>
      </c>
      <c r="I125" s="155">
        <f t="shared" si="50"/>
        <v>0</v>
      </c>
      <c r="J125" s="155">
        <f t="shared" si="50"/>
        <v>0</v>
      </c>
      <c r="K125" s="155">
        <f t="shared" si="50"/>
        <v>0</v>
      </c>
      <c r="L125" s="155">
        <f t="shared" si="50"/>
        <v>0</v>
      </c>
      <c r="M125" s="155">
        <f t="shared" si="50"/>
        <v>0</v>
      </c>
      <c r="N125" s="155">
        <f t="shared" si="50"/>
        <v>0</v>
      </c>
      <c r="O125" s="155">
        <f t="shared" si="50"/>
        <v>0</v>
      </c>
      <c r="P125" s="155">
        <f t="shared" si="50"/>
        <v>0</v>
      </c>
      <c r="Q125" s="155">
        <f t="shared" si="50"/>
        <v>0</v>
      </c>
      <c r="R125" s="155">
        <f t="shared" si="50"/>
        <v>0</v>
      </c>
      <c r="S125" s="155">
        <f t="shared" si="50"/>
        <v>0</v>
      </c>
      <c r="T125" s="155">
        <f t="shared" si="50"/>
        <v>0</v>
      </c>
      <c r="U125" s="155">
        <f t="shared" si="50"/>
        <v>0</v>
      </c>
      <c r="V125" s="155">
        <f t="shared" si="50"/>
        <v>0</v>
      </c>
      <c r="W125" s="155">
        <f t="shared" si="50"/>
        <v>0</v>
      </c>
      <c r="X125" s="155">
        <f t="shared" si="50"/>
        <v>0</v>
      </c>
      <c r="Y125" s="155">
        <f t="shared" si="50"/>
        <v>0</v>
      </c>
      <c r="Z125" s="155">
        <f t="shared" si="50"/>
        <v>0</v>
      </c>
      <c r="AA125" s="155">
        <f t="shared" si="50"/>
        <v>0</v>
      </c>
      <c r="AB125" s="155">
        <f t="shared" si="50"/>
        <v>0</v>
      </c>
      <c r="AC125" s="155">
        <f t="shared" si="50"/>
        <v>0</v>
      </c>
      <c r="AD125" s="155">
        <f t="shared" si="50"/>
        <v>0</v>
      </c>
      <c r="AE125" s="155">
        <f t="shared" si="50"/>
        <v>0</v>
      </c>
      <c r="AG125" s="102">
        <f t="shared" si="21"/>
        <v>0</v>
      </c>
    </row>
    <row r="126" spans="1:33" hidden="1" x14ac:dyDescent="0.3">
      <c r="A126" s="156" t="s">
        <v>170</v>
      </c>
      <c r="B126" s="155">
        <f>B110-B115-B121</f>
        <v>0</v>
      </c>
      <c r="C126" s="155">
        <f>C110-C115-C121</f>
        <v>0</v>
      </c>
      <c r="D126" s="155">
        <f>D110-D115-D121</f>
        <v>0</v>
      </c>
      <c r="E126" s="155">
        <f>E110-E115-E121</f>
        <v>0</v>
      </c>
      <c r="F126" s="155"/>
      <c r="G126" s="155"/>
      <c r="H126" s="155">
        <f t="shared" ref="H126:AE126" si="51">H110-H115-H121</f>
        <v>0</v>
      </c>
      <c r="I126" s="155">
        <f t="shared" si="51"/>
        <v>0</v>
      </c>
      <c r="J126" s="155">
        <f t="shared" si="51"/>
        <v>0</v>
      </c>
      <c r="K126" s="155">
        <f t="shared" si="51"/>
        <v>0</v>
      </c>
      <c r="L126" s="155">
        <f t="shared" si="51"/>
        <v>0</v>
      </c>
      <c r="M126" s="155">
        <f t="shared" si="51"/>
        <v>0</v>
      </c>
      <c r="N126" s="155">
        <f t="shared" si="51"/>
        <v>0</v>
      </c>
      <c r="O126" s="155">
        <f t="shared" si="51"/>
        <v>0</v>
      </c>
      <c r="P126" s="155">
        <f t="shared" si="51"/>
        <v>0</v>
      </c>
      <c r="Q126" s="155">
        <f t="shared" si="51"/>
        <v>0</v>
      </c>
      <c r="R126" s="155">
        <f t="shared" si="51"/>
        <v>0</v>
      </c>
      <c r="S126" s="155">
        <f t="shared" si="51"/>
        <v>0</v>
      </c>
      <c r="T126" s="155">
        <f t="shared" si="51"/>
        <v>0</v>
      </c>
      <c r="U126" s="155">
        <f t="shared" si="51"/>
        <v>0</v>
      </c>
      <c r="V126" s="155">
        <f t="shared" si="51"/>
        <v>0</v>
      </c>
      <c r="W126" s="155">
        <f t="shared" si="51"/>
        <v>0</v>
      </c>
      <c r="X126" s="155">
        <f t="shared" si="51"/>
        <v>0</v>
      </c>
      <c r="Y126" s="155">
        <f t="shared" si="51"/>
        <v>0</v>
      </c>
      <c r="Z126" s="155">
        <f t="shared" si="51"/>
        <v>0</v>
      </c>
      <c r="AA126" s="155">
        <f t="shared" si="51"/>
        <v>0</v>
      </c>
      <c r="AB126" s="155">
        <f t="shared" si="51"/>
        <v>0</v>
      </c>
      <c r="AC126" s="155">
        <f t="shared" si="51"/>
        <v>0</v>
      </c>
      <c r="AD126" s="155">
        <f t="shared" si="51"/>
        <v>0</v>
      </c>
      <c r="AE126" s="155">
        <f t="shared" si="51"/>
        <v>0</v>
      </c>
      <c r="AG126" s="102">
        <f t="shared" si="21"/>
        <v>0</v>
      </c>
    </row>
    <row r="127" spans="1:33" hidden="1" x14ac:dyDescent="0.3"/>
    <row r="128" spans="1:33" x14ac:dyDescent="0.3">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row>
    <row r="129" spans="1:31" x14ac:dyDescent="0.3">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row>
    <row r="130" spans="1:31" x14ac:dyDescent="0.3">
      <c r="B130" s="700"/>
      <c r="C130" s="700"/>
      <c r="D130" s="700"/>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row>
    <row r="131" spans="1:31" x14ac:dyDescent="0.3">
      <c r="A131" s="516"/>
      <c r="B131" s="816"/>
      <c r="C131" s="816"/>
      <c r="D131" s="817"/>
      <c r="E131" s="736"/>
      <c r="F131" s="736"/>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row>
    <row r="132" spans="1:31" x14ac:dyDescent="0.3">
      <c r="A132" s="515"/>
      <c r="B132" s="818"/>
      <c r="C132" s="818"/>
      <c r="D132" s="818"/>
      <c r="E132" s="736"/>
      <c r="F132" s="736"/>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row>
    <row r="133" spans="1:31" x14ac:dyDescent="0.3">
      <c r="A133" s="516"/>
      <c r="B133" s="819"/>
      <c r="C133" s="819"/>
      <c r="D133" s="819"/>
      <c r="E133" s="736"/>
      <c r="F133" s="736"/>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row>
    <row r="134" spans="1:31" x14ac:dyDescent="0.3">
      <c r="A134" s="617"/>
      <c r="B134" s="736"/>
      <c r="C134" s="736"/>
      <c r="D134" s="736"/>
      <c r="E134" s="736"/>
      <c r="F134" s="736"/>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row>
    <row r="135" spans="1:31" x14ac:dyDescent="0.3">
      <c r="A135" s="617"/>
      <c r="B135" s="736"/>
      <c r="C135" s="736"/>
      <c r="D135" s="736"/>
      <c r="E135" s="736"/>
      <c r="F135" s="736"/>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row>
    <row r="136" spans="1:31" x14ac:dyDescent="0.3">
      <c r="A136" s="617"/>
      <c r="B136" s="617"/>
      <c r="C136" s="617"/>
      <c r="D136" s="617"/>
      <c r="E136" s="617"/>
      <c r="F136" s="617"/>
    </row>
  </sheetData>
  <customSheetViews>
    <customSheetView guid="{7C130984-112A-4861-AA43-E2940708E3DC}" scale="60" hiddenRows="1" hiddenColumns="1" state="hidden">
      <pane xSplit="2" ySplit="11" topLeftCell="Z27" activePane="bottomRight" state="frozen"/>
      <selection pane="bottomRight" activeCell="AA37" sqref="AA37"/>
      <pageMargins left="0.7" right="0.7" top="0.75" bottom="0.75" header="0.3" footer="0.3"/>
      <pageSetup paperSize="9" orientation="portrait" r:id="rId1"/>
    </customSheetView>
    <customSheetView guid="{3C3F523F-5F34-4CF7-831E-F1ABC4278CEB}" scale="60" hiddenRows="1" hiddenColumns="1">
      <pane xSplit="2" ySplit="11" topLeftCell="Z27" activePane="bottomRight" state="frozen"/>
      <selection pane="bottomRight" activeCell="AA37" sqref="AA37"/>
      <pageMargins left="0.7" right="0.7" top="0.75" bottom="0.75" header="0.3" footer="0.3"/>
      <pageSetup paperSize="9" orientation="portrait" r:id="rId2"/>
    </customSheetView>
    <customSheetView guid="{D01FA037-9AEC-4167-ADB8-2F327C01ECE6}" scale="60" hiddenRows="1" hiddenColumns="1">
      <pane xSplit="2" ySplit="11" topLeftCell="Z27" activePane="bottomRight" state="frozen"/>
      <selection pane="bottomRight" activeCell="AA37" sqref="AA37"/>
      <pageMargins left="0.7" right="0.7" top="0.75" bottom="0.75" header="0.3" footer="0.3"/>
      <pageSetup paperSize="9" orientation="portrait" r:id="rId3"/>
    </customSheetView>
    <customSheetView guid="{602C8EDB-B9EF-4C85-B0D5-0558C3A0ABAB}" scale="60" hiddenRows="1" hiddenColumns="1">
      <pane xSplit="2" ySplit="11" topLeftCell="Z27" activePane="bottomRight" state="frozen"/>
      <selection pane="bottomRight" activeCell="AA37" sqref="AA37"/>
      <pageMargins left="0.7" right="0.7" top="0.75" bottom="0.75" header="0.3" footer="0.3"/>
      <pageSetup paperSize="9" orientation="portrait" r:id="rId4"/>
    </customSheetView>
    <customSheetView guid="{69DABE6F-6182-4403-A4A2-969F10F1C13A}" scale="60" hiddenRows="1" hiddenColumns="1">
      <pane xSplit="2" ySplit="11" topLeftCell="Z27" activePane="bottomRight" state="frozen"/>
      <selection pane="bottomRight" activeCell="AA37" sqref="AA37"/>
      <pageMargins left="0.7" right="0.7" top="0.75" bottom="0.75" header="0.3" footer="0.3"/>
      <pageSetup paperSize="9" orientation="portrait" r:id="rId5"/>
    </customSheetView>
    <customSheetView guid="{E508E171-4ED9-4B07-84DF-DA28C60E1969}" scale="60" hiddenRows="1" hiddenColumns="1">
      <pane xSplit="2" ySplit="11" topLeftCell="Z27" activePane="bottomRight" state="frozen"/>
      <selection pane="bottomRight" activeCell="AA37" sqref="AA37"/>
      <pageMargins left="0.7" right="0.7" top="0.75" bottom="0.75" header="0.3" footer="0.3"/>
      <pageSetup paperSize="9" orientation="portrait" r:id="rId6"/>
    </customSheetView>
    <customSheetView guid="{AC2D5927-4079-4C74-AF69-1BFAC505648F}" scale="60" hiddenRows="1" hiddenColumns="1">
      <pane xSplit="2" ySplit="11" topLeftCell="C39" activePane="bottomRight" state="frozen"/>
      <selection pane="bottomRight" activeCell="N31" sqref="N31"/>
      <pageMargins left="0.7" right="0.7" top="0.75" bottom="0.75" header="0.3" footer="0.3"/>
      <pageSetup paperSize="9" orientation="portrait" r:id="rId7"/>
    </customSheetView>
    <customSheetView guid="{442F2C94-DD1B-4A01-8694-513D4D6F3BD9}" scale="60" hiddenRows="1" hiddenColumns="1">
      <pane xSplit="2" ySplit="11" topLeftCell="C39" activePane="bottomRight" state="frozen"/>
      <selection pane="bottomRight" activeCell="N31" sqref="N31"/>
      <pageMargins left="0.7" right="0.7" top="0.75" bottom="0.75" header="0.3" footer="0.3"/>
      <pageSetup paperSize="9" orientation="portrait" r:id="rId8"/>
    </customSheetView>
    <customSheetView guid="{CE1CCA00-200D-4EAA-9FBE-F8EE7C5F82FE}" scale="60" hiddenRows="1" hiddenColumns="1">
      <pane xSplit="2" ySplit="11" topLeftCell="C60" activePane="bottomRight" state="frozen"/>
      <selection pane="bottomRight" activeCell="F98" sqref="F98"/>
      <pageMargins left="0.7" right="0.7" top="0.75" bottom="0.75" header="0.3" footer="0.3"/>
      <pageSetup paperSize="9" orientation="portrait" r:id="rId9"/>
    </customSheetView>
    <customSheetView guid="{4D0DFB57-2CBA-42F2-9A97-C453A6851FBA}" scale="60" hiddenRows="1" hiddenColumns="1">
      <pane xSplit="2" ySplit="11" topLeftCell="D102" activePane="bottomRight" state="frozen"/>
      <selection pane="bottomRight" activeCell="E104" sqref="E103:E104"/>
      <pageMargins left="0.7" right="0.7" top="0.75" bottom="0.75" header="0.3" footer="0.3"/>
      <pageSetup paperSize="9" orientation="portrait" r:id="rId10"/>
    </customSheetView>
    <customSheetView guid="{85F4575B-DBC5-482A-9916-255D8F0BC94E}" scale="60" hiddenRows="1" hiddenColumns="1">
      <pane xSplit="2" ySplit="11" topLeftCell="C12" activePane="bottomRight" state="frozen"/>
      <selection pane="bottomRight" activeCell="A109" sqref="A109"/>
      <pageMargins left="0.7" right="0.7" top="0.75" bottom="0.75" header="0.3" footer="0.3"/>
    </customSheetView>
    <customSheetView guid="{B1BF08D1-D416-4B47-ADD0-4F59132DC9E8}" scale="60" hiddenRows="1" hiddenColumns="1">
      <pane xSplit="2" ySplit="11" topLeftCell="C12" activePane="bottomRight" state="frozen"/>
      <selection pane="bottomRight" activeCell="A109" sqref="A109"/>
      <pageMargins left="0.7" right="0.7" top="0.75" bottom="0.75" header="0.3" footer="0.3"/>
    </customSheetView>
    <customSheetView guid="{BCD82A82-B724-4763-8580-D765356E09BA}" scale="70">
      <pane xSplit="2" ySplit="11" topLeftCell="C12" activePane="bottomRight" state="frozen"/>
      <selection pane="bottomRight" activeCell="O30" sqref="O30"/>
      <pageMargins left="0.7" right="0.7" top="0.75" bottom="0.75" header="0.3" footer="0.3"/>
    </customSheetView>
    <customSheetView guid="{C236B307-BD63-48C4-A75F-B3F3717BF55C}" scale="70">
      <pane xSplit="2" ySplit="11" topLeftCell="C12" activePane="bottomRight" state="frozen"/>
      <selection pane="bottomRight" activeCell="O30" sqref="O30"/>
      <pageMargins left="0.7" right="0.7" top="0.75" bottom="0.75" header="0.3" footer="0.3"/>
    </customSheetView>
    <customSheetView guid="{874882D1-E741-4CCA-BF0D-E72FA60B771D}" scale="70">
      <pane xSplit="2" ySplit="11" topLeftCell="C12" activePane="bottomRight" state="frozen"/>
      <selection pane="bottomRight" activeCell="O30" sqref="O30"/>
      <pageMargins left="0.7" right="0.7" top="0.75" bottom="0.75" header="0.3" footer="0.3"/>
    </customSheetView>
    <customSheetView guid="{B82BA08A-1A30-4F4D-A478-74A6BD09EA97}" scale="70">
      <pane xSplit="2" ySplit="11" topLeftCell="C12" activePane="bottomRight" state="frozen"/>
      <selection pane="bottomRight" activeCell="O30" sqref="O30"/>
      <pageMargins left="0.7" right="0.7" top="0.75" bottom="0.75" header="0.3" footer="0.3"/>
    </customSheetView>
    <customSheetView guid="{770624BF-07F3-44B6-94C3-4CC447CDD45C}" scale="60" hiddenRows="1" hiddenColumns="1">
      <pane xSplit="2" ySplit="11" topLeftCell="C100" activePane="bottomRight" state="frozen"/>
      <selection pane="bottomRight" activeCell="N135" sqref="N135"/>
      <pageMargins left="0.7" right="0.7" top="0.75" bottom="0.75" header="0.3" footer="0.3"/>
    </customSheetView>
    <customSheetView guid="{009B3074-D8EC-4952-BF50-43CD64449612}" scale="60" hiddenRows="1" hiddenColumns="1">
      <pane xSplit="2" ySplit="11" topLeftCell="C100" activePane="bottomRight" state="frozen"/>
      <selection pane="bottomRight" activeCell="N135" sqref="N135"/>
      <pageMargins left="0.7" right="0.7" top="0.75" bottom="0.75" header="0.3" footer="0.3"/>
    </customSheetView>
    <customSheetView guid="{F679EF4A-C5FD-4B86-B87B-D85968E0F2CA}" scale="60" hiddenRows="1" hiddenColumns="1">
      <pane xSplit="2" ySplit="11" topLeftCell="C12" activePane="bottomRight" state="frozen"/>
      <selection pane="bottomRight" activeCell="A109" sqref="A109"/>
      <pageMargins left="0.7" right="0.7" top="0.75" bottom="0.75" header="0.3" footer="0.3"/>
    </customSheetView>
    <customSheetView guid="{959E901C-5DDE-42EE-AE94-AB8976B5E00B}" scale="60" hiddenRows="1" hiddenColumns="1">
      <pane xSplit="2" ySplit="11" topLeftCell="C12" activePane="bottomRight" state="frozen"/>
      <selection pane="bottomRight" activeCell="A109" sqref="A109"/>
      <pageMargins left="0.7" right="0.7" top="0.75" bottom="0.75" header="0.3" footer="0.3"/>
    </customSheetView>
    <customSheetView guid="{533DC55B-6AD4-4674-9488-685EF2039F3E}" scale="60" hiddenRows="1" hiddenColumns="1">
      <pane xSplit="2" ySplit="11" topLeftCell="D102" activePane="bottomRight" state="frozen"/>
      <selection pane="bottomRight" activeCell="E104" sqref="E103:E104"/>
      <pageMargins left="0.7" right="0.7" top="0.75" bottom="0.75" header="0.3" footer="0.3"/>
      <pageSetup paperSize="9" orientation="portrait" r:id="rId11"/>
    </customSheetView>
    <customSheetView guid="{87218168-6C8E-4D5B-A5E5-DCCC26803AA3}" scale="60" hiddenRows="1" hiddenColumns="1">
      <pane xSplit="2" ySplit="11" topLeftCell="D102" activePane="bottomRight" state="frozen"/>
      <selection pane="bottomRight" activeCell="E104" sqref="E103:E104"/>
      <pageMargins left="0.7" right="0.7" top="0.75" bottom="0.75" header="0.3" footer="0.3"/>
      <pageSetup paperSize="9" orientation="portrait" r:id="rId12"/>
    </customSheetView>
    <customSheetView guid="{DAA8A688-7558-4B5B-8DBD-E2629BD9E9A8}" scale="60" hiddenRows="1" hiddenColumns="1">
      <pane xSplit="2" ySplit="11" topLeftCell="C39" activePane="bottomRight" state="frozen"/>
      <selection pane="bottomRight" activeCell="N31" sqref="N31"/>
      <pageMargins left="0.7" right="0.7" top="0.75" bottom="0.75" header="0.3" footer="0.3"/>
      <pageSetup paperSize="9" orientation="portrait" r:id="rId13"/>
    </customSheetView>
    <customSheetView guid="{391AB76E-B386-49C1-800F-016A48AA1A46}" scale="60" hiddenRows="1" hiddenColumns="1">
      <pane xSplit="2" ySplit="11" topLeftCell="C39" activePane="bottomRight" state="frozen"/>
      <selection pane="bottomRight" activeCell="N31" sqref="N31"/>
      <pageMargins left="0.7" right="0.7" top="0.75" bottom="0.75" header="0.3" footer="0.3"/>
      <pageSetup paperSize="9" orientation="portrait" r:id="rId14"/>
    </customSheetView>
    <customSheetView guid="{09C3E205-981E-4A4E-BE89-8B7044192060}" scale="60" hiddenRows="1" hiddenColumns="1">
      <pane xSplit="2" ySplit="11" topLeftCell="Z27" activePane="bottomRight" state="frozen"/>
      <selection pane="bottomRight" activeCell="AA37" sqref="AA37"/>
      <pageMargins left="0.7" right="0.7" top="0.75" bottom="0.75" header="0.3" footer="0.3"/>
      <pageSetup paperSize="9" orientation="portrait" r:id="rId15"/>
    </customSheetView>
    <customSheetView guid="{84867370-1F3E-4368-AF79-FBCE46FFFE92}" scale="60" hiddenRows="1" hiddenColumns="1">
      <pane xSplit="2" ySplit="11" topLeftCell="Z27" activePane="bottomRight" state="frozen"/>
      <selection pane="bottomRight" activeCell="AA37" sqref="AA37"/>
      <pageMargins left="0.7" right="0.7" top="0.75" bottom="0.75" header="0.3" footer="0.3"/>
      <pageSetup paperSize="9" orientation="portrait" r:id="rId16"/>
    </customSheetView>
    <customSheetView guid="{0C2B9C2A-7B94-41EF-A2E6-F8AC9A67DE25}" scale="60" hiddenRows="1" hiddenColumns="1">
      <pane xSplit="2" ySplit="11" topLeftCell="Z27" activePane="bottomRight" state="frozen"/>
      <selection pane="bottomRight" activeCell="AA37" sqref="AA37"/>
      <pageMargins left="0.7" right="0.7" top="0.75" bottom="0.75" header="0.3" footer="0.3"/>
      <pageSetup paperSize="9" orientation="portrait" r:id="rId17"/>
    </customSheetView>
    <customSheetView guid="{CB4792DB-A624-4844-AEB6-A6ADA80946BB}" scale="60" hiddenRows="1" hiddenColumns="1">
      <pane xSplit="2" ySplit="11" topLeftCell="Z27" activePane="bottomRight" state="frozen"/>
      <selection pane="bottomRight" activeCell="AA37" sqref="AA37"/>
      <pageMargins left="0.7" right="0.7" top="0.75" bottom="0.75" header="0.3" footer="0.3"/>
      <pageSetup paperSize="9" orientation="portrait" r:id="rId18"/>
    </customSheetView>
    <customSheetView guid="{74870EE6-26B9-40F7-9DC9-260EF16D8959}" scale="60" hiddenRows="1" hiddenColumns="1">
      <pane xSplit="2" ySplit="11" topLeftCell="Z27" activePane="bottomRight" state="frozen"/>
      <selection pane="bottomRight" activeCell="AA37" sqref="AA37"/>
      <pageMargins left="0.7" right="0.7" top="0.75" bottom="0.75" header="0.3" footer="0.3"/>
      <pageSetup paperSize="9" orientation="portrait" r:id="rId19"/>
    </customSheetView>
    <customSheetView guid="{6A602CB8-B24C-4ED4-B378-B27354BE0A1A}" scale="60" hiddenRows="1" hiddenColumns="1">
      <pane xSplit="2" ySplit="11" topLeftCell="Z27" activePane="bottomRight" state="frozen"/>
      <selection pane="bottomRight" activeCell="AA37" sqref="AA37"/>
      <pageMargins left="0.7" right="0.7" top="0.75" bottom="0.75" header="0.3" footer="0.3"/>
      <pageSetup paperSize="9" orientation="portrait" r:id="rId20"/>
    </customSheetView>
    <customSheetView guid="{4F41B9CC-959D-442C-80B0-1F0DB2C76D27}" scale="60" hiddenRows="1" hiddenColumns="1">
      <pane xSplit="2" ySplit="10" topLeftCell="Z27" activePane="bottomRight" state="frozen"/>
      <selection pane="bottomRight" activeCell="AA37" sqref="AA37"/>
      <pageMargins left="0.7" right="0.7" top="0.75" bottom="0.75" header="0.3" footer="0.3"/>
      <pageSetup paperSize="9" orientation="portrait" r:id="rId21"/>
    </customSheetView>
    <customSheetView guid="{47B983AB-FE5F-4725-860C-A2F29420596D}" scale="60" hiddenRows="1" hiddenColumns="1">
      <pane xSplit="2" ySplit="11" topLeftCell="Z27" activePane="bottomRight" state="frozen"/>
      <selection pane="bottomRight" activeCell="AA37" sqref="AA37"/>
      <pageMargins left="0.7" right="0.7" top="0.75" bottom="0.75" header="0.3" footer="0.3"/>
      <pageSetup paperSize="9" orientation="portrait" r:id="rId22"/>
    </customSheetView>
  </customSheetViews>
  <mergeCells count="20">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 ref="A86:AF86"/>
    <mergeCell ref="A10:AF10"/>
    <mergeCell ref="A23:AF23"/>
    <mergeCell ref="A59:AF59"/>
    <mergeCell ref="AF6:AF7"/>
  </mergeCells>
  <hyperlinks>
    <hyperlink ref="A4:AF4" location="Оглавление!A1" display="Комплексный план (сетевой график) по реализации муниципальной программы  &quot;Развитие жилищной сферы в городе Когалыме&quot;"/>
  </hyperlinks>
  <pageMargins left="0.7" right="0.7" top="0.75" bottom="0.75" header="0.3" footer="0.3"/>
  <pageSetup paperSize="9" orientation="portrait"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7"/>
  <sheetViews>
    <sheetView zoomScale="70" zoomScaleNormal="70" workbookViewId="0">
      <pane xSplit="4" ySplit="10" topLeftCell="E11" activePane="bottomRight" state="frozen"/>
      <selection pane="topRight" activeCell="E1" sqref="E1"/>
      <selection pane="bottomLeft" activeCell="A11" sqref="A11"/>
      <selection pane="bottomRight" activeCell="AK127" sqref="AK127:AK128"/>
    </sheetView>
  </sheetViews>
  <sheetFormatPr defaultColWidth="9.140625" defaultRowHeight="15" x14ac:dyDescent="0.25"/>
  <cols>
    <col min="1" max="1" width="43.5703125" style="495" customWidth="1"/>
    <col min="2" max="2" width="18" style="432" customWidth="1"/>
    <col min="3" max="3" width="14.7109375" style="432" customWidth="1"/>
    <col min="4" max="4" width="17.140625" style="432" customWidth="1"/>
    <col min="5" max="5" width="17.85546875" style="432" customWidth="1"/>
    <col min="6" max="6" width="12.140625" style="432" customWidth="1"/>
    <col min="7" max="7" width="10.85546875" style="432" customWidth="1"/>
    <col min="8" max="8" width="11.42578125" style="432" customWidth="1"/>
    <col min="9" max="9" width="14.7109375" style="432" customWidth="1"/>
    <col min="10" max="10" width="12.42578125" style="432" customWidth="1"/>
    <col min="11" max="11" width="13" style="432" customWidth="1"/>
    <col min="12" max="31" width="11.5703125" style="432" customWidth="1"/>
    <col min="32" max="32" width="58.28515625" style="432" customWidth="1"/>
    <col min="33" max="16384" width="9.140625" style="432"/>
  </cols>
  <sheetData>
    <row r="1" spans="1:33" ht="12.75" customHeight="1" x14ac:dyDescent="0.25">
      <c r="A1" s="425"/>
      <c r="B1" s="426"/>
      <c r="C1" s="426"/>
      <c r="D1" s="426"/>
      <c r="E1" s="426"/>
      <c r="F1" s="426"/>
      <c r="G1" s="426"/>
      <c r="H1" s="427"/>
      <c r="I1" s="427"/>
      <c r="J1" s="428"/>
      <c r="K1" s="427"/>
      <c r="L1" s="427"/>
      <c r="M1" s="428"/>
      <c r="N1" s="427"/>
      <c r="O1" s="427"/>
      <c r="P1" s="428"/>
      <c r="Q1" s="427"/>
      <c r="R1" s="427"/>
      <c r="S1" s="427"/>
      <c r="T1" s="429"/>
      <c r="U1" s="429"/>
      <c r="V1" s="429"/>
      <c r="W1" s="429"/>
      <c r="X1" s="429"/>
      <c r="Y1" s="429"/>
      <c r="Z1" s="429"/>
      <c r="AA1" s="429"/>
      <c r="AB1" s="430"/>
      <c r="AC1" s="430"/>
      <c r="AD1" s="430"/>
      <c r="AE1" s="427"/>
      <c r="AF1" s="431"/>
    </row>
    <row r="2" spans="1:33" ht="20.25" x14ac:dyDescent="0.25">
      <c r="A2" s="1102" t="s">
        <v>0</v>
      </c>
      <c r="B2" s="1102"/>
      <c r="C2" s="1102"/>
      <c r="D2" s="1102"/>
      <c r="E2" s="1102"/>
      <c r="F2" s="1102"/>
      <c r="G2" s="1102"/>
      <c r="H2" s="1102"/>
      <c r="I2" s="1102"/>
      <c r="J2" s="1102"/>
      <c r="K2" s="1102"/>
      <c r="L2" s="1102"/>
      <c r="M2" s="1102"/>
      <c r="N2" s="1102"/>
      <c r="O2" s="1102"/>
      <c r="P2" s="1102"/>
      <c r="Q2" s="1102"/>
      <c r="R2" s="433"/>
      <c r="S2" s="433"/>
      <c r="T2" s="433"/>
      <c r="U2" s="433"/>
      <c r="V2" s="433"/>
      <c r="W2" s="433"/>
      <c r="X2" s="433"/>
      <c r="Y2" s="433"/>
      <c r="Z2" s="433"/>
      <c r="AA2" s="433"/>
      <c r="AB2" s="433"/>
      <c r="AC2" s="433"/>
      <c r="AD2" s="433"/>
      <c r="AE2" s="433"/>
      <c r="AF2" s="433"/>
    </row>
    <row r="3" spans="1:33" ht="30.75" customHeight="1" x14ac:dyDescent="0.25">
      <c r="A3" s="1039" t="s">
        <v>333</v>
      </c>
      <c r="B3" s="1039"/>
      <c r="C3" s="1039"/>
      <c r="D3" s="1039"/>
      <c r="E3" s="1039"/>
      <c r="F3" s="1039"/>
      <c r="G3" s="1039"/>
      <c r="H3" s="1039"/>
      <c r="I3" s="1039"/>
      <c r="J3" s="1039"/>
      <c r="K3" s="1039"/>
      <c r="L3" s="1039"/>
      <c r="M3" s="1039"/>
      <c r="N3" s="1039"/>
      <c r="O3" s="1039"/>
      <c r="P3" s="1039"/>
      <c r="Q3" s="1039"/>
      <c r="R3" s="434"/>
      <c r="S3" s="434"/>
      <c r="T3" s="434"/>
      <c r="U3" s="434"/>
      <c r="V3" s="434"/>
      <c r="W3" s="434"/>
      <c r="X3" s="434"/>
      <c r="Y3" s="434"/>
      <c r="Z3" s="434"/>
      <c r="AA3" s="434"/>
      <c r="AB3" s="435"/>
      <c r="AC3" s="436"/>
      <c r="AD3" s="436"/>
      <c r="AE3" s="435" t="s">
        <v>1</v>
      </c>
      <c r="AF3" s="436"/>
    </row>
    <row r="4" spans="1:33" x14ac:dyDescent="0.25">
      <c r="A4" s="1103" t="s">
        <v>2</v>
      </c>
      <c r="B4" s="1106" t="s">
        <v>3</v>
      </c>
      <c r="C4" s="1106" t="s">
        <v>3</v>
      </c>
      <c r="D4" s="1106" t="s">
        <v>4</v>
      </c>
      <c r="E4" s="1106" t="s">
        <v>5</v>
      </c>
      <c r="F4" s="1082" t="s">
        <v>6</v>
      </c>
      <c r="G4" s="1083"/>
      <c r="H4" s="1082" t="s">
        <v>7</v>
      </c>
      <c r="I4" s="1083"/>
      <c r="J4" s="1082" t="s">
        <v>8</v>
      </c>
      <c r="K4" s="1083"/>
      <c r="L4" s="1082" t="s">
        <v>9</v>
      </c>
      <c r="M4" s="1083"/>
      <c r="N4" s="1082" t="s">
        <v>10</v>
      </c>
      <c r="O4" s="1083"/>
      <c r="P4" s="1082" t="s">
        <v>11</v>
      </c>
      <c r="Q4" s="1083"/>
      <c r="R4" s="1082" t="s">
        <v>12</v>
      </c>
      <c r="S4" s="1083"/>
      <c r="T4" s="1082" t="s">
        <v>13</v>
      </c>
      <c r="U4" s="1083"/>
      <c r="V4" s="1082" t="s">
        <v>14</v>
      </c>
      <c r="W4" s="1083"/>
      <c r="X4" s="1082" t="s">
        <v>15</v>
      </c>
      <c r="Y4" s="1083"/>
      <c r="Z4" s="1082" t="s">
        <v>16</v>
      </c>
      <c r="AA4" s="1083"/>
      <c r="AB4" s="1082" t="s">
        <v>17</v>
      </c>
      <c r="AC4" s="1083"/>
      <c r="AD4" s="1082" t="s">
        <v>18</v>
      </c>
      <c r="AE4" s="1083"/>
      <c r="AF4" s="1090" t="s">
        <v>19</v>
      </c>
    </row>
    <row r="5" spans="1:33" ht="21" customHeight="1" x14ac:dyDescent="0.25">
      <c r="A5" s="1104"/>
      <c r="B5" s="1107"/>
      <c r="C5" s="1107"/>
      <c r="D5" s="1107"/>
      <c r="E5" s="1107"/>
      <c r="F5" s="1084"/>
      <c r="G5" s="1085"/>
      <c r="H5" s="1084"/>
      <c r="I5" s="1085"/>
      <c r="J5" s="1084"/>
      <c r="K5" s="1085"/>
      <c r="L5" s="1084"/>
      <c r="M5" s="1085"/>
      <c r="N5" s="1084"/>
      <c r="O5" s="1085"/>
      <c r="P5" s="1084"/>
      <c r="Q5" s="1085"/>
      <c r="R5" s="1084"/>
      <c r="S5" s="1085"/>
      <c r="T5" s="1084"/>
      <c r="U5" s="1085"/>
      <c r="V5" s="1084"/>
      <c r="W5" s="1085"/>
      <c r="X5" s="1084"/>
      <c r="Y5" s="1085"/>
      <c r="Z5" s="1084"/>
      <c r="AA5" s="1085"/>
      <c r="AB5" s="1084"/>
      <c r="AC5" s="1085"/>
      <c r="AD5" s="1084"/>
      <c r="AE5" s="1085"/>
      <c r="AF5" s="1091"/>
    </row>
    <row r="6" spans="1:33" ht="64.5" customHeight="1" x14ac:dyDescent="0.25">
      <c r="A6" s="1105"/>
      <c r="B6" s="437">
        <v>2024</v>
      </c>
      <c r="C6" s="496">
        <v>45505</v>
      </c>
      <c r="D6" s="438">
        <f>C6</f>
        <v>45505</v>
      </c>
      <c r="E6" s="438">
        <f>C6</f>
        <v>45505</v>
      </c>
      <c r="F6" s="439" t="s">
        <v>20</v>
      </c>
      <c r="G6" s="439" t="s">
        <v>21</v>
      </c>
      <c r="H6" s="439" t="s">
        <v>22</v>
      </c>
      <c r="I6" s="439" t="s">
        <v>23</v>
      </c>
      <c r="J6" s="439" t="s">
        <v>22</v>
      </c>
      <c r="K6" s="439" t="s">
        <v>23</v>
      </c>
      <c r="L6" s="439" t="s">
        <v>22</v>
      </c>
      <c r="M6" s="439" t="s">
        <v>23</v>
      </c>
      <c r="N6" s="439" t="s">
        <v>22</v>
      </c>
      <c r="O6" s="439" t="s">
        <v>23</v>
      </c>
      <c r="P6" s="439" t="s">
        <v>22</v>
      </c>
      <c r="Q6" s="439" t="s">
        <v>23</v>
      </c>
      <c r="R6" s="439" t="s">
        <v>22</v>
      </c>
      <c r="S6" s="439" t="s">
        <v>23</v>
      </c>
      <c r="T6" s="439" t="s">
        <v>22</v>
      </c>
      <c r="U6" s="439" t="s">
        <v>23</v>
      </c>
      <c r="V6" s="439" t="s">
        <v>22</v>
      </c>
      <c r="W6" s="439" t="s">
        <v>23</v>
      </c>
      <c r="X6" s="439" t="s">
        <v>22</v>
      </c>
      <c r="Y6" s="439" t="s">
        <v>23</v>
      </c>
      <c r="Z6" s="439" t="s">
        <v>22</v>
      </c>
      <c r="AA6" s="439" t="s">
        <v>23</v>
      </c>
      <c r="AB6" s="439" t="s">
        <v>22</v>
      </c>
      <c r="AC6" s="439" t="s">
        <v>23</v>
      </c>
      <c r="AD6" s="439" t="s">
        <v>22</v>
      </c>
      <c r="AE6" s="439" t="s">
        <v>23</v>
      </c>
      <c r="AF6" s="1092"/>
    </row>
    <row r="7" spans="1:33" ht="18.75" x14ac:dyDescent="0.25">
      <c r="A7" s="440">
        <v>1</v>
      </c>
      <c r="B7" s="441">
        <v>2</v>
      </c>
      <c r="C7" s="441">
        <v>3</v>
      </c>
      <c r="D7" s="441">
        <v>4</v>
      </c>
      <c r="E7" s="441">
        <v>5</v>
      </c>
      <c r="F7" s="441">
        <v>6</v>
      </c>
      <c r="G7" s="441">
        <v>7</v>
      </c>
      <c r="H7" s="441">
        <v>8</v>
      </c>
      <c r="I7" s="441">
        <v>9</v>
      </c>
      <c r="J7" s="441">
        <v>10</v>
      </c>
      <c r="K7" s="441">
        <v>11</v>
      </c>
      <c r="L7" s="441">
        <v>12</v>
      </c>
      <c r="M7" s="441">
        <v>13</v>
      </c>
      <c r="N7" s="441">
        <v>14</v>
      </c>
      <c r="O7" s="441">
        <v>15</v>
      </c>
      <c r="P7" s="441">
        <v>16</v>
      </c>
      <c r="Q7" s="441">
        <v>17</v>
      </c>
      <c r="R7" s="441">
        <v>18</v>
      </c>
      <c r="S7" s="441">
        <v>19</v>
      </c>
      <c r="T7" s="441">
        <v>20</v>
      </c>
      <c r="U7" s="441">
        <v>21</v>
      </c>
      <c r="V7" s="441">
        <v>22</v>
      </c>
      <c r="W7" s="441">
        <v>23</v>
      </c>
      <c r="X7" s="441">
        <v>24</v>
      </c>
      <c r="Y7" s="441">
        <v>25</v>
      </c>
      <c r="Z7" s="441">
        <v>26</v>
      </c>
      <c r="AA7" s="441">
        <v>27</v>
      </c>
      <c r="AB7" s="441">
        <v>28</v>
      </c>
      <c r="AC7" s="441">
        <v>29</v>
      </c>
      <c r="AD7" s="441">
        <v>30</v>
      </c>
      <c r="AE7" s="441">
        <v>31</v>
      </c>
      <c r="AF7" s="441">
        <v>32</v>
      </c>
    </row>
    <row r="8" spans="1:33" ht="18.75" x14ac:dyDescent="0.25">
      <c r="A8" s="1096" t="s">
        <v>334</v>
      </c>
      <c r="B8" s="1097"/>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097"/>
      <c r="AC8" s="1097"/>
      <c r="AD8" s="1097"/>
      <c r="AE8" s="1098"/>
      <c r="AF8" s="442"/>
    </row>
    <row r="9" spans="1:33" ht="18.75" x14ac:dyDescent="0.3">
      <c r="A9" s="443" t="s">
        <v>54</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5"/>
      <c r="AF9" s="446"/>
    </row>
    <row r="10" spans="1:33" ht="18.75" x14ac:dyDescent="0.25">
      <c r="A10" s="1088" t="s">
        <v>335</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7"/>
      <c r="AF10" s="447"/>
    </row>
    <row r="11" spans="1:33" s="451" customFormat="1" ht="18.75" x14ac:dyDescent="0.3">
      <c r="A11" s="448" t="s">
        <v>31</v>
      </c>
      <c r="B11" s="449">
        <f>SUM(B12:B12)</f>
        <v>55430.292999999998</v>
      </c>
      <c r="C11" s="449">
        <f>SUM(C12:C12)</f>
        <v>34639.538999999997</v>
      </c>
      <c r="D11" s="449">
        <f>SUM(D12:D12)</f>
        <v>30724.906000000003</v>
      </c>
      <c r="E11" s="449">
        <f>SUM(E12:E12)</f>
        <v>30724.906000000003</v>
      </c>
      <c r="F11" s="449">
        <f>IFERROR(E11/B11*100,0)</f>
        <v>55.429809833406438</v>
      </c>
      <c r="G11" s="449">
        <f>IFERROR(E11/C11*100,0)</f>
        <v>88.698946022347485</v>
      </c>
      <c r="H11" s="497">
        <f t="shared" ref="H11:AE11" si="0">SUM(H12:H12)</f>
        <v>7237.6039999999994</v>
      </c>
      <c r="I11" s="497">
        <f t="shared" si="0"/>
        <v>4175.2790000000005</v>
      </c>
      <c r="J11" s="497">
        <f t="shared" si="0"/>
        <v>4703.8770000000004</v>
      </c>
      <c r="K11" s="497">
        <f t="shared" si="0"/>
        <v>5381.9040000000005</v>
      </c>
      <c r="L11" s="497">
        <f t="shared" si="0"/>
        <v>3760.3250000000003</v>
      </c>
      <c r="M11" s="497">
        <f t="shared" si="0"/>
        <v>3679.2779999999998</v>
      </c>
      <c r="N11" s="497">
        <f t="shared" si="0"/>
        <v>5461.0149999999994</v>
      </c>
      <c r="O11" s="497">
        <f t="shared" si="0"/>
        <v>3373.585</v>
      </c>
      <c r="P11" s="497">
        <f t="shared" si="0"/>
        <v>4261.3340000000007</v>
      </c>
      <c r="Q11" s="497">
        <f t="shared" si="0"/>
        <v>3712.3330000000001</v>
      </c>
      <c r="R11" s="497">
        <f t="shared" si="0"/>
        <v>3739.884</v>
      </c>
      <c r="S11" s="497">
        <f t="shared" si="0"/>
        <v>5124.3719999999994</v>
      </c>
      <c r="T11" s="497">
        <f t="shared" si="0"/>
        <v>5475.5</v>
      </c>
      <c r="U11" s="497">
        <f t="shared" si="0"/>
        <v>5278.1549999999997</v>
      </c>
      <c r="V11" s="497">
        <f t="shared" si="0"/>
        <v>4302.0499999999993</v>
      </c>
      <c r="W11" s="497">
        <f t="shared" si="0"/>
        <v>0</v>
      </c>
      <c r="X11" s="497">
        <f t="shared" si="0"/>
        <v>3741.76</v>
      </c>
      <c r="Y11" s="497">
        <f t="shared" si="0"/>
        <v>0</v>
      </c>
      <c r="Z11" s="497">
        <f t="shared" si="0"/>
        <v>5458.6509999999998</v>
      </c>
      <c r="AA11" s="497">
        <f t="shared" si="0"/>
        <v>0</v>
      </c>
      <c r="AB11" s="497">
        <f t="shared" si="0"/>
        <v>4262.7449999999999</v>
      </c>
      <c r="AC11" s="497">
        <f t="shared" si="0"/>
        <v>0</v>
      </c>
      <c r="AD11" s="497">
        <f t="shared" si="0"/>
        <v>3025.5479999999998</v>
      </c>
      <c r="AE11" s="497">
        <f t="shared" si="0"/>
        <v>0</v>
      </c>
      <c r="AF11" s="450"/>
    </row>
    <row r="12" spans="1:33" ht="18.75" x14ac:dyDescent="0.3">
      <c r="A12" s="452" t="s">
        <v>33</v>
      </c>
      <c r="B12" s="453">
        <f>SUM(B15,B18,B22,B26,B30)</f>
        <v>55430.292999999998</v>
      </c>
      <c r="C12" s="453">
        <f>SUM(C15,C18,C22,C26,C30)</f>
        <v>34639.538999999997</v>
      </c>
      <c r="D12" s="453">
        <f>SUM(D15,D18,D22,D26,D30)</f>
        <v>30724.906000000003</v>
      </c>
      <c r="E12" s="453">
        <f>SUM(E15,E18,E22,E26,E30)</f>
        <v>30724.906000000003</v>
      </c>
      <c r="F12" s="453">
        <f>IFERROR(E12/B12*100,0)</f>
        <v>55.429809833406438</v>
      </c>
      <c r="G12" s="453">
        <f>IFERROR(E12/C12*100,0)</f>
        <v>88.698946022347485</v>
      </c>
      <c r="H12" s="498">
        <f t="shared" ref="H12:AE12" si="1">SUM(H15,H18,H22,H26,H30)</f>
        <v>7237.6039999999994</v>
      </c>
      <c r="I12" s="498">
        <f t="shared" si="1"/>
        <v>4175.2790000000005</v>
      </c>
      <c r="J12" s="498">
        <f t="shared" si="1"/>
        <v>4703.8770000000004</v>
      </c>
      <c r="K12" s="498">
        <f t="shared" si="1"/>
        <v>5381.9040000000005</v>
      </c>
      <c r="L12" s="498">
        <f t="shared" si="1"/>
        <v>3760.3250000000003</v>
      </c>
      <c r="M12" s="498">
        <f t="shared" si="1"/>
        <v>3679.2779999999998</v>
      </c>
      <c r="N12" s="498">
        <f t="shared" si="1"/>
        <v>5461.0149999999994</v>
      </c>
      <c r="O12" s="498">
        <f t="shared" si="1"/>
        <v>3373.585</v>
      </c>
      <c r="P12" s="498">
        <f t="shared" si="1"/>
        <v>4261.3340000000007</v>
      </c>
      <c r="Q12" s="498">
        <f t="shared" si="1"/>
        <v>3712.3330000000001</v>
      </c>
      <c r="R12" s="498">
        <f t="shared" si="1"/>
        <v>3739.884</v>
      </c>
      <c r="S12" s="498">
        <f t="shared" si="1"/>
        <v>5124.3719999999994</v>
      </c>
      <c r="T12" s="498">
        <f t="shared" si="1"/>
        <v>5475.5</v>
      </c>
      <c r="U12" s="498">
        <f t="shared" si="1"/>
        <v>5278.1549999999997</v>
      </c>
      <c r="V12" s="498">
        <f t="shared" si="1"/>
        <v>4302.0499999999993</v>
      </c>
      <c r="W12" s="498">
        <f t="shared" si="1"/>
        <v>0</v>
      </c>
      <c r="X12" s="498">
        <f t="shared" si="1"/>
        <v>3741.76</v>
      </c>
      <c r="Y12" s="498">
        <f t="shared" si="1"/>
        <v>0</v>
      </c>
      <c r="Z12" s="498">
        <f t="shared" si="1"/>
        <v>5458.6509999999998</v>
      </c>
      <c r="AA12" s="498">
        <f t="shared" si="1"/>
        <v>0</v>
      </c>
      <c r="AB12" s="498">
        <f t="shared" si="1"/>
        <v>4262.7449999999999</v>
      </c>
      <c r="AC12" s="498">
        <f t="shared" si="1"/>
        <v>0</v>
      </c>
      <c r="AD12" s="498">
        <f t="shared" si="1"/>
        <v>3025.5479999999998</v>
      </c>
      <c r="AE12" s="498">
        <f t="shared" si="1"/>
        <v>0</v>
      </c>
      <c r="AF12" s="447"/>
    </row>
    <row r="13" spans="1:33" ht="18.75" x14ac:dyDescent="0.25">
      <c r="A13" s="1088" t="s">
        <v>336</v>
      </c>
      <c r="B13" s="1086"/>
      <c r="C13" s="1086"/>
      <c r="D13" s="1086"/>
      <c r="E13" s="1086"/>
      <c r="F13" s="1086"/>
      <c r="G13" s="1086"/>
      <c r="H13" s="1086"/>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7"/>
      <c r="AF13" s="454"/>
    </row>
    <row r="14" spans="1:33" s="451" customFormat="1" ht="18.75" x14ac:dyDescent="0.3">
      <c r="A14" s="448" t="s">
        <v>31</v>
      </c>
      <c r="B14" s="449">
        <f>SUM(B15:B15)</f>
        <v>114.995</v>
      </c>
      <c r="C14" s="449">
        <f>SUM(C15:C15)</f>
        <v>58.649000000000001</v>
      </c>
      <c r="D14" s="449">
        <f>SUM(D15:D15)</f>
        <v>49.597999999999999</v>
      </c>
      <c r="E14" s="449">
        <f>SUM(E15:E15)</f>
        <v>49.597999999999999</v>
      </c>
      <c r="F14" s="449">
        <f>IFERROR(E14/B14*100,0)</f>
        <v>43.130570894386707</v>
      </c>
      <c r="G14" s="449">
        <f>IFERROR(E14/C14*100,0)</f>
        <v>84.567511807532952</v>
      </c>
      <c r="H14" s="497">
        <f t="shared" ref="H14:AE14" si="2">SUM(H15:H15)</f>
        <v>0</v>
      </c>
      <c r="I14" s="497">
        <f t="shared" si="2"/>
        <v>0</v>
      </c>
      <c r="J14" s="497">
        <f t="shared" si="2"/>
        <v>0</v>
      </c>
      <c r="K14" s="497">
        <f t="shared" si="2"/>
        <v>0</v>
      </c>
      <c r="L14" s="497">
        <f t="shared" si="2"/>
        <v>19.495000000000001</v>
      </c>
      <c r="M14" s="497">
        <f t="shared" si="2"/>
        <v>0</v>
      </c>
      <c r="N14" s="497">
        <f t="shared" si="2"/>
        <v>9.2780000000000005</v>
      </c>
      <c r="O14" s="497">
        <f t="shared" si="2"/>
        <v>22.062999999999999</v>
      </c>
      <c r="P14" s="497">
        <f t="shared" si="2"/>
        <v>11.349</v>
      </c>
      <c r="Q14" s="497">
        <f t="shared" si="2"/>
        <v>8.2119999999999997</v>
      </c>
      <c r="R14" s="497">
        <f t="shared" si="2"/>
        <v>9.8550000000000004</v>
      </c>
      <c r="S14" s="497">
        <f t="shared" si="2"/>
        <v>11.111000000000001</v>
      </c>
      <c r="T14" s="497">
        <f t="shared" si="2"/>
        <v>8.6720000000000006</v>
      </c>
      <c r="U14" s="497">
        <f t="shared" si="2"/>
        <v>8.2119999999999997</v>
      </c>
      <c r="V14" s="497">
        <f t="shared" si="2"/>
        <v>15.365</v>
      </c>
      <c r="W14" s="497">
        <f t="shared" si="2"/>
        <v>0</v>
      </c>
      <c r="X14" s="497">
        <f t="shared" si="2"/>
        <v>12.031000000000001</v>
      </c>
      <c r="Y14" s="497">
        <f t="shared" si="2"/>
        <v>0</v>
      </c>
      <c r="Z14" s="497">
        <f t="shared" si="2"/>
        <v>6.81</v>
      </c>
      <c r="AA14" s="497">
        <f t="shared" si="2"/>
        <v>0</v>
      </c>
      <c r="AB14" s="497">
        <f t="shared" si="2"/>
        <v>12.56</v>
      </c>
      <c r="AC14" s="497">
        <f t="shared" si="2"/>
        <v>0</v>
      </c>
      <c r="AD14" s="497">
        <f t="shared" si="2"/>
        <v>9.58</v>
      </c>
      <c r="AE14" s="497">
        <f t="shared" si="2"/>
        <v>0</v>
      </c>
      <c r="AF14" s="455"/>
      <c r="AG14" s="713"/>
    </row>
    <row r="15" spans="1:33" ht="21" x14ac:dyDescent="0.35">
      <c r="A15" s="452" t="s">
        <v>33</v>
      </c>
      <c r="B15" s="453">
        <f>SUM(H15,J15,L15,N15,P15,R15,T15,V15,X15,Z15,AB15,AD15)</f>
        <v>114.995</v>
      </c>
      <c r="C15" s="453">
        <f>H15+J15+L15+N15+P15+R15+T15</f>
        <v>58.649000000000001</v>
      </c>
      <c r="D15" s="453">
        <f>E15</f>
        <v>49.597999999999999</v>
      </c>
      <c r="E15" s="453">
        <f>SUM(I15,K15,M15,O15,Q15,S15,U15,W15,Y15,AA15,AC15,AE15)</f>
        <v>49.597999999999999</v>
      </c>
      <c r="F15" s="453">
        <f>IFERROR(E15/B15*100,0)</f>
        <v>43.130570894386707</v>
      </c>
      <c r="G15" s="453">
        <f>IFERROR(E15/C15*100,0)</f>
        <v>84.567511807532952</v>
      </c>
      <c r="H15" s="498">
        <v>0</v>
      </c>
      <c r="I15" s="498">
        <v>0</v>
      </c>
      <c r="J15" s="498">
        <v>0</v>
      </c>
      <c r="K15" s="498">
        <v>0</v>
      </c>
      <c r="L15" s="498">
        <v>19.495000000000001</v>
      </c>
      <c r="M15" s="498">
        <v>0</v>
      </c>
      <c r="N15" s="498">
        <v>9.2780000000000005</v>
      </c>
      <c r="O15" s="498">
        <v>22.062999999999999</v>
      </c>
      <c r="P15" s="498">
        <v>11.349</v>
      </c>
      <c r="Q15" s="498">
        <v>8.2119999999999997</v>
      </c>
      <c r="R15" s="498">
        <v>9.8550000000000004</v>
      </c>
      <c r="S15" s="498">
        <v>11.111000000000001</v>
      </c>
      <c r="T15" s="498">
        <v>8.6720000000000006</v>
      </c>
      <c r="U15" s="498">
        <v>8.2119999999999997</v>
      </c>
      <c r="V15" s="498">
        <v>15.365</v>
      </c>
      <c r="W15" s="498">
        <v>0</v>
      </c>
      <c r="X15" s="498">
        <v>12.031000000000001</v>
      </c>
      <c r="Y15" s="498">
        <v>0</v>
      </c>
      <c r="Z15" s="498">
        <v>6.81</v>
      </c>
      <c r="AA15" s="498">
        <v>0</v>
      </c>
      <c r="AB15" s="498">
        <v>12.56</v>
      </c>
      <c r="AC15" s="498">
        <v>0</v>
      </c>
      <c r="AD15" s="498">
        <v>9.58</v>
      </c>
      <c r="AE15" s="498">
        <v>0</v>
      </c>
      <c r="AF15" s="454"/>
      <c r="AG15" s="712"/>
    </row>
    <row r="16" spans="1:33" ht="21" x14ac:dyDescent="0.35">
      <c r="A16" s="1088" t="s">
        <v>337</v>
      </c>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7"/>
      <c r="AF16" s="454"/>
      <c r="AG16" s="712"/>
    </row>
    <row r="17" spans="1:33" s="451" customFormat="1" ht="21" x14ac:dyDescent="0.35">
      <c r="A17" s="448" t="s">
        <v>31</v>
      </c>
      <c r="B17" s="449">
        <f>SUM(B18:B18)</f>
        <v>0</v>
      </c>
      <c r="C17" s="449">
        <f>SUM(C18:C18)</f>
        <v>0</v>
      </c>
      <c r="D17" s="449">
        <f>SUM(D18:D18)</f>
        <v>0</v>
      </c>
      <c r="E17" s="449">
        <f>SUM(E18:E18)</f>
        <v>0</v>
      </c>
      <c r="F17" s="449">
        <f>IFERROR(E17/B17*100,0)</f>
        <v>0</v>
      </c>
      <c r="G17" s="449">
        <f>IFERROR(E17/C17*100,0)</f>
        <v>0</v>
      </c>
      <c r="H17" s="497">
        <f t="shared" ref="H17:AE17" si="3">SUM(H18:H18)</f>
        <v>0</v>
      </c>
      <c r="I17" s="497">
        <f t="shared" si="3"/>
        <v>0</v>
      </c>
      <c r="J17" s="497">
        <f t="shared" si="3"/>
        <v>0</v>
      </c>
      <c r="K17" s="497">
        <f t="shared" si="3"/>
        <v>0</v>
      </c>
      <c r="L17" s="497">
        <f t="shared" si="3"/>
        <v>0</v>
      </c>
      <c r="M17" s="497">
        <f t="shared" si="3"/>
        <v>0</v>
      </c>
      <c r="N17" s="497">
        <f t="shared" si="3"/>
        <v>0</v>
      </c>
      <c r="O17" s="497">
        <f t="shared" si="3"/>
        <v>0</v>
      </c>
      <c r="P17" s="497">
        <f t="shared" si="3"/>
        <v>0</v>
      </c>
      <c r="Q17" s="497">
        <f t="shared" si="3"/>
        <v>0</v>
      </c>
      <c r="R17" s="497">
        <f t="shared" si="3"/>
        <v>0</v>
      </c>
      <c r="S17" s="497">
        <f t="shared" si="3"/>
        <v>0</v>
      </c>
      <c r="T17" s="497">
        <f t="shared" si="3"/>
        <v>0</v>
      </c>
      <c r="U17" s="497">
        <f t="shared" si="3"/>
        <v>0</v>
      </c>
      <c r="V17" s="497">
        <f t="shared" si="3"/>
        <v>0</v>
      </c>
      <c r="W17" s="497">
        <f t="shared" si="3"/>
        <v>0</v>
      </c>
      <c r="X17" s="497">
        <f t="shared" si="3"/>
        <v>0</v>
      </c>
      <c r="Y17" s="497">
        <f t="shared" si="3"/>
        <v>0</v>
      </c>
      <c r="Z17" s="497">
        <f t="shared" si="3"/>
        <v>0</v>
      </c>
      <c r="AA17" s="497">
        <f t="shared" si="3"/>
        <v>0</v>
      </c>
      <c r="AB17" s="497">
        <f t="shared" si="3"/>
        <v>0</v>
      </c>
      <c r="AC17" s="497">
        <f t="shared" si="3"/>
        <v>0</v>
      </c>
      <c r="AD17" s="497">
        <f t="shared" si="3"/>
        <v>0</v>
      </c>
      <c r="AE17" s="497">
        <f t="shared" si="3"/>
        <v>0</v>
      </c>
      <c r="AF17" s="455"/>
      <c r="AG17" s="712"/>
    </row>
    <row r="18" spans="1:33" ht="21" x14ac:dyDescent="0.35">
      <c r="A18" s="452" t="s">
        <v>33</v>
      </c>
      <c r="B18" s="453">
        <f>SUM(H18,J18,L18,N18,P18,R18,T18,V18,X18,Z18,AB18,AD18)</f>
        <v>0</v>
      </c>
      <c r="C18" s="453">
        <f>SUM(H18+J18)</f>
        <v>0</v>
      </c>
      <c r="D18" s="453">
        <f>E18</f>
        <v>0</v>
      </c>
      <c r="E18" s="453">
        <f>SUM(I18,K18,M18,O18,Q18,S18,U18,W18,Y18,AA18,AC18,AE18)</f>
        <v>0</v>
      </c>
      <c r="F18" s="453">
        <f>IFERROR(E18/B18*100,0)</f>
        <v>0</v>
      </c>
      <c r="G18" s="453">
        <f>IFERROR(E18/C18*100,0)</f>
        <v>0</v>
      </c>
      <c r="H18" s="498">
        <v>0</v>
      </c>
      <c r="I18" s="498">
        <v>0</v>
      </c>
      <c r="J18" s="498">
        <v>0</v>
      </c>
      <c r="K18" s="498">
        <v>0</v>
      </c>
      <c r="L18" s="498">
        <v>0</v>
      </c>
      <c r="M18" s="498">
        <v>0</v>
      </c>
      <c r="N18" s="498">
        <v>0</v>
      </c>
      <c r="O18" s="498">
        <v>0</v>
      </c>
      <c r="P18" s="498">
        <v>0</v>
      </c>
      <c r="Q18" s="498">
        <v>0</v>
      </c>
      <c r="R18" s="498">
        <v>0</v>
      </c>
      <c r="S18" s="498">
        <v>0</v>
      </c>
      <c r="T18" s="498">
        <v>0</v>
      </c>
      <c r="U18" s="498">
        <v>0</v>
      </c>
      <c r="V18" s="498">
        <v>0</v>
      </c>
      <c r="W18" s="498">
        <v>0</v>
      </c>
      <c r="X18" s="498">
        <v>0</v>
      </c>
      <c r="Y18" s="498">
        <v>0</v>
      </c>
      <c r="Z18" s="498">
        <v>0</v>
      </c>
      <c r="AA18" s="498">
        <v>0</v>
      </c>
      <c r="AB18" s="498">
        <v>0</v>
      </c>
      <c r="AC18" s="498">
        <v>0</v>
      </c>
      <c r="AD18" s="498">
        <v>0</v>
      </c>
      <c r="AE18" s="498">
        <v>0</v>
      </c>
      <c r="AF18" s="454"/>
      <c r="AG18" s="712"/>
    </row>
    <row r="19" spans="1:33" ht="21" x14ac:dyDescent="0.35">
      <c r="A19" s="1088" t="s">
        <v>338</v>
      </c>
      <c r="B19" s="1086"/>
      <c r="C19" s="1086"/>
      <c r="D19" s="1086"/>
      <c r="E19" s="1086"/>
      <c r="F19" s="1086"/>
      <c r="G19" s="1086"/>
      <c r="H19" s="1086"/>
      <c r="I19" s="1086"/>
      <c r="J19" s="1086"/>
      <c r="K19" s="1086"/>
      <c r="L19" s="1086"/>
      <c r="M19" s="1086"/>
      <c r="N19" s="1086"/>
      <c r="O19" s="1086"/>
      <c r="P19" s="1086"/>
      <c r="Q19" s="1086"/>
      <c r="R19" s="1086"/>
      <c r="S19" s="1086"/>
      <c r="T19" s="1086"/>
      <c r="U19" s="1086"/>
      <c r="V19" s="1086"/>
      <c r="W19" s="1086"/>
      <c r="X19" s="1086"/>
      <c r="Y19" s="1086"/>
      <c r="Z19" s="1086"/>
      <c r="AA19" s="1086"/>
      <c r="AB19" s="1086"/>
      <c r="AC19" s="1086"/>
      <c r="AD19" s="1086"/>
      <c r="AE19" s="1087"/>
      <c r="AF19" s="456"/>
      <c r="AG19" s="712"/>
    </row>
    <row r="20" spans="1:33" s="451" customFormat="1" ht="56.25" x14ac:dyDescent="0.35">
      <c r="A20" s="594" t="s">
        <v>31</v>
      </c>
      <c r="B20" s="595">
        <f>B21+B22</f>
        <v>27883.842000000001</v>
      </c>
      <c r="C20" s="595">
        <f t="shared" ref="C20:E20" si="4">C21+C22</f>
        <v>17556.062999999998</v>
      </c>
      <c r="D20" s="595">
        <f t="shared" si="4"/>
        <v>15415.675999999999</v>
      </c>
      <c r="E20" s="595">
        <f t="shared" si="4"/>
        <v>15415.675999999999</v>
      </c>
      <c r="F20" s="595">
        <f>IFERROR(E20/B20*100,0)</f>
        <v>55.285336934558728</v>
      </c>
      <c r="G20" s="595">
        <f>IFERROR(E20/C20*100,0)</f>
        <v>87.808274554494375</v>
      </c>
      <c r="H20" s="596">
        <f>H21+H22</f>
        <v>3701.0929999999998</v>
      </c>
      <c r="I20" s="596">
        <f t="shared" ref="I20:AE20" si="5">I21+I22</f>
        <v>2125.4960000000001</v>
      </c>
      <c r="J20" s="596">
        <f t="shared" si="5"/>
        <v>2342.223</v>
      </c>
      <c r="K20" s="596">
        <f t="shared" si="5"/>
        <v>2654.116</v>
      </c>
      <c r="L20" s="596">
        <f t="shared" si="5"/>
        <v>1876.2349999999999</v>
      </c>
      <c r="M20" s="596">
        <f t="shared" si="5"/>
        <v>1791.963</v>
      </c>
      <c r="N20" s="596">
        <f t="shared" si="5"/>
        <v>2727.828</v>
      </c>
      <c r="O20" s="596">
        <f t="shared" si="5"/>
        <v>1789.04</v>
      </c>
      <c r="P20" s="596">
        <f t="shared" si="5"/>
        <v>2300.3200000000002</v>
      </c>
      <c r="Q20" s="596">
        <f t="shared" si="5"/>
        <v>2062.489</v>
      </c>
      <c r="R20" s="596">
        <f t="shared" si="5"/>
        <v>1865.4349999999999</v>
      </c>
      <c r="S20" s="596">
        <f t="shared" si="5"/>
        <v>2377.9029999999998</v>
      </c>
      <c r="T20" s="596">
        <f t="shared" si="5"/>
        <v>2742.9290000000001</v>
      </c>
      <c r="U20" s="596">
        <f t="shared" si="5"/>
        <v>2614.6689999999999</v>
      </c>
      <c r="V20" s="596">
        <f t="shared" si="5"/>
        <v>2162.578</v>
      </c>
      <c r="W20" s="596">
        <f t="shared" si="5"/>
        <v>0</v>
      </c>
      <c r="X20" s="596">
        <f t="shared" si="5"/>
        <v>1865.4349999999999</v>
      </c>
      <c r="Y20" s="596">
        <f t="shared" si="5"/>
        <v>0</v>
      </c>
      <c r="Z20" s="596">
        <f t="shared" si="5"/>
        <v>2727.8319999999999</v>
      </c>
      <c r="AA20" s="596">
        <f t="shared" si="5"/>
        <v>0</v>
      </c>
      <c r="AB20" s="596">
        <f t="shared" si="5"/>
        <v>2125.8780000000002</v>
      </c>
      <c r="AC20" s="596">
        <f t="shared" si="5"/>
        <v>0</v>
      </c>
      <c r="AD20" s="596">
        <f t="shared" si="5"/>
        <v>1446.056</v>
      </c>
      <c r="AE20" s="596">
        <f t="shared" si="5"/>
        <v>0</v>
      </c>
      <c r="AF20" s="456" t="s">
        <v>507</v>
      </c>
      <c r="AG20" s="712"/>
    </row>
    <row r="21" spans="1:33" s="946" customFormat="1" ht="21" x14ac:dyDescent="0.35">
      <c r="A21" s="452" t="s">
        <v>32</v>
      </c>
      <c r="B21" s="598">
        <f>SUM(H21,J21,L21,N21,P21,R21,T21,V21,X21,Z21,AB21,AD21)</f>
        <v>174.44200000000001</v>
      </c>
      <c r="C21" s="598">
        <f>SUM(H21+J21+L21+N21+P21+T211)</f>
        <v>174.44200000000001</v>
      </c>
      <c r="D21" s="598">
        <f>E21</f>
        <v>174.44300000000001</v>
      </c>
      <c r="E21" s="598">
        <f>SUM(I21,K21,M21,O21,Q21,S21,U21,W21,Y21,AA21,AC21,AE21)</f>
        <v>174.44300000000001</v>
      </c>
      <c r="F21" s="598">
        <f>IFERROR(E21/B21*100,0)</f>
        <v>100.00057325644053</v>
      </c>
      <c r="G21" s="598">
        <f>IFERROR(E21/C21*100,0)</f>
        <v>100.00057325644053</v>
      </c>
      <c r="H21" s="599">
        <v>0</v>
      </c>
      <c r="I21" s="599">
        <v>0</v>
      </c>
      <c r="J21" s="599">
        <v>0</v>
      </c>
      <c r="K21" s="599">
        <v>0</v>
      </c>
      <c r="L21" s="599">
        <v>0</v>
      </c>
      <c r="M21" s="599">
        <v>0</v>
      </c>
      <c r="N21" s="599">
        <v>0</v>
      </c>
      <c r="O21" s="599">
        <v>0</v>
      </c>
      <c r="P21" s="599">
        <v>174.44200000000001</v>
      </c>
      <c r="Q21" s="599">
        <v>174.44300000000001</v>
      </c>
      <c r="R21" s="599">
        <v>0</v>
      </c>
      <c r="S21" s="599">
        <v>0</v>
      </c>
      <c r="T21" s="599">
        <v>0</v>
      </c>
      <c r="U21" s="599">
        <v>0</v>
      </c>
      <c r="V21" s="599">
        <v>0</v>
      </c>
      <c r="W21" s="599">
        <v>0</v>
      </c>
      <c r="X21" s="599">
        <v>0</v>
      </c>
      <c r="Y21" s="599">
        <v>0</v>
      </c>
      <c r="Z21" s="599">
        <v>0</v>
      </c>
      <c r="AA21" s="599">
        <v>0</v>
      </c>
      <c r="AB21" s="599">
        <v>0</v>
      </c>
      <c r="AC21" s="599">
        <v>0</v>
      </c>
      <c r="AD21" s="599">
        <v>0</v>
      </c>
      <c r="AE21" s="599">
        <v>0</v>
      </c>
      <c r="AF21" s="456"/>
      <c r="AG21" s="712"/>
    </row>
    <row r="22" spans="1:33" ht="21" x14ac:dyDescent="0.35">
      <c r="A22" s="597" t="s">
        <v>33</v>
      </c>
      <c r="B22" s="598">
        <f>SUM(H22,J22,L22,N22,P22,R22,T22,V22,X22,Z22,AB22,AD22)</f>
        <v>27709.4</v>
      </c>
      <c r="C22" s="598">
        <f>SUM(H22+J22+L22+N22+P22+R22+T22)</f>
        <v>17381.620999999999</v>
      </c>
      <c r="D22" s="598">
        <f>E22</f>
        <v>15241.233</v>
      </c>
      <c r="E22" s="598">
        <f>SUM(I22,K22,M22,O22,Q22,S22,U22,W22,Y22,AA22,AC22,AE22)</f>
        <v>15241.233</v>
      </c>
      <c r="F22" s="598">
        <f>IFERROR(E22/B22*100,0)</f>
        <v>55.003836243296497</v>
      </c>
      <c r="G22" s="598">
        <f>IFERROR(E22/C22*100,0)</f>
        <v>87.685912608496068</v>
      </c>
      <c r="H22" s="599">
        <v>3701.0929999999998</v>
      </c>
      <c r="I22" s="599">
        <v>2125.4960000000001</v>
      </c>
      <c r="J22" s="599">
        <v>2342.223</v>
      </c>
      <c r="K22" s="599">
        <v>2654.116</v>
      </c>
      <c r="L22" s="599">
        <v>1876.2349999999999</v>
      </c>
      <c r="M22" s="599">
        <v>1791.963</v>
      </c>
      <c r="N22" s="599">
        <v>2727.828</v>
      </c>
      <c r="O22" s="599">
        <v>1789.04</v>
      </c>
      <c r="P22" s="599">
        <v>2125.8780000000002</v>
      </c>
      <c r="Q22" s="599">
        <v>1888.046</v>
      </c>
      <c r="R22" s="599">
        <v>1865.4349999999999</v>
      </c>
      <c r="S22" s="599">
        <v>2377.9029999999998</v>
      </c>
      <c r="T22" s="599">
        <v>2742.9290000000001</v>
      </c>
      <c r="U22" s="599">
        <v>2614.6689999999999</v>
      </c>
      <c r="V22" s="599">
        <v>2162.578</v>
      </c>
      <c r="W22" s="599">
        <v>0</v>
      </c>
      <c r="X22" s="599">
        <v>1865.4349999999999</v>
      </c>
      <c r="Y22" s="599">
        <v>0</v>
      </c>
      <c r="Z22" s="599">
        <v>2727.8319999999999</v>
      </c>
      <c r="AA22" s="599">
        <v>0</v>
      </c>
      <c r="AB22" s="599">
        <v>2125.8780000000002</v>
      </c>
      <c r="AC22" s="599">
        <v>0</v>
      </c>
      <c r="AD22" s="599">
        <v>1446.056</v>
      </c>
      <c r="AE22" s="599">
        <v>0</v>
      </c>
      <c r="AF22" s="456"/>
      <c r="AG22" s="712"/>
    </row>
    <row r="23" spans="1:33" ht="21" x14ac:dyDescent="0.35">
      <c r="A23" s="1093" t="s">
        <v>339</v>
      </c>
      <c r="B23" s="1094"/>
      <c r="C23" s="1094"/>
      <c r="D23" s="1094"/>
      <c r="E23" s="1094"/>
      <c r="F23" s="1094"/>
      <c r="G23" s="1094"/>
      <c r="H23" s="1094"/>
      <c r="I23" s="1094"/>
      <c r="J23" s="1094"/>
      <c r="K23" s="1094"/>
      <c r="L23" s="1094"/>
      <c r="M23" s="1094"/>
      <c r="N23" s="1094"/>
      <c r="O23" s="1094"/>
      <c r="P23" s="1094"/>
      <c r="Q23" s="1094"/>
      <c r="R23" s="1094"/>
      <c r="S23" s="1094"/>
      <c r="T23" s="1094"/>
      <c r="U23" s="1094"/>
      <c r="V23" s="1094"/>
      <c r="W23" s="1094"/>
      <c r="X23" s="1094"/>
      <c r="Y23" s="1094"/>
      <c r="Z23" s="1094"/>
      <c r="AA23" s="1094"/>
      <c r="AB23" s="1094"/>
      <c r="AC23" s="1094"/>
      <c r="AD23" s="1094"/>
      <c r="AE23" s="1095"/>
      <c r="AF23" s="456"/>
      <c r="AG23" s="712"/>
    </row>
    <row r="24" spans="1:33" s="451" customFormat="1" ht="56.25" x14ac:dyDescent="0.35">
      <c r="A24" s="594" t="s">
        <v>31</v>
      </c>
      <c r="B24" s="595">
        <f>B25+B26</f>
        <v>19534.992999999999</v>
      </c>
      <c r="C24" s="595">
        <f t="shared" ref="C24:E24" si="6">C25+C26</f>
        <v>12211.499</v>
      </c>
      <c r="D24" s="595">
        <f t="shared" si="6"/>
        <v>10901.67</v>
      </c>
      <c r="E24" s="595">
        <f t="shared" si="6"/>
        <v>10901.67</v>
      </c>
      <c r="F24" s="595">
        <f>IFERROR(E24/B24*100,0)</f>
        <v>55.805855676528779</v>
      </c>
      <c r="G24" s="595">
        <f>IFERROR(E24/C24*100,0)</f>
        <v>89.273806598190774</v>
      </c>
      <c r="H24" s="596">
        <f>H25+H26</f>
        <v>2449.17</v>
      </c>
      <c r="I24" s="596">
        <f t="shared" ref="I24:AE24" si="7">I25+I26</f>
        <v>1553.9559999999999</v>
      </c>
      <c r="J24" s="596">
        <f t="shared" si="7"/>
        <v>1667.3140000000001</v>
      </c>
      <c r="K24" s="596">
        <f t="shared" si="7"/>
        <v>2039.366</v>
      </c>
      <c r="L24" s="596">
        <f t="shared" si="7"/>
        <v>1312.9</v>
      </c>
      <c r="M24" s="596">
        <f t="shared" si="7"/>
        <v>1249.7349999999999</v>
      </c>
      <c r="N24" s="596">
        <f t="shared" si="7"/>
        <v>1911.74</v>
      </c>
      <c r="O24" s="596">
        <f t="shared" si="7"/>
        <v>1000.62</v>
      </c>
      <c r="P24" s="596">
        <f t="shared" si="7"/>
        <v>1645.7449999999999</v>
      </c>
      <c r="Q24" s="596">
        <f t="shared" si="7"/>
        <v>1270.1550000000002</v>
      </c>
      <c r="R24" s="596">
        <f t="shared" si="7"/>
        <v>1312.9</v>
      </c>
      <c r="S24" s="596">
        <f t="shared" si="7"/>
        <v>1834.088</v>
      </c>
      <c r="T24" s="596">
        <f t="shared" si="7"/>
        <v>1911.73</v>
      </c>
      <c r="U24" s="596">
        <f t="shared" si="7"/>
        <v>1953.75</v>
      </c>
      <c r="V24" s="596">
        <f t="shared" si="7"/>
        <v>1493.75</v>
      </c>
      <c r="W24" s="596">
        <f t="shared" si="7"/>
        <v>0</v>
      </c>
      <c r="X24" s="596">
        <f t="shared" si="7"/>
        <v>1312.9</v>
      </c>
      <c r="Y24" s="596">
        <f t="shared" si="7"/>
        <v>0</v>
      </c>
      <c r="Z24" s="596">
        <f t="shared" si="7"/>
        <v>1911.74</v>
      </c>
      <c r="AA24" s="596">
        <f t="shared" si="7"/>
        <v>0</v>
      </c>
      <c r="AB24" s="596">
        <f t="shared" si="7"/>
        <v>1493.75</v>
      </c>
      <c r="AC24" s="596">
        <f t="shared" si="7"/>
        <v>0</v>
      </c>
      <c r="AD24" s="596">
        <f t="shared" si="7"/>
        <v>1111.354</v>
      </c>
      <c r="AE24" s="596">
        <f t="shared" si="7"/>
        <v>0</v>
      </c>
      <c r="AF24" s="711" t="s">
        <v>507</v>
      </c>
      <c r="AG24" s="712"/>
    </row>
    <row r="25" spans="1:33" s="451" customFormat="1" ht="21" x14ac:dyDescent="0.35">
      <c r="A25" s="452" t="s">
        <v>32</v>
      </c>
      <c r="B25" s="598">
        <f>SUM(H25,J25,L25,N25,P25,R25,T25,V25,X25,Z25,AB25,AD25)</f>
        <v>151.995</v>
      </c>
      <c r="C25" s="598">
        <f>H25+J25+L25+N25+P25+R25+T25</f>
        <v>151.995</v>
      </c>
      <c r="D25" s="598">
        <f>E25</f>
        <v>151.995</v>
      </c>
      <c r="E25" s="598">
        <f>SUM(I25,K25,M25,O25,Q25,S25,U25,W25,Y25,AA25,AC25,AE25)</f>
        <v>151.995</v>
      </c>
      <c r="F25" s="598">
        <f>IFERROR(E25/B25*100,0)</f>
        <v>100</v>
      </c>
      <c r="G25" s="598">
        <f>IFERROR(E25/C25*100,0)</f>
        <v>100</v>
      </c>
      <c r="H25" s="596"/>
      <c r="I25" s="596"/>
      <c r="J25" s="596"/>
      <c r="K25" s="596"/>
      <c r="L25" s="596"/>
      <c r="M25" s="596"/>
      <c r="N25" s="596"/>
      <c r="O25" s="596"/>
      <c r="P25" s="599">
        <v>151.995</v>
      </c>
      <c r="Q25" s="599">
        <v>151.995</v>
      </c>
      <c r="R25" s="596"/>
      <c r="S25" s="596"/>
      <c r="T25" s="596"/>
      <c r="U25" s="596"/>
      <c r="V25" s="596"/>
      <c r="W25" s="596"/>
      <c r="X25" s="596"/>
      <c r="Y25" s="596"/>
      <c r="Z25" s="596"/>
      <c r="AA25" s="596"/>
      <c r="AB25" s="596"/>
      <c r="AC25" s="596"/>
      <c r="AD25" s="596"/>
      <c r="AE25" s="596"/>
      <c r="AF25" s="711"/>
      <c r="AG25" s="712"/>
    </row>
    <row r="26" spans="1:33" ht="21" x14ac:dyDescent="0.35">
      <c r="A26" s="597" t="s">
        <v>33</v>
      </c>
      <c r="B26" s="598">
        <f>SUM(H26,J26,L26,N26,P26,R26,T26,V26,X26,Z26,AB26,AD26)</f>
        <v>19382.998</v>
      </c>
      <c r="C26" s="598">
        <f>H26+J26+L26+N26+P26+R26+T26</f>
        <v>12059.503999999999</v>
      </c>
      <c r="D26" s="598">
        <f>E26</f>
        <v>10749.674999999999</v>
      </c>
      <c r="E26" s="598">
        <f>SUM(I26,K26,M26,O26,Q26,S26,U26,W26,Y26,AA26,AC26,AE26)</f>
        <v>10749.674999999999</v>
      </c>
      <c r="F26" s="598">
        <f>IFERROR(E26/B26*100,0)</f>
        <v>55.459299949367988</v>
      </c>
      <c r="G26" s="598">
        <f>IFERROR(E26/C26*100,0)</f>
        <v>89.138616314568168</v>
      </c>
      <c r="H26" s="599">
        <v>2449.17</v>
      </c>
      <c r="I26" s="599">
        <v>1553.9559999999999</v>
      </c>
      <c r="J26" s="599">
        <v>1667.3140000000001</v>
      </c>
      <c r="K26" s="599">
        <v>2039.366</v>
      </c>
      <c r="L26" s="599">
        <v>1312.9</v>
      </c>
      <c r="M26" s="599">
        <v>1249.7349999999999</v>
      </c>
      <c r="N26" s="599">
        <v>1911.74</v>
      </c>
      <c r="O26" s="599">
        <v>1000.62</v>
      </c>
      <c r="P26" s="599">
        <v>1493.75</v>
      </c>
      <c r="Q26" s="599">
        <v>1118.1600000000001</v>
      </c>
      <c r="R26" s="599">
        <v>1312.9</v>
      </c>
      <c r="S26" s="599">
        <v>1834.088</v>
      </c>
      <c r="T26" s="599">
        <v>1911.73</v>
      </c>
      <c r="U26" s="599">
        <v>1953.75</v>
      </c>
      <c r="V26" s="599">
        <v>1493.75</v>
      </c>
      <c r="W26" s="599">
        <v>0</v>
      </c>
      <c r="X26" s="599">
        <v>1312.9</v>
      </c>
      <c r="Y26" s="599">
        <v>0</v>
      </c>
      <c r="Z26" s="599">
        <v>1911.74</v>
      </c>
      <c r="AA26" s="599">
        <v>0</v>
      </c>
      <c r="AB26" s="599">
        <v>1493.75</v>
      </c>
      <c r="AC26" s="599">
        <v>0</v>
      </c>
      <c r="AD26" s="599">
        <v>1111.354</v>
      </c>
      <c r="AE26" s="599">
        <v>0</v>
      </c>
      <c r="AF26" s="456"/>
      <c r="AG26" s="712"/>
    </row>
    <row r="27" spans="1:33" ht="21" x14ac:dyDescent="0.35">
      <c r="A27" s="1093" t="s">
        <v>340</v>
      </c>
      <c r="B27" s="1094"/>
      <c r="C27" s="1094"/>
      <c r="D27" s="1094"/>
      <c r="E27" s="1094"/>
      <c r="F27" s="1094"/>
      <c r="G27" s="1094"/>
      <c r="H27" s="1094"/>
      <c r="I27" s="1094"/>
      <c r="J27" s="1094"/>
      <c r="K27" s="1094"/>
      <c r="L27" s="1094"/>
      <c r="M27" s="1094"/>
      <c r="N27" s="1094"/>
      <c r="O27" s="1094"/>
      <c r="P27" s="1094"/>
      <c r="Q27" s="1094"/>
      <c r="R27" s="1094"/>
      <c r="S27" s="1094"/>
      <c r="T27" s="1094"/>
      <c r="U27" s="1094"/>
      <c r="V27" s="1094"/>
      <c r="W27" s="1094"/>
      <c r="X27" s="1094"/>
      <c r="Y27" s="1094"/>
      <c r="Z27" s="1094"/>
      <c r="AA27" s="1094"/>
      <c r="AB27" s="1094"/>
      <c r="AC27" s="1094"/>
      <c r="AD27" s="1094"/>
      <c r="AE27" s="1095"/>
      <c r="AF27" s="454"/>
      <c r="AG27" s="712"/>
    </row>
    <row r="28" spans="1:33" s="451" customFormat="1" ht="56.25" x14ac:dyDescent="0.35">
      <c r="A28" s="594" t="s">
        <v>31</v>
      </c>
      <c r="B28" s="595">
        <f>B29+B30</f>
        <v>8267.7960000000003</v>
      </c>
      <c r="C28" s="595">
        <f t="shared" ref="C28:E28" si="8">C29+C30</f>
        <v>5184.6609999999991</v>
      </c>
      <c r="D28" s="595">
        <f t="shared" si="8"/>
        <v>4729.2960000000003</v>
      </c>
      <c r="E28" s="595">
        <f t="shared" si="8"/>
        <v>4729.2960000000003</v>
      </c>
      <c r="F28" s="595">
        <f>IFERROR(E28/B28*100,0)</f>
        <v>57.201411355577712</v>
      </c>
      <c r="G28" s="595">
        <f>IFERROR(E28/C28*100,0)</f>
        <v>91.217072823083342</v>
      </c>
      <c r="H28" s="596">
        <f>H29+H30</f>
        <v>1087.3409999999999</v>
      </c>
      <c r="I28" s="596">
        <f t="shared" ref="I28:AE28" si="9">I29+I30</f>
        <v>495.827</v>
      </c>
      <c r="J28" s="596">
        <f t="shared" si="9"/>
        <v>694.34</v>
      </c>
      <c r="K28" s="596">
        <f t="shared" si="9"/>
        <v>688.42200000000003</v>
      </c>
      <c r="L28" s="596">
        <f t="shared" si="9"/>
        <v>551.69500000000005</v>
      </c>
      <c r="M28" s="596">
        <f>M29+M30</f>
        <v>637.58000000000004</v>
      </c>
      <c r="N28" s="596">
        <f t="shared" si="9"/>
        <v>812.16899999999998</v>
      </c>
      <c r="O28" s="596">
        <f t="shared" si="9"/>
        <v>561.86199999999997</v>
      </c>
      <c r="P28" s="596">
        <f t="shared" si="9"/>
        <v>675.25299999999993</v>
      </c>
      <c r="Q28" s="596">
        <f t="shared" si="9"/>
        <v>742.81099999999992</v>
      </c>
      <c r="R28" s="596">
        <f t="shared" si="9"/>
        <v>551.69399999999996</v>
      </c>
      <c r="S28" s="596">
        <f t="shared" si="9"/>
        <v>901.27</v>
      </c>
      <c r="T28" s="596">
        <f t="shared" si="9"/>
        <v>812.16899999999998</v>
      </c>
      <c r="U28" s="596">
        <f t="shared" si="9"/>
        <v>701.524</v>
      </c>
      <c r="V28" s="596">
        <f t="shared" si="9"/>
        <v>630.35699999999997</v>
      </c>
      <c r="W28" s="596">
        <f t="shared" si="9"/>
        <v>0</v>
      </c>
      <c r="X28" s="596">
        <f t="shared" si="9"/>
        <v>551.39400000000001</v>
      </c>
      <c r="Y28" s="596">
        <f t="shared" si="9"/>
        <v>0</v>
      </c>
      <c r="Z28" s="596">
        <f t="shared" si="9"/>
        <v>812.26900000000001</v>
      </c>
      <c r="AA28" s="596">
        <f t="shared" si="9"/>
        <v>0</v>
      </c>
      <c r="AB28" s="596">
        <f t="shared" si="9"/>
        <v>630.55700000000002</v>
      </c>
      <c r="AC28" s="596">
        <f t="shared" si="9"/>
        <v>0</v>
      </c>
      <c r="AD28" s="596">
        <f t="shared" si="9"/>
        <v>458.55799999999999</v>
      </c>
      <c r="AE28" s="596">
        <f t="shared" si="9"/>
        <v>0</v>
      </c>
      <c r="AF28" s="454" t="s">
        <v>507</v>
      </c>
      <c r="AG28" s="712"/>
    </row>
    <row r="29" spans="1:33" s="451" customFormat="1" ht="21" x14ac:dyDescent="0.35">
      <c r="A29" s="452" t="s">
        <v>32</v>
      </c>
      <c r="B29" s="598">
        <f>SUM(H29,J29,L29,N29,P29,R29,T29,V29,X29,Z29,AB29,AD29)</f>
        <v>44.896000000000001</v>
      </c>
      <c r="C29" s="598">
        <f>H29+J29+L29+N29+P29+R29+T29</f>
        <v>44.896000000000001</v>
      </c>
      <c r="D29" s="598">
        <f>E29</f>
        <v>44.896000000000001</v>
      </c>
      <c r="E29" s="598">
        <f>SUM(I29,K29,M29,O29,Q29,S29,U29,W29,Y29,AA29,AC29,AE29)</f>
        <v>44.896000000000001</v>
      </c>
      <c r="F29" s="598">
        <f>IFERROR(E29/B29*100,0)</f>
        <v>100</v>
      </c>
      <c r="G29" s="598">
        <f>IFERROR(E29/C29*100,0)</f>
        <v>100</v>
      </c>
      <c r="H29" s="596"/>
      <c r="I29" s="596"/>
      <c r="J29" s="596"/>
      <c r="K29" s="596"/>
      <c r="L29" s="596"/>
      <c r="M29" s="596"/>
      <c r="N29" s="596"/>
      <c r="O29" s="596"/>
      <c r="P29" s="599">
        <v>44.896000000000001</v>
      </c>
      <c r="Q29" s="599">
        <v>44.896000000000001</v>
      </c>
      <c r="R29" s="596"/>
      <c r="S29" s="596"/>
      <c r="T29" s="596"/>
      <c r="U29" s="596"/>
      <c r="V29" s="596"/>
      <c r="W29" s="596"/>
      <c r="X29" s="596"/>
      <c r="Y29" s="596"/>
      <c r="Z29" s="596"/>
      <c r="AA29" s="596"/>
      <c r="AB29" s="596"/>
      <c r="AC29" s="596"/>
      <c r="AD29" s="596"/>
      <c r="AE29" s="596"/>
      <c r="AF29" s="454"/>
      <c r="AG29" s="712"/>
    </row>
    <row r="30" spans="1:33" ht="21" x14ac:dyDescent="0.35">
      <c r="A30" s="597" t="s">
        <v>33</v>
      </c>
      <c r="B30" s="598">
        <f>SUM(H30,J30,L30,N30,P30,R30,T30,V30,X30,Z30,AB30,AD30)</f>
        <v>8222.9</v>
      </c>
      <c r="C30" s="598">
        <f>H30+J30+L30+N30+P30+R30+T30</f>
        <v>5139.7649999999994</v>
      </c>
      <c r="D30" s="598">
        <f>E30</f>
        <v>4684.4000000000005</v>
      </c>
      <c r="E30" s="598">
        <f>SUM(I30,K30,M30,O30,Q30,S30,U30,W30,Y30,AA30,AC30,AE30)</f>
        <v>4684.4000000000005</v>
      </c>
      <c r="F30" s="598">
        <f>IFERROR(E30/B30*100,0)</f>
        <v>56.967736443347249</v>
      </c>
      <c r="G30" s="598">
        <f>IFERROR(E30/C30*100,0)</f>
        <v>91.140353693213612</v>
      </c>
      <c r="H30" s="599">
        <v>1087.3409999999999</v>
      </c>
      <c r="I30" s="599">
        <v>495.827</v>
      </c>
      <c r="J30" s="599">
        <v>694.34</v>
      </c>
      <c r="K30" s="599">
        <v>688.42200000000003</v>
      </c>
      <c r="L30" s="599">
        <v>551.69500000000005</v>
      </c>
      <c r="M30" s="599">
        <v>637.58000000000004</v>
      </c>
      <c r="N30" s="599">
        <v>812.16899999999998</v>
      </c>
      <c r="O30" s="599">
        <v>561.86199999999997</v>
      </c>
      <c r="P30" s="599">
        <v>630.35699999999997</v>
      </c>
      <c r="Q30" s="599">
        <v>697.91499999999996</v>
      </c>
      <c r="R30" s="599">
        <v>551.69399999999996</v>
      </c>
      <c r="S30" s="599">
        <v>901.27</v>
      </c>
      <c r="T30" s="599">
        <v>812.16899999999998</v>
      </c>
      <c r="U30" s="599">
        <v>701.524</v>
      </c>
      <c r="V30" s="599">
        <v>630.35699999999997</v>
      </c>
      <c r="W30" s="599">
        <v>0</v>
      </c>
      <c r="X30" s="599">
        <v>551.39400000000001</v>
      </c>
      <c r="Y30" s="599">
        <v>0</v>
      </c>
      <c r="Z30" s="599">
        <v>812.26900000000001</v>
      </c>
      <c r="AA30" s="599">
        <v>0</v>
      </c>
      <c r="AB30" s="599">
        <v>630.55700000000002</v>
      </c>
      <c r="AC30" s="599">
        <v>0</v>
      </c>
      <c r="AD30" s="599">
        <v>458.55799999999999</v>
      </c>
      <c r="AE30" s="599">
        <v>0</v>
      </c>
      <c r="AF30" s="454"/>
      <c r="AG30" s="712"/>
    </row>
    <row r="31" spans="1:33" ht="21" x14ac:dyDescent="0.35">
      <c r="A31" s="947" t="s">
        <v>341</v>
      </c>
      <c r="B31" s="948"/>
      <c r="C31" s="948"/>
      <c r="D31" s="948"/>
      <c r="E31" s="948"/>
      <c r="F31" s="949"/>
      <c r="G31" s="949"/>
      <c r="H31" s="948"/>
      <c r="I31" s="948"/>
      <c r="J31" s="948"/>
      <c r="K31" s="948"/>
      <c r="L31" s="948"/>
      <c r="M31" s="948"/>
      <c r="N31" s="948"/>
      <c r="O31" s="948"/>
      <c r="P31" s="948"/>
      <c r="Q31" s="948"/>
      <c r="R31" s="948"/>
      <c r="S31" s="948"/>
      <c r="T31" s="948"/>
      <c r="U31" s="948"/>
      <c r="V31" s="948"/>
      <c r="W31" s="948"/>
      <c r="X31" s="948"/>
      <c r="Y31" s="948"/>
      <c r="Z31" s="948"/>
      <c r="AA31" s="948"/>
      <c r="AB31" s="948"/>
      <c r="AC31" s="948"/>
      <c r="AD31" s="948"/>
      <c r="AE31" s="948"/>
      <c r="AF31" s="950"/>
      <c r="AG31" s="712"/>
    </row>
    <row r="32" spans="1:33" s="451" customFormat="1" ht="21" x14ac:dyDescent="0.35">
      <c r="A32" s="459" t="s">
        <v>31</v>
      </c>
      <c r="B32" s="460">
        <f>B33+B34</f>
        <v>55801.625999999997</v>
      </c>
      <c r="C32" s="460">
        <f t="shared" ref="C32:E32" si="10">C33+C34</f>
        <v>35010.871999999996</v>
      </c>
      <c r="D32" s="460">
        <f t="shared" si="10"/>
        <v>31096.240000000002</v>
      </c>
      <c r="E32" s="460">
        <f t="shared" si="10"/>
        <v>31096.240000000002</v>
      </c>
      <c r="F32" s="461">
        <f>IFERROR(E32/B32*100,0)</f>
        <v>55.726404818382903</v>
      </c>
      <c r="G32" s="461">
        <f>IFERROR(E32/C32*100,0)</f>
        <v>88.818810339828175</v>
      </c>
      <c r="H32" s="499">
        <f t="shared" ref="H32:AE32" si="11">SUM(H34:H34)</f>
        <v>7237.6039999999994</v>
      </c>
      <c r="I32" s="499">
        <f t="shared" si="11"/>
        <v>4175.2790000000005</v>
      </c>
      <c r="J32" s="499">
        <f t="shared" si="11"/>
        <v>4703.8770000000004</v>
      </c>
      <c r="K32" s="499">
        <f t="shared" si="11"/>
        <v>5381.9040000000005</v>
      </c>
      <c r="L32" s="499">
        <f t="shared" si="11"/>
        <v>3760.3250000000003</v>
      </c>
      <c r="M32" s="499">
        <f t="shared" si="11"/>
        <v>3679.2779999999998</v>
      </c>
      <c r="N32" s="499">
        <f t="shared" si="11"/>
        <v>5461.0149999999994</v>
      </c>
      <c r="O32" s="499">
        <f t="shared" si="11"/>
        <v>3373.585</v>
      </c>
      <c r="P32" s="499">
        <f t="shared" si="11"/>
        <v>4261.3340000000007</v>
      </c>
      <c r="Q32" s="499">
        <f t="shared" si="11"/>
        <v>3712.3330000000001</v>
      </c>
      <c r="R32" s="499">
        <f t="shared" si="11"/>
        <v>3739.884</v>
      </c>
      <c r="S32" s="499">
        <f t="shared" si="11"/>
        <v>5124.3719999999994</v>
      </c>
      <c r="T32" s="499">
        <f t="shared" si="11"/>
        <v>5475.5</v>
      </c>
      <c r="U32" s="499">
        <f t="shared" si="11"/>
        <v>5278.1549999999997</v>
      </c>
      <c r="V32" s="499">
        <f t="shared" si="11"/>
        <v>4302.0499999999993</v>
      </c>
      <c r="W32" s="499">
        <f t="shared" si="11"/>
        <v>0</v>
      </c>
      <c r="X32" s="499">
        <f t="shared" si="11"/>
        <v>3741.76</v>
      </c>
      <c r="Y32" s="499">
        <f t="shared" si="11"/>
        <v>0</v>
      </c>
      <c r="Z32" s="499">
        <f t="shared" si="11"/>
        <v>5458.6509999999998</v>
      </c>
      <c r="AA32" s="499">
        <f t="shared" si="11"/>
        <v>0</v>
      </c>
      <c r="AB32" s="499">
        <f t="shared" si="11"/>
        <v>4262.7449999999999</v>
      </c>
      <c r="AC32" s="499">
        <f t="shared" si="11"/>
        <v>0</v>
      </c>
      <c r="AD32" s="499">
        <f t="shared" si="11"/>
        <v>3025.5479999999998</v>
      </c>
      <c r="AE32" s="499">
        <f t="shared" si="11"/>
        <v>0</v>
      </c>
      <c r="AF32" s="455"/>
      <c r="AG32" s="712"/>
    </row>
    <row r="33" spans="1:33" s="451" customFormat="1" ht="21" x14ac:dyDescent="0.35">
      <c r="A33" s="452" t="s">
        <v>32</v>
      </c>
      <c r="B33" s="463">
        <f>B21+B25+B29</f>
        <v>371.33300000000003</v>
      </c>
      <c r="C33" s="463">
        <f t="shared" ref="C33:AE33" si="12">C21+C25+C29</f>
        <v>371.33300000000003</v>
      </c>
      <c r="D33" s="463">
        <f t="shared" si="12"/>
        <v>371.334</v>
      </c>
      <c r="E33" s="463">
        <f t="shared" si="12"/>
        <v>371.334</v>
      </c>
      <c r="F33" s="458">
        <f>IFERROR(E33/B33*100,0)</f>
        <v>100.0002693000622</v>
      </c>
      <c r="G33" s="458">
        <f>IFERROR(E33/C33*100,0)</f>
        <v>100.0002693000622</v>
      </c>
      <c r="H33" s="463">
        <f t="shared" si="12"/>
        <v>0</v>
      </c>
      <c r="I33" s="463">
        <f t="shared" si="12"/>
        <v>0</v>
      </c>
      <c r="J33" s="463">
        <f t="shared" si="12"/>
        <v>0</v>
      </c>
      <c r="K33" s="463">
        <f t="shared" si="12"/>
        <v>0</v>
      </c>
      <c r="L33" s="463">
        <f t="shared" si="12"/>
        <v>0</v>
      </c>
      <c r="M33" s="463">
        <f t="shared" si="12"/>
        <v>0</v>
      </c>
      <c r="N33" s="463">
        <f t="shared" si="12"/>
        <v>0</v>
      </c>
      <c r="O33" s="463">
        <f t="shared" si="12"/>
        <v>0</v>
      </c>
      <c r="P33" s="463">
        <f t="shared" si="12"/>
        <v>371.33300000000003</v>
      </c>
      <c r="Q33" s="463">
        <f t="shared" si="12"/>
        <v>371.334</v>
      </c>
      <c r="R33" s="463">
        <f t="shared" si="12"/>
        <v>0</v>
      </c>
      <c r="S33" s="463">
        <f t="shared" si="12"/>
        <v>0</v>
      </c>
      <c r="T33" s="463">
        <f t="shared" si="12"/>
        <v>0</v>
      </c>
      <c r="U33" s="463">
        <f t="shared" si="12"/>
        <v>0</v>
      </c>
      <c r="V33" s="463">
        <f t="shared" si="12"/>
        <v>0</v>
      </c>
      <c r="W33" s="463">
        <f t="shared" si="12"/>
        <v>0</v>
      </c>
      <c r="X33" s="463">
        <f t="shared" si="12"/>
        <v>0</v>
      </c>
      <c r="Y33" s="463">
        <f t="shared" si="12"/>
        <v>0</v>
      </c>
      <c r="Z33" s="463">
        <f t="shared" si="12"/>
        <v>0</v>
      </c>
      <c r="AA33" s="463">
        <f t="shared" si="12"/>
        <v>0</v>
      </c>
      <c r="AB33" s="463">
        <f t="shared" si="12"/>
        <v>0</v>
      </c>
      <c r="AC33" s="463">
        <f t="shared" si="12"/>
        <v>0</v>
      </c>
      <c r="AD33" s="463">
        <f t="shared" si="12"/>
        <v>0</v>
      </c>
      <c r="AE33" s="463">
        <f t="shared" si="12"/>
        <v>0</v>
      </c>
      <c r="AF33" s="455"/>
      <c r="AG33" s="712"/>
    </row>
    <row r="34" spans="1:33" ht="21" x14ac:dyDescent="0.35">
      <c r="A34" s="462" t="s">
        <v>33</v>
      </c>
      <c r="B34" s="463">
        <f>B15+B18+B22+B26+B30</f>
        <v>55430.292999999998</v>
      </c>
      <c r="C34" s="463">
        <f>H34+J34+L34+N34+P34+R34+T34</f>
        <v>34639.538999999997</v>
      </c>
      <c r="D34" s="463">
        <f>D15+D18+D22+D26+D30</f>
        <v>30724.906000000003</v>
      </c>
      <c r="E34" s="463">
        <f>E15+E18+E22+E26+E30</f>
        <v>30724.906000000003</v>
      </c>
      <c r="F34" s="463">
        <f>IFERROR(E34/B34*100,0)</f>
        <v>55.429809833406438</v>
      </c>
      <c r="G34" s="463">
        <f>IFERROR(E34/C34*100,0)</f>
        <v>88.698946022347485</v>
      </c>
      <c r="H34" s="500">
        <f t="shared" ref="H34:AE34" si="13">H15+H18+H22+H26+H30</f>
        <v>7237.6039999999994</v>
      </c>
      <c r="I34" s="500">
        <f t="shared" si="13"/>
        <v>4175.2790000000005</v>
      </c>
      <c r="J34" s="500">
        <f t="shared" si="13"/>
        <v>4703.8770000000004</v>
      </c>
      <c r="K34" s="500">
        <f t="shared" si="13"/>
        <v>5381.9040000000005</v>
      </c>
      <c r="L34" s="500">
        <f t="shared" si="13"/>
        <v>3760.3250000000003</v>
      </c>
      <c r="M34" s="500">
        <f t="shared" si="13"/>
        <v>3679.2779999999998</v>
      </c>
      <c r="N34" s="500">
        <f t="shared" si="13"/>
        <v>5461.0149999999994</v>
      </c>
      <c r="O34" s="500">
        <f t="shared" si="13"/>
        <v>3373.585</v>
      </c>
      <c r="P34" s="500">
        <f t="shared" si="13"/>
        <v>4261.3340000000007</v>
      </c>
      <c r="Q34" s="500">
        <f t="shared" si="13"/>
        <v>3712.3330000000001</v>
      </c>
      <c r="R34" s="500">
        <f t="shared" si="13"/>
        <v>3739.884</v>
      </c>
      <c r="S34" s="500">
        <f t="shared" si="13"/>
        <v>5124.3719999999994</v>
      </c>
      <c r="T34" s="500">
        <f t="shared" si="13"/>
        <v>5475.5</v>
      </c>
      <c r="U34" s="500">
        <f t="shared" si="13"/>
        <v>5278.1549999999997</v>
      </c>
      <c r="V34" s="500">
        <f t="shared" si="13"/>
        <v>4302.0499999999993</v>
      </c>
      <c r="W34" s="500">
        <f t="shared" si="13"/>
        <v>0</v>
      </c>
      <c r="X34" s="500">
        <f t="shared" si="13"/>
        <v>3741.76</v>
      </c>
      <c r="Y34" s="500">
        <f t="shared" si="13"/>
        <v>0</v>
      </c>
      <c r="Z34" s="500">
        <f t="shared" si="13"/>
        <v>5458.6509999999998</v>
      </c>
      <c r="AA34" s="500">
        <f t="shared" si="13"/>
        <v>0</v>
      </c>
      <c r="AB34" s="500">
        <f t="shared" si="13"/>
        <v>4262.7449999999999</v>
      </c>
      <c r="AC34" s="500">
        <f t="shared" si="13"/>
        <v>0</v>
      </c>
      <c r="AD34" s="500">
        <f t="shared" si="13"/>
        <v>3025.5479999999998</v>
      </c>
      <c r="AE34" s="500">
        <f t="shared" si="13"/>
        <v>0</v>
      </c>
      <c r="AF34" s="454"/>
      <c r="AG34" s="712"/>
    </row>
    <row r="35" spans="1:33" ht="21" x14ac:dyDescent="0.35">
      <c r="A35" s="1096" t="s">
        <v>342</v>
      </c>
      <c r="B35" s="1097"/>
      <c r="C35" s="1097"/>
      <c r="D35" s="1097"/>
      <c r="E35" s="1097"/>
      <c r="F35" s="1097"/>
      <c r="G35" s="1097"/>
      <c r="H35" s="1097"/>
      <c r="I35" s="1097"/>
      <c r="J35" s="1097"/>
      <c r="K35" s="1097"/>
      <c r="L35" s="1097"/>
      <c r="M35" s="1097"/>
      <c r="N35" s="1097"/>
      <c r="O35" s="1097"/>
      <c r="P35" s="1097"/>
      <c r="Q35" s="1097"/>
      <c r="R35" s="1097"/>
      <c r="S35" s="1097"/>
      <c r="T35" s="1097"/>
      <c r="U35" s="1097"/>
      <c r="V35" s="1097"/>
      <c r="W35" s="1097"/>
      <c r="X35" s="1097"/>
      <c r="Y35" s="1097"/>
      <c r="Z35" s="1097"/>
      <c r="AA35" s="1097"/>
      <c r="AB35" s="1097"/>
      <c r="AC35" s="1097"/>
      <c r="AD35" s="1097"/>
      <c r="AE35" s="1098"/>
      <c r="AF35" s="464"/>
      <c r="AG35" s="712"/>
    </row>
    <row r="36" spans="1:33" ht="21" x14ac:dyDescent="0.35">
      <c r="A36" s="465" t="s">
        <v>167</v>
      </c>
      <c r="B36" s="228"/>
      <c r="C36" s="466"/>
      <c r="D36" s="466"/>
      <c r="E36" s="228"/>
      <c r="F36" s="229"/>
      <c r="G36" s="229"/>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8"/>
      <c r="AF36" s="469"/>
      <c r="AG36" s="712"/>
    </row>
    <row r="37" spans="1:33" ht="21" x14ac:dyDescent="0.35">
      <c r="A37" s="1099" t="s">
        <v>343</v>
      </c>
      <c r="B37" s="1100"/>
      <c r="C37" s="1100"/>
      <c r="D37" s="1100"/>
      <c r="E37" s="1100"/>
      <c r="F37" s="1100"/>
      <c r="G37" s="1100"/>
      <c r="H37" s="1100"/>
      <c r="I37" s="1100"/>
      <c r="J37" s="1100"/>
      <c r="K37" s="1100"/>
      <c r="L37" s="1100"/>
      <c r="M37" s="1100"/>
      <c r="N37" s="1100"/>
      <c r="O37" s="1100"/>
      <c r="P37" s="1100"/>
      <c r="Q37" s="1100"/>
      <c r="R37" s="1100"/>
      <c r="S37" s="1100"/>
      <c r="T37" s="1100"/>
      <c r="U37" s="1100"/>
      <c r="V37" s="1100"/>
      <c r="W37" s="1100"/>
      <c r="X37" s="1100"/>
      <c r="Y37" s="1100"/>
      <c r="Z37" s="1100"/>
      <c r="AA37" s="1100"/>
      <c r="AB37" s="1100"/>
      <c r="AC37" s="1100"/>
      <c r="AD37" s="1100"/>
      <c r="AE37" s="1101"/>
      <c r="AF37" s="454"/>
      <c r="AG37" s="712"/>
    </row>
    <row r="38" spans="1:33" s="451" customFormat="1" ht="21" x14ac:dyDescent="0.35">
      <c r="A38" s="448" t="s">
        <v>31</v>
      </c>
      <c r="B38" s="449">
        <f>B39+B40</f>
        <v>342.11</v>
      </c>
      <c r="C38" s="449">
        <f>C39+C40</f>
        <v>292.11</v>
      </c>
      <c r="D38" s="449">
        <f>D39+D40</f>
        <v>292.11</v>
      </c>
      <c r="E38" s="449">
        <f>E39+E40</f>
        <v>292.11</v>
      </c>
      <c r="F38" s="449">
        <f>IFERROR(E38/B38*100,0)</f>
        <v>85.384817748677321</v>
      </c>
      <c r="G38" s="449">
        <f>IFERROR(E38/C38*100,0)</f>
        <v>100</v>
      </c>
      <c r="H38" s="497">
        <f>H39+H40</f>
        <v>0</v>
      </c>
      <c r="I38" s="497">
        <f t="shared" ref="I38:AE38" si="14">I39+I40</f>
        <v>0</v>
      </c>
      <c r="J38" s="497">
        <f t="shared" si="14"/>
        <v>0</v>
      </c>
      <c r="K38" s="497">
        <f t="shared" si="14"/>
        <v>0</v>
      </c>
      <c r="L38" s="497">
        <f t="shared" si="14"/>
        <v>0</v>
      </c>
      <c r="M38" s="497">
        <f t="shared" si="14"/>
        <v>0</v>
      </c>
      <c r="N38" s="497">
        <f t="shared" si="14"/>
        <v>0</v>
      </c>
      <c r="O38" s="497">
        <f t="shared" si="14"/>
        <v>0</v>
      </c>
      <c r="P38" s="497">
        <f t="shared" si="14"/>
        <v>0</v>
      </c>
      <c r="Q38" s="497">
        <f t="shared" si="14"/>
        <v>0</v>
      </c>
      <c r="R38" s="497">
        <f t="shared" si="14"/>
        <v>292.11</v>
      </c>
      <c r="S38" s="497">
        <f t="shared" si="14"/>
        <v>292.11</v>
      </c>
      <c r="T38" s="497">
        <f t="shared" si="14"/>
        <v>0</v>
      </c>
      <c r="U38" s="497">
        <f t="shared" si="14"/>
        <v>0</v>
      </c>
      <c r="V38" s="497">
        <f t="shared" si="14"/>
        <v>0</v>
      </c>
      <c r="W38" s="497">
        <f t="shared" si="14"/>
        <v>0</v>
      </c>
      <c r="X38" s="497">
        <f t="shared" si="14"/>
        <v>50</v>
      </c>
      <c r="Y38" s="497">
        <f t="shared" si="14"/>
        <v>0</v>
      </c>
      <c r="Z38" s="497">
        <f t="shared" si="14"/>
        <v>0</v>
      </c>
      <c r="AA38" s="497">
        <f t="shared" si="14"/>
        <v>0</v>
      </c>
      <c r="AB38" s="497">
        <f t="shared" si="14"/>
        <v>0</v>
      </c>
      <c r="AC38" s="497">
        <f t="shared" si="14"/>
        <v>0</v>
      </c>
      <c r="AD38" s="497">
        <f t="shared" si="14"/>
        <v>0</v>
      </c>
      <c r="AE38" s="497">
        <f t="shared" si="14"/>
        <v>0</v>
      </c>
      <c r="AF38" s="470"/>
      <c r="AG38" s="712"/>
    </row>
    <row r="39" spans="1:33" ht="21" x14ac:dyDescent="0.35">
      <c r="A39" s="452" t="s">
        <v>32</v>
      </c>
      <c r="B39" s="453">
        <f t="shared" ref="B39:E41" si="15">B44</f>
        <v>325</v>
      </c>
      <c r="C39" s="453">
        <f t="shared" si="15"/>
        <v>277.5</v>
      </c>
      <c r="D39" s="453">
        <f t="shared" si="15"/>
        <v>277.5</v>
      </c>
      <c r="E39" s="453">
        <f t="shared" si="15"/>
        <v>277.5</v>
      </c>
      <c r="F39" s="463">
        <f>IFERROR(E39/B39*100,0)</f>
        <v>85.384615384615387</v>
      </c>
      <c r="G39" s="463">
        <f>IFERROR(E39/C39*100,0)</f>
        <v>100</v>
      </c>
      <c r="H39" s="498">
        <f t="shared" ref="H39:AE41" si="16">H44</f>
        <v>0</v>
      </c>
      <c r="I39" s="498">
        <f t="shared" si="16"/>
        <v>0</v>
      </c>
      <c r="J39" s="498">
        <f t="shared" si="16"/>
        <v>0</v>
      </c>
      <c r="K39" s="498">
        <f t="shared" si="16"/>
        <v>0</v>
      </c>
      <c r="L39" s="498">
        <f t="shared" si="16"/>
        <v>0</v>
      </c>
      <c r="M39" s="498">
        <f t="shared" si="16"/>
        <v>0</v>
      </c>
      <c r="N39" s="498">
        <f t="shared" si="16"/>
        <v>0</v>
      </c>
      <c r="O39" s="498">
        <f t="shared" si="16"/>
        <v>0</v>
      </c>
      <c r="P39" s="498">
        <f t="shared" si="16"/>
        <v>0</v>
      </c>
      <c r="Q39" s="498">
        <f t="shared" si="16"/>
        <v>0</v>
      </c>
      <c r="R39" s="498">
        <f t="shared" si="16"/>
        <v>277.5</v>
      </c>
      <c r="S39" s="498">
        <f t="shared" si="16"/>
        <v>277.5</v>
      </c>
      <c r="T39" s="498">
        <f t="shared" si="16"/>
        <v>0</v>
      </c>
      <c r="U39" s="498">
        <f t="shared" si="16"/>
        <v>0</v>
      </c>
      <c r="V39" s="498">
        <f t="shared" si="16"/>
        <v>0</v>
      </c>
      <c r="W39" s="498">
        <f t="shared" si="16"/>
        <v>0</v>
      </c>
      <c r="X39" s="498">
        <f t="shared" si="16"/>
        <v>47.5</v>
      </c>
      <c r="Y39" s="498">
        <f t="shared" si="16"/>
        <v>0</v>
      </c>
      <c r="Z39" s="498">
        <f t="shared" si="16"/>
        <v>0</v>
      </c>
      <c r="AA39" s="498">
        <f t="shared" si="16"/>
        <v>0</v>
      </c>
      <c r="AB39" s="498">
        <f t="shared" si="16"/>
        <v>0</v>
      </c>
      <c r="AC39" s="498">
        <f t="shared" si="16"/>
        <v>0</v>
      </c>
      <c r="AD39" s="498">
        <f t="shared" si="16"/>
        <v>0</v>
      </c>
      <c r="AE39" s="498">
        <f t="shared" si="16"/>
        <v>0</v>
      </c>
      <c r="AF39" s="454"/>
      <c r="AG39" s="712"/>
    </row>
    <row r="40" spans="1:33" ht="21" x14ac:dyDescent="0.35">
      <c r="A40" s="452" t="s">
        <v>33</v>
      </c>
      <c r="B40" s="453">
        <f t="shared" si="15"/>
        <v>17.11</v>
      </c>
      <c r="C40" s="453">
        <f t="shared" si="15"/>
        <v>14.61</v>
      </c>
      <c r="D40" s="453">
        <f t="shared" si="15"/>
        <v>14.61</v>
      </c>
      <c r="E40" s="453">
        <f t="shared" si="15"/>
        <v>14.61</v>
      </c>
      <c r="F40" s="463">
        <f>IFERROR(E40/B40*100,0)</f>
        <v>85.388661601402688</v>
      </c>
      <c r="G40" s="463">
        <f>IFERROR(E40/C40*100,0)</f>
        <v>100</v>
      </c>
      <c r="H40" s="498">
        <f t="shared" si="16"/>
        <v>0</v>
      </c>
      <c r="I40" s="498">
        <f t="shared" si="16"/>
        <v>0</v>
      </c>
      <c r="J40" s="498">
        <f t="shared" si="16"/>
        <v>0</v>
      </c>
      <c r="K40" s="498">
        <f t="shared" si="16"/>
        <v>0</v>
      </c>
      <c r="L40" s="498">
        <f t="shared" si="16"/>
        <v>0</v>
      </c>
      <c r="M40" s="498">
        <f t="shared" si="16"/>
        <v>0</v>
      </c>
      <c r="N40" s="498">
        <f t="shared" si="16"/>
        <v>0</v>
      </c>
      <c r="O40" s="498">
        <f t="shared" si="16"/>
        <v>0</v>
      </c>
      <c r="P40" s="498">
        <f t="shared" si="16"/>
        <v>0</v>
      </c>
      <c r="Q40" s="498">
        <f t="shared" si="16"/>
        <v>0</v>
      </c>
      <c r="R40" s="498">
        <f t="shared" si="16"/>
        <v>14.61</v>
      </c>
      <c r="S40" s="498">
        <f t="shared" si="16"/>
        <v>14.61</v>
      </c>
      <c r="T40" s="498">
        <f t="shared" si="16"/>
        <v>0</v>
      </c>
      <c r="U40" s="498">
        <f t="shared" si="16"/>
        <v>0</v>
      </c>
      <c r="V40" s="498">
        <f t="shared" si="16"/>
        <v>0</v>
      </c>
      <c r="W40" s="498">
        <f t="shared" si="16"/>
        <v>0</v>
      </c>
      <c r="X40" s="498">
        <f t="shared" si="16"/>
        <v>2.5</v>
      </c>
      <c r="Y40" s="498">
        <f t="shared" si="16"/>
        <v>0</v>
      </c>
      <c r="Z40" s="498">
        <f t="shared" si="16"/>
        <v>0</v>
      </c>
      <c r="AA40" s="498">
        <f t="shared" si="16"/>
        <v>0</v>
      </c>
      <c r="AB40" s="498">
        <f t="shared" si="16"/>
        <v>0</v>
      </c>
      <c r="AC40" s="498">
        <f t="shared" si="16"/>
        <v>0</v>
      </c>
      <c r="AD40" s="498">
        <f t="shared" si="16"/>
        <v>0</v>
      </c>
      <c r="AE40" s="498">
        <f t="shared" si="16"/>
        <v>0</v>
      </c>
      <c r="AF40" s="454"/>
      <c r="AG40" s="712"/>
    </row>
    <row r="41" spans="1:33" ht="37.5" x14ac:dyDescent="0.35">
      <c r="A41" s="471" t="s">
        <v>174</v>
      </c>
      <c r="B41" s="453">
        <f t="shared" si="15"/>
        <v>17.11</v>
      </c>
      <c r="C41" s="453">
        <f t="shared" si="15"/>
        <v>14.61</v>
      </c>
      <c r="D41" s="453">
        <f t="shared" si="15"/>
        <v>14.61</v>
      </c>
      <c r="E41" s="453">
        <f t="shared" si="15"/>
        <v>14.61</v>
      </c>
      <c r="F41" s="463">
        <f>IFERROR(E41/B41*100,0)</f>
        <v>85.388661601402688</v>
      </c>
      <c r="G41" s="463">
        <f>IFERROR(E41/C41*100,0)</f>
        <v>100</v>
      </c>
      <c r="H41" s="498">
        <f t="shared" si="16"/>
        <v>0</v>
      </c>
      <c r="I41" s="498">
        <f t="shared" si="16"/>
        <v>0</v>
      </c>
      <c r="J41" s="498">
        <f t="shared" si="16"/>
        <v>0</v>
      </c>
      <c r="K41" s="498">
        <f t="shared" si="16"/>
        <v>0</v>
      </c>
      <c r="L41" s="498">
        <f t="shared" si="16"/>
        <v>0</v>
      </c>
      <c r="M41" s="498">
        <f t="shared" si="16"/>
        <v>0</v>
      </c>
      <c r="N41" s="498">
        <f t="shared" si="16"/>
        <v>0</v>
      </c>
      <c r="O41" s="498">
        <f t="shared" si="16"/>
        <v>0</v>
      </c>
      <c r="P41" s="498">
        <f t="shared" si="16"/>
        <v>0</v>
      </c>
      <c r="Q41" s="498">
        <f t="shared" si="16"/>
        <v>0</v>
      </c>
      <c r="R41" s="498">
        <f t="shared" si="16"/>
        <v>14.61</v>
      </c>
      <c r="S41" s="498">
        <f t="shared" si="16"/>
        <v>14.61</v>
      </c>
      <c r="T41" s="498">
        <f t="shared" si="16"/>
        <v>0</v>
      </c>
      <c r="U41" s="498">
        <f t="shared" si="16"/>
        <v>0</v>
      </c>
      <c r="V41" s="498">
        <f t="shared" si="16"/>
        <v>0</v>
      </c>
      <c r="W41" s="498">
        <f t="shared" si="16"/>
        <v>0</v>
      </c>
      <c r="X41" s="498">
        <f t="shared" si="16"/>
        <v>2.5</v>
      </c>
      <c r="Y41" s="498">
        <f t="shared" si="16"/>
        <v>0</v>
      </c>
      <c r="Z41" s="498">
        <f t="shared" si="16"/>
        <v>0</v>
      </c>
      <c r="AA41" s="498">
        <f t="shared" si="16"/>
        <v>0</v>
      </c>
      <c r="AB41" s="498">
        <f t="shared" si="16"/>
        <v>0</v>
      </c>
      <c r="AC41" s="498">
        <f t="shared" si="16"/>
        <v>0</v>
      </c>
      <c r="AD41" s="498">
        <f t="shared" si="16"/>
        <v>0</v>
      </c>
      <c r="AE41" s="498">
        <f t="shared" si="16"/>
        <v>0</v>
      </c>
      <c r="AF41" s="454"/>
      <c r="AG41" s="712"/>
    </row>
    <row r="42" spans="1:33" ht="21" x14ac:dyDescent="0.35">
      <c r="A42" s="1088" t="s">
        <v>344</v>
      </c>
      <c r="B42" s="1086"/>
      <c r="C42" s="1086"/>
      <c r="D42" s="1086"/>
      <c r="E42" s="1086"/>
      <c r="F42" s="1086"/>
      <c r="G42" s="1086"/>
      <c r="H42" s="1086"/>
      <c r="I42" s="1086"/>
      <c r="J42" s="1086"/>
      <c r="K42" s="1086"/>
      <c r="L42" s="1086"/>
      <c r="M42" s="1086"/>
      <c r="N42" s="1086"/>
      <c r="O42" s="1086"/>
      <c r="P42" s="1086"/>
      <c r="Q42" s="1086"/>
      <c r="R42" s="1086"/>
      <c r="S42" s="1086"/>
      <c r="T42" s="1086"/>
      <c r="U42" s="1086"/>
      <c r="V42" s="1086"/>
      <c r="W42" s="1086"/>
      <c r="X42" s="1086"/>
      <c r="Y42" s="1086"/>
      <c r="Z42" s="1086"/>
      <c r="AA42" s="1086"/>
      <c r="AB42" s="1086"/>
      <c r="AC42" s="1086"/>
      <c r="AD42" s="1086"/>
      <c r="AE42" s="1087"/>
      <c r="AF42" s="472"/>
      <c r="AG42" s="712"/>
    </row>
    <row r="43" spans="1:33" s="451" customFormat="1" ht="21" x14ac:dyDescent="0.35">
      <c r="A43" s="448" t="s">
        <v>31</v>
      </c>
      <c r="B43" s="449">
        <f>B44+B45</f>
        <v>342.11</v>
      </c>
      <c r="C43" s="449">
        <f>C44+C45</f>
        <v>292.11</v>
      </c>
      <c r="D43" s="449">
        <f>D44+D45</f>
        <v>292.11</v>
      </c>
      <c r="E43" s="449">
        <f>E44+E45</f>
        <v>292.11</v>
      </c>
      <c r="F43" s="449">
        <f>IFERROR(E43/B43*100,0)</f>
        <v>85.384817748677321</v>
      </c>
      <c r="G43" s="449">
        <f>IFERROR(E43/C43*100,0)</f>
        <v>100</v>
      </c>
      <c r="H43" s="497">
        <f>H44+H45</f>
        <v>0</v>
      </c>
      <c r="I43" s="497">
        <f t="shared" ref="I43:AE43" si="17">I44+I45</f>
        <v>0</v>
      </c>
      <c r="J43" s="497">
        <f t="shared" si="17"/>
        <v>0</v>
      </c>
      <c r="K43" s="497">
        <f t="shared" si="17"/>
        <v>0</v>
      </c>
      <c r="L43" s="497">
        <f t="shared" si="17"/>
        <v>0</v>
      </c>
      <c r="M43" s="497">
        <f t="shared" si="17"/>
        <v>0</v>
      </c>
      <c r="N43" s="497">
        <f t="shared" si="17"/>
        <v>0</v>
      </c>
      <c r="O43" s="497">
        <f t="shared" si="17"/>
        <v>0</v>
      </c>
      <c r="P43" s="497">
        <f t="shared" si="17"/>
        <v>0</v>
      </c>
      <c r="Q43" s="497">
        <f t="shared" si="17"/>
        <v>0</v>
      </c>
      <c r="R43" s="497">
        <f t="shared" si="17"/>
        <v>292.11</v>
      </c>
      <c r="S43" s="497">
        <f t="shared" si="17"/>
        <v>292.11</v>
      </c>
      <c r="T43" s="497">
        <f t="shared" si="17"/>
        <v>0</v>
      </c>
      <c r="U43" s="497">
        <f t="shared" si="17"/>
        <v>0</v>
      </c>
      <c r="V43" s="497">
        <f t="shared" si="17"/>
        <v>0</v>
      </c>
      <c r="W43" s="497">
        <f t="shared" si="17"/>
        <v>0</v>
      </c>
      <c r="X43" s="497">
        <f t="shared" si="17"/>
        <v>50</v>
      </c>
      <c r="Y43" s="497">
        <f t="shared" si="17"/>
        <v>0</v>
      </c>
      <c r="Z43" s="497">
        <f t="shared" si="17"/>
        <v>0</v>
      </c>
      <c r="AA43" s="497">
        <f t="shared" si="17"/>
        <v>0</v>
      </c>
      <c r="AB43" s="497">
        <f t="shared" si="17"/>
        <v>0</v>
      </c>
      <c r="AC43" s="497">
        <f t="shared" si="17"/>
        <v>0</v>
      </c>
      <c r="AD43" s="497">
        <f t="shared" si="17"/>
        <v>0</v>
      </c>
      <c r="AE43" s="497">
        <f t="shared" si="17"/>
        <v>0</v>
      </c>
      <c r="AF43" s="455"/>
      <c r="AG43" s="712"/>
    </row>
    <row r="44" spans="1:33" ht="21" x14ac:dyDescent="0.35">
      <c r="A44" s="452" t="s">
        <v>32</v>
      </c>
      <c r="B44" s="453">
        <f>SUM(H44,J44,L44,N44,P44,R44,T44,V44,X44,Z44,AB44,AD44)</f>
        <v>325</v>
      </c>
      <c r="C44" s="453">
        <f>H44+J44+L44+N44+P44+R44+T44</f>
        <v>277.5</v>
      </c>
      <c r="D44" s="453">
        <f>E44</f>
        <v>277.5</v>
      </c>
      <c r="E44" s="453">
        <f>SUM(I44,K44,M44,O44,Q44,S44,U44,W44,Y44,AA44,AC44,AE44)</f>
        <v>277.5</v>
      </c>
      <c r="F44" s="453">
        <f>IFERROR(E44/B44*100,0)</f>
        <v>85.384615384615387</v>
      </c>
      <c r="G44" s="453">
        <f>IFERROR(E44/C44*100,0)</f>
        <v>100</v>
      </c>
      <c r="H44" s="498">
        <f>H49+H54</f>
        <v>0</v>
      </c>
      <c r="I44" s="498">
        <f t="shared" ref="I44:AE46" si="18">I49+I54</f>
        <v>0</v>
      </c>
      <c r="J44" s="498">
        <f t="shared" si="18"/>
        <v>0</v>
      </c>
      <c r="K44" s="498">
        <f t="shared" si="18"/>
        <v>0</v>
      </c>
      <c r="L44" s="498">
        <f t="shared" si="18"/>
        <v>0</v>
      </c>
      <c r="M44" s="498">
        <f t="shared" si="18"/>
        <v>0</v>
      </c>
      <c r="N44" s="498">
        <f t="shared" si="18"/>
        <v>0</v>
      </c>
      <c r="O44" s="498">
        <f t="shared" si="18"/>
        <v>0</v>
      </c>
      <c r="P44" s="498">
        <f t="shared" si="18"/>
        <v>0</v>
      </c>
      <c r="Q44" s="498">
        <f t="shared" si="18"/>
        <v>0</v>
      </c>
      <c r="R44" s="498">
        <f t="shared" si="18"/>
        <v>277.5</v>
      </c>
      <c r="S44" s="498">
        <f t="shared" si="18"/>
        <v>277.5</v>
      </c>
      <c r="T44" s="498">
        <f t="shared" si="18"/>
        <v>0</v>
      </c>
      <c r="U44" s="498">
        <f t="shared" si="18"/>
        <v>0</v>
      </c>
      <c r="V44" s="498">
        <f t="shared" si="18"/>
        <v>0</v>
      </c>
      <c r="W44" s="498">
        <f t="shared" si="18"/>
        <v>0</v>
      </c>
      <c r="X44" s="498">
        <f t="shared" si="18"/>
        <v>47.5</v>
      </c>
      <c r="Y44" s="498">
        <f t="shared" si="18"/>
        <v>0</v>
      </c>
      <c r="Z44" s="498">
        <f t="shared" si="18"/>
        <v>0</v>
      </c>
      <c r="AA44" s="498">
        <f t="shared" si="18"/>
        <v>0</v>
      </c>
      <c r="AB44" s="498">
        <f t="shared" si="18"/>
        <v>0</v>
      </c>
      <c r="AC44" s="498">
        <f t="shared" si="18"/>
        <v>0</v>
      </c>
      <c r="AD44" s="498">
        <f t="shared" si="18"/>
        <v>0</v>
      </c>
      <c r="AE44" s="498">
        <f t="shared" si="18"/>
        <v>0</v>
      </c>
      <c r="AF44" s="454"/>
      <c r="AG44" s="712"/>
    </row>
    <row r="45" spans="1:33" ht="21" x14ac:dyDescent="0.35">
      <c r="A45" s="452" t="s">
        <v>33</v>
      </c>
      <c r="B45" s="453">
        <f>SUM(H45,J45,L45,N45,P45,R45,T45,V45,X45,Z45,AB45,AD45)</f>
        <v>17.11</v>
      </c>
      <c r="C45" s="453">
        <f t="shared" ref="C45:C46" si="19">H45+J45+L45+N45+P45+R45+T45</f>
        <v>14.61</v>
      </c>
      <c r="D45" s="453">
        <f>E45</f>
        <v>14.61</v>
      </c>
      <c r="E45" s="453">
        <f>SUM(I45,K45,M45,O45,Q45,S45,U45,W45,Y45,AA45,AC45,AE45)</f>
        <v>14.61</v>
      </c>
      <c r="F45" s="453">
        <f>IFERROR(E45/B45*100,0)</f>
        <v>85.388661601402688</v>
      </c>
      <c r="G45" s="453">
        <f>IFERROR(E45/C45*100,0)</f>
        <v>100</v>
      </c>
      <c r="H45" s="498">
        <f t="shared" ref="H45:W46" si="20">H50+H55</f>
        <v>0</v>
      </c>
      <c r="I45" s="498">
        <f t="shared" si="20"/>
        <v>0</v>
      </c>
      <c r="J45" s="498">
        <f t="shared" si="20"/>
        <v>0</v>
      </c>
      <c r="K45" s="498">
        <f t="shared" si="20"/>
        <v>0</v>
      </c>
      <c r="L45" s="498">
        <f t="shared" si="20"/>
        <v>0</v>
      </c>
      <c r="M45" s="498">
        <f t="shared" si="20"/>
        <v>0</v>
      </c>
      <c r="N45" s="498">
        <f t="shared" si="20"/>
        <v>0</v>
      </c>
      <c r="O45" s="498">
        <f t="shared" si="20"/>
        <v>0</v>
      </c>
      <c r="P45" s="498">
        <f t="shared" si="20"/>
        <v>0</v>
      </c>
      <c r="Q45" s="498">
        <f t="shared" si="20"/>
        <v>0</v>
      </c>
      <c r="R45" s="498">
        <f t="shared" si="20"/>
        <v>14.61</v>
      </c>
      <c r="S45" s="498">
        <f t="shared" si="20"/>
        <v>14.61</v>
      </c>
      <c r="T45" s="498">
        <f t="shared" si="20"/>
        <v>0</v>
      </c>
      <c r="U45" s="498">
        <f t="shared" si="20"/>
        <v>0</v>
      </c>
      <c r="V45" s="498">
        <f t="shared" si="20"/>
        <v>0</v>
      </c>
      <c r="W45" s="498">
        <f t="shared" si="20"/>
        <v>0</v>
      </c>
      <c r="X45" s="498">
        <f t="shared" si="18"/>
        <v>2.5</v>
      </c>
      <c r="Y45" s="498">
        <f t="shared" si="18"/>
        <v>0</v>
      </c>
      <c r="Z45" s="498">
        <f t="shared" si="18"/>
        <v>0</v>
      </c>
      <c r="AA45" s="498">
        <f t="shared" si="18"/>
        <v>0</v>
      </c>
      <c r="AB45" s="498">
        <f t="shared" si="18"/>
        <v>0</v>
      </c>
      <c r="AC45" s="498">
        <f t="shared" si="18"/>
        <v>0</v>
      </c>
      <c r="AD45" s="498">
        <f t="shared" si="18"/>
        <v>0</v>
      </c>
      <c r="AE45" s="498">
        <f t="shared" si="18"/>
        <v>0</v>
      </c>
      <c r="AF45" s="454"/>
      <c r="AG45" s="712"/>
    </row>
    <row r="46" spans="1:33" ht="37.5" x14ac:dyDescent="0.35">
      <c r="A46" s="471" t="s">
        <v>174</v>
      </c>
      <c r="B46" s="453">
        <f>SUM(H46,J46,L46,N46,P46,R46,T46,V46,X46,Z46,AB46,AD46)</f>
        <v>17.11</v>
      </c>
      <c r="C46" s="453">
        <f t="shared" si="19"/>
        <v>14.61</v>
      </c>
      <c r="D46" s="453">
        <f>E46</f>
        <v>14.61</v>
      </c>
      <c r="E46" s="453">
        <f>SUM(I46,K46,M46,O46,Q46,S46,U46,W46,Y46,AA46,AC46,AE46)</f>
        <v>14.61</v>
      </c>
      <c r="F46" s="453">
        <f>IFERROR(E46/B46*100,0)</f>
        <v>85.388661601402688</v>
      </c>
      <c r="G46" s="453">
        <f>IFERROR(E46/C46*100,0)</f>
        <v>100</v>
      </c>
      <c r="H46" s="498">
        <f t="shared" si="20"/>
        <v>0</v>
      </c>
      <c r="I46" s="498">
        <f t="shared" si="20"/>
        <v>0</v>
      </c>
      <c r="J46" s="498">
        <f t="shared" si="20"/>
        <v>0</v>
      </c>
      <c r="K46" s="498">
        <f t="shared" si="20"/>
        <v>0</v>
      </c>
      <c r="L46" s="498">
        <f t="shared" si="20"/>
        <v>0</v>
      </c>
      <c r="M46" s="498">
        <f t="shared" si="20"/>
        <v>0</v>
      </c>
      <c r="N46" s="498">
        <f t="shared" si="20"/>
        <v>0</v>
      </c>
      <c r="O46" s="498">
        <f t="shared" si="20"/>
        <v>0</v>
      </c>
      <c r="P46" s="498">
        <f t="shared" si="20"/>
        <v>0</v>
      </c>
      <c r="Q46" s="498">
        <f t="shared" si="20"/>
        <v>0</v>
      </c>
      <c r="R46" s="498">
        <f t="shared" si="20"/>
        <v>14.61</v>
      </c>
      <c r="S46" s="498">
        <f t="shared" si="20"/>
        <v>14.61</v>
      </c>
      <c r="T46" s="498">
        <f t="shared" si="20"/>
        <v>0</v>
      </c>
      <c r="U46" s="498">
        <f t="shared" si="20"/>
        <v>0</v>
      </c>
      <c r="V46" s="498">
        <f t="shared" si="20"/>
        <v>0</v>
      </c>
      <c r="W46" s="498">
        <f t="shared" si="20"/>
        <v>0</v>
      </c>
      <c r="X46" s="498">
        <f t="shared" si="18"/>
        <v>2.5</v>
      </c>
      <c r="Y46" s="498">
        <f t="shared" si="18"/>
        <v>0</v>
      </c>
      <c r="Z46" s="498">
        <f t="shared" si="18"/>
        <v>0</v>
      </c>
      <c r="AA46" s="498">
        <f t="shared" si="18"/>
        <v>0</v>
      </c>
      <c r="AB46" s="498">
        <f t="shared" si="18"/>
        <v>0</v>
      </c>
      <c r="AC46" s="498">
        <f t="shared" si="18"/>
        <v>0</v>
      </c>
      <c r="AD46" s="498">
        <f t="shared" si="18"/>
        <v>0</v>
      </c>
      <c r="AE46" s="498">
        <f t="shared" si="18"/>
        <v>0</v>
      </c>
      <c r="AF46" s="454"/>
      <c r="AG46" s="712"/>
    </row>
    <row r="47" spans="1:33" ht="21" x14ac:dyDescent="0.35">
      <c r="A47" s="1088" t="s">
        <v>345</v>
      </c>
      <c r="B47" s="1086"/>
      <c r="C47" s="1086"/>
      <c r="D47" s="1086"/>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7"/>
      <c r="AF47" s="454"/>
      <c r="AG47" s="712"/>
    </row>
    <row r="48" spans="1:33" s="451" customFormat="1" ht="100.5" customHeight="1" x14ac:dyDescent="0.35">
      <c r="A48" s="448" t="s">
        <v>31</v>
      </c>
      <c r="B48" s="449">
        <f>B49+B50</f>
        <v>342.11</v>
      </c>
      <c r="C48" s="449">
        <f>C49+C50</f>
        <v>292.11</v>
      </c>
      <c r="D48" s="449">
        <f>D49+D50</f>
        <v>292.11</v>
      </c>
      <c r="E48" s="449">
        <f>E49+E50</f>
        <v>292.11</v>
      </c>
      <c r="F48" s="449">
        <f>IFERROR(E48/B48*100,0)</f>
        <v>85.384817748677321</v>
      </c>
      <c r="G48" s="449">
        <f>IFERROR(E48/C48*100,0)</f>
        <v>100</v>
      </c>
      <c r="H48" s="497">
        <f>H49+H50</f>
        <v>0</v>
      </c>
      <c r="I48" s="497">
        <f t="shared" ref="I48:AE48" si="21">I49+I50</f>
        <v>0</v>
      </c>
      <c r="J48" s="497">
        <f t="shared" si="21"/>
        <v>0</v>
      </c>
      <c r="K48" s="497">
        <f t="shared" si="21"/>
        <v>0</v>
      </c>
      <c r="L48" s="497">
        <f t="shared" si="21"/>
        <v>0</v>
      </c>
      <c r="M48" s="497">
        <f t="shared" si="21"/>
        <v>0</v>
      </c>
      <c r="N48" s="497">
        <f t="shared" si="21"/>
        <v>0</v>
      </c>
      <c r="O48" s="497">
        <f t="shared" si="21"/>
        <v>0</v>
      </c>
      <c r="P48" s="497">
        <f t="shared" si="21"/>
        <v>0</v>
      </c>
      <c r="Q48" s="497">
        <f t="shared" si="21"/>
        <v>0</v>
      </c>
      <c r="R48" s="497">
        <f t="shared" si="21"/>
        <v>292.11</v>
      </c>
      <c r="S48" s="497">
        <f t="shared" si="21"/>
        <v>292.11</v>
      </c>
      <c r="T48" s="497">
        <f t="shared" si="21"/>
        <v>0</v>
      </c>
      <c r="U48" s="497">
        <f t="shared" si="21"/>
        <v>0</v>
      </c>
      <c r="V48" s="497">
        <f t="shared" si="21"/>
        <v>0</v>
      </c>
      <c r="W48" s="497">
        <f t="shared" si="21"/>
        <v>0</v>
      </c>
      <c r="X48" s="497">
        <f t="shared" si="21"/>
        <v>50</v>
      </c>
      <c r="Y48" s="497">
        <f t="shared" si="21"/>
        <v>0</v>
      </c>
      <c r="Z48" s="497">
        <f t="shared" si="21"/>
        <v>0</v>
      </c>
      <c r="AA48" s="497">
        <f t="shared" si="21"/>
        <v>0</v>
      </c>
      <c r="AB48" s="497">
        <f t="shared" si="21"/>
        <v>0</v>
      </c>
      <c r="AC48" s="497">
        <f t="shared" si="21"/>
        <v>0</v>
      </c>
      <c r="AD48" s="497">
        <f t="shared" si="21"/>
        <v>0</v>
      </c>
      <c r="AE48" s="497">
        <f t="shared" si="21"/>
        <v>0</v>
      </c>
      <c r="AF48" s="454" t="s">
        <v>589</v>
      </c>
      <c r="AG48" s="712"/>
    </row>
    <row r="49" spans="1:33" ht="21" x14ac:dyDescent="0.35">
      <c r="A49" s="452" t="s">
        <v>32</v>
      </c>
      <c r="B49" s="598">
        <f>SUM(H49,J49,L49,N49,P49,R49,T49,V49,X49,Z49,AB49,AD49)</f>
        <v>325</v>
      </c>
      <c r="C49" s="453">
        <f>H49+J49+L49+N49+P49+R49+T49</f>
        <v>277.5</v>
      </c>
      <c r="D49" s="453">
        <f>E49</f>
        <v>277.5</v>
      </c>
      <c r="E49" s="453">
        <f>SUM(I49,K49,M49,O49,Q49,S49,U49,W49,Y49,AA49,AC49,AE49)</f>
        <v>277.5</v>
      </c>
      <c r="F49" s="453">
        <f>IFERROR(E49/B49*100,0)</f>
        <v>85.384615384615387</v>
      </c>
      <c r="G49" s="453">
        <f>IFERROR(E49/C49*100,0)</f>
        <v>100</v>
      </c>
      <c r="H49" s="498">
        <v>0</v>
      </c>
      <c r="I49" s="498">
        <v>0</v>
      </c>
      <c r="J49" s="498">
        <v>0</v>
      </c>
      <c r="K49" s="498">
        <v>0</v>
      </c>
      <c r="L49" s="498">
        <v>0</v>
      </c>
      <c r="M49" s="498">
        <v>0</v>
      </c>
      <c r="N49" s="498">
        <v>0</v>
      </c>
      <c r="O49" s="498">
        <v>0</v>
      </c>
      <c r="P49" s="498">
        <v>0</v>
      </c>
      <c r="Q49" s="498">
        <v>0</v>
      </c>
      <c r="R49" s="498">
        <v>277.5</v>
      </c>
      <c r="S49" s="498">
        <v>277.5</v>
      </c>
      <c r="T49" s="498">
        <v>0</v>
      </c>
      <c r="U49" s="498">
        <v>0</v>
      </c>
      <c r="V49" s="498">
        <v>0</v>
      </c>
      <c r="W49" s="498">
        <v>0</v>
      </c>
      <c r="X49" s="498">
        <v>47.5</v>
      </c>
      <c r="Y49" s="498">
        <v>0</v>
      </c>
      <c r="Z49" s="498">
        <v>0</v>
      </c>
      <c r="AA49" s="498">
        <v>0</v>
      </c>
      <c r="AB49" s="498">
        <v>0</v>
      </c>
      <c r="AC49" s="498">
        <v>0</v>
      </c>
      <c r="AD49" s="498">
        <v>0</v>
      </c>
      <c r="AE49" s="498">
        <v>0</v>
      </c>
      <c r="AF49" s="454"/>
      <c r="AG49" s="712"/>
    </row>
    <row r="50" spans="1:33" ht="21" x14ac:dyDescent="0.35">
      <c r="A50" s="452" t="s">
        <v>33</v>
      </c>
      <c r="B50" s="453">
        <f>SUM(H50,J50,L50,N50,P50,R50,T50,V50,X50,Z50,AB50,AD50)</f>
        <v>17.11</v>
      </c>
      <c r="C50" s="453">
        <f t="shared" ref="C50:C51" si="22">H50+J50+L50+N50+P50+R50+T50</f>
        <v>14.61</v>
      </c>
      <c r="D50" s="453">
        <f>E50</f>
        <v>14.61</v>
      </c>
      <c r="E50" s="453">
        <f>SUM(I50,K50,M50,O50,Q50,S50,U50,W50,Y50,AA50,AC50,AE50)</f>
        <v>14.61</v>
      </c>
      <c r="F50" s="453">
        <f>IFERROR(E50/B50*100,0)</f>
        <v>85.388661601402688</v>
      </c>
      <c r="G50" s="453">
        <f>IFERROR(E50/C50*100,0)</f>
        <v>100</v>
      </c>
      <c r="H50" s="498">
        <v>0</v>
      </c>
      <c r="I50" s="498">
        <v>0</v>
      </c>
      <c r="J50" s="498">
        <v>0</v>
      </c>
      <c r="K50" s="498">
        <v>0</v>
      </c>
      <c r="L50" s="498">
        <v>0</v>
      </c>
      <c r="M50" s="498">
        <v>0</v>
      </c>
      <c r="N50" s="498">
        <v>0</v>
      </c>
      <c r="O50" s="498">
        <v>0</v>
      </c>
      <c r="P50" s="498">
        <v>0</v>
      </c>
      <c r="Q50" s="498">
        <v>0</v>
      </c>
      <c r="R50" s="498">
        <v>14.61</v>
      </c>
      <c r="S50" s="498">
        <v>14.61</v>
      </c>
      <c r="T50" s="498">
        <v>0</v>
      </c>
      <c r="U50" s="498">
        <v>0</v>
      </c>
      <c r="V50" s="498">
        <v>0</v>
      </c>
      <c r="W50" s="498">
        <v>0</v>
      </c>
      <c r="X50" s="498">
        <v>2.5</v>
      </c>
      <c r="Y50" s="498">
        <v>0</v>
      </c>
      <c r="Z50" s="498">
        <v>0</v>
      </c>
      <c r="AA50" s="498">
        <v>0</v>
      </c>
      <c r="AB50" s="498">
        <v>0</v>
      </c>
      <c r="AC50" s="498">
        <v>0</v>
      </c>
      <c r="AD50" s="498">
        <v>0</v>
      </c>
      <c r="AE50" s="498">
        <v>0</v>
      </c>
      <c r="AF50" s="454"/>
      <c r="AG50" s="712"/>
    </row>
    <row r="51" spans="1:33" ht="37.5" x14ac:dyDescent="0.35">
      <c r="A51" s="471" t="s">
        <v>174</v>
      </c>
      <c r="B51" s="453">
        <f>SUM(H51,J51,L51,N51,P51,R51,T51,V51,X51,Z51,AB51,AD51)</f>
        <v>17.11</v>
      </c>
      <c r="C51" s="453">
        <f t="shared" si="22"/>
        <v>14.61</v>
      </c>
      <c r="D51" s="453">
        <f>E51</f>
        <v>14.61</v>
      </c>
      <c r="E51" s="453">
        <f>SUM(I51,K51,M51,O51,Q51,S51,U51,W51,Y51,AA51,AC51,AE51)</f>
        <v>14.61</v>
      </c>
      <c r="F51" s="453">
        <f>IFERROR(E51/B51*100,0)</f>
        <v>85.388661601402688</v>
      </c>
      <c r="G51" s="453">
        <f>IFERROR(E51/C51*100,0)</f>
        <v>100</v>
      </c>
      <c r="H51" s="498">
        <v>0</v>
      </c>
      <c r="I51" s="498">
        <v>0</v>
      </c>
      <c r="J51" s="498">
        <v>0</v>
      </c>
      <c r="K51" s="498">
        <v>0</v>
      </c>
      <c r="L51" s="498">
        <v>0</v>
      </c>
      <c r="M51" s="498">
        <v>0</v>
      </c>
      <c r="N51" s="498">
        <v>0</v>
      </c>
      <c r="O51" s="498">
        <v>0</v>
      </c>
      <c r="P51" s="498">
        <v>0</v>
      </c>
      <c r="Q51" s="498">
        <v>0</v>
      </c>
      <c r="R51" s="498">
        <v>14.61</v>
      </c>
      <c r="S51" s="498">
        <v>14.61</v>
      </c>
      <c r="T51" s="498">
        <v>0</v>
      </c>
      <c r="U51" s="498">
        <v>0</v>
      </c>
      <c r="V51" s="498">
        <v>0</v>
      </c>
      <c r="W51" s="498">
        <v>0</v>
      </c>
      <c r="X51" s="498">
        <v>2.5</v>
      </c>
      <c r="Y51" s="498">
        <v>0</v>
      </c>
      <c r="Z51" s="498">
        <v>0</v>
      </c>
      <c r="AA51" s="498">
        <v>0</v>
      </c>
      <c r="AB51" s="498">
        <v>0</v>
      </c>
      <c r="AC51" s="498">
        <v>0</v>
      </c>
      <c r="AD51" s="498">
        <v>0</v>
      </c>
      <c r="AE51" s="498">
        <v>0</v>
      </c>
      <c r="AF51" s="454"/>
      <c r="AG51" s="712"/>
    </row>
    <row r="52" spans="1:33" ht="21" x14ac:dyDescent="0.35">
      <c r="A52" s="1088" t="s">
        <v>346</v>
      </c>
      <c r="B52" s="1086"/>
      <c r="C52" s="1086"/>
      <c r="D52" s="1086"/>
      <c r="E52" s="108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87"/>
      <c r="AF52" s="454"/>
      <c r="AG52" s="712"/>
    </row>
    <row r="53" spans="1:33" s="451" customFormat="1" ht="21" x14ac:dyDescent="0.35">
      <c r="A53" s="448" t="s">
        <v>31</v>
      </c>
      <c r="B53" s="449">
        <f>B54+B55</f>
        <v>0</v>
      </c>
      <c r="C53" s="449">
        <f>C54+C55</f>
        <v>0</v>
      </c>
      <c r="D53" s="449">
        <f>D54+D55</f>
        <v>0</v>
      </c>
      <c r="E53" s="449">
        <f>E54+E55</f>
        <v>0</v>
      </c>
      <c r="F53" s="449">
        <f>IFERROR(E53/B53*100,0)</f>
        <v>0</v>
      </c>
      <c r="G53" s="449">
        <f>IFERROR(E53/C53*100,0)</f>
        <v>0</v>
      </c>
      <c r="H53" s="497">
        <f>H54+H55</f>
        <v>0</v>
      </c>
      <c r="I53" s="497">
        <f t="shared" ref="I53:AE53" si="23">I54+I55</f>
        <v>0</v>
      </c>
      <c r="J53" s="497">
        <f t="shared" si="23"/>
        <v>0</v>
      </c>
      <c r="K53" s="497">
        <f t="shared" si="23"/>
        <v>0</v>
      </c>
      <c r="L53" s="497">
        <f t="shared" si="23"/>
        <v>0</v>
      </c>
      <c r="M53" s="497">
        <f t="shared" si="23"/>
        <v>0</v>
      </c>
      <c r="N53" s="497">
        <f t="shared" si="23"/>
        <v>0</v>
      </c>
      <c r="O53" s="497">
        <f t="shared" si="23"/>
        <v>0</v>
      </c>
      <c r="P53" s="497">
        <f t="shared" si="23"/>
        <v>0</v>
      </c>
      <c r="Q53" s="497">
        <f t="shared" si="23"/>
        <v>0</v>
      </c>
      <c r="R53" s="497">
        <f t="shared" si="23"/>
        <v>0</v>
      </c>
      <c r="S53" s="497">
        <f t="shared" si="23"/>
        <v>0</v>
      </c>
      <c r="T53" s="497">
        <f t="shared" si="23"/>
        <v>0</v>
      </c>
      <c r="U53" s="497">
        <f t="shared" si="23"/>
        <v>0</v>
      </c>
      <c r="V53" s="497">
        <f t="shared" si="23"/>
        <v>0</v>
      </c>
      <c r="W53" s="497">
        <f t="shared" si="23"/>
        <v>0</v>
      </c>
      <c r="X53" s="497">
        <f t="shared" si="23"/>
        <v>0</v>
      </c>
      <c r="Y53" s="497">
        <f t="shared" si="23"/>
        <v>0</v>
      </c>
      <c r="Z53" s="497">
        <f t="shared" si="23"/>
        <v>0</v>
      </c>
      <c r="AA53" s="497">
        <f t="shared" si="23"/>
        <v>0</v>
      </c>
      <c r="AB53" s="497">
        <f t="shared" si="23"/>
        <v>0</v>
      </c>
      <c r="AC53" s="497">
        <f t="shared" si="23"/>
        <v>0</v>
      </c>
      <c r="AD53" s="497">
        <f t="shared" si="23"/>
        <v>0</v>
      </c>
      <c r="AE53" s="497">
        <f t="shared" si="23"/>
        <v>0</v>
      </c>
      <c r="AF53" s="455"/>
      <c r="AG53" s="712"/>
    </row>
    <row r="54" spans="1:33" ht="21" x14ac:dyDescent="0.35">
      <c r="A54" s="452" t="s">
        <v>32</v>
      </c>
      <c r="B54" s="453">
        <f>SUM(H54,J54,L54,N54,P54,R54,T54,V54,X54,Z54,AB54,AD54)</f>
        <v>0</v>
      </c>
      <c r="C54" s="453">
        <f>H54+J54+L54+N54+P54+R54+T54</f>
        <v>0</v>
      </c>
      <c r="D54" s="453">
        <f>E54</f>
        <v>0</v>
      </c>
      <c r="E54" s="453">
        <f>SUM(I54,K54,M54,O54,Q54,S54,U54,W54,Y54,AA54,AC54,AE54)</f>
        <v>0</v>
      </c>
      <c r="F54" s="453">
        <f>IFERROR(E54/B54*100,0)</f>
        <v>0</v>
      </c>
      <c r="G54" s="453">
        <f>IFERROR(E54/C54*100,0)</f>
        <v>0</v>
      </c>
      <c r="H54" s="498">
        <f>H59</f>
        <v>0</v>
      </c>
      <c r="I54" s="498">
        <f t="shared" ref="I54:AE56" si="24">I59</f>
        <v>0</v>
      </c>
      <c r="J54" s="498">
        <f t="shared" si="24"/>
        <v>0</v>
      </c>
      <c r="K54" s="498">
        <f t="shared" si="24"/>
        <v>0</v>
      </c>
      <c r="L54" s="498">
        <f t="shared" si="24"/>
        <v>0</v>
      </c>
      <c r="M54" s="498">
        <f t="shared" si="24"/>
        <v>0</v>
      </c>
      <c r="N54" s="498">
        <f t="shared" si="24"/>
        <v>0</v>
      </c>
      <c r="O54" s="498">
        <f t="shared" si="24"/>
        <v>0</v>
      </c>
      <c r="P54" s="498">
        <f t="shared" si="24"/>
        <v>0</v>
      </c>
      <c r="Q54" s="498">
        <f t="shared" si="24"/>
        <v>0</v>
      </c>
      <c r="R54" s="498">
        <f t="shared" si="24"/>
        <v>0</v>
      </c>
      <c r="S54" s="498">
        <f t="shared" si="24"/>
        <v>0</v>
      </c>
      <c r="T54" s="498">
        <f t="shared" si="24"/>
        <v>0</v>
      </c>
      <c r="U54" s="498">
        <f t="shared" si="24"/>
        <v>0</v>
      </c>
      <c r="V54" s="498">
        <f t="shared" si="24"/>
        <v>0</v>
      </c>
      <c r="W54" s="498">
        <f t="shared" si="24"/>
        <v>0</v>
      </c>
      <c r="X54" s="498">
        <f t="shared" si="24"/>
        <v>0</v>
      </c>
      <c r="Y54" s="498">
        <f t="shared" si="24"/>
        <v>0</v>
      </c>
      <c r="Z54" s="498">
        <f t="shared" si="24"/>
        <v>0</v>
      </c>
      <c r="AA54" s="498">
        <f t="shared" si="24"/>
        <v>0</v>
      </c>
      <c r="AB54" s="498">
        <f t="shared" si="24"/>
        <v>0</v>
      </c>
      <c r="AC54" s="498">
        <f t="shared" si="24"/>
        <v>0</v>
      </c>
      <c r="AD54" s="498">
        <f t="shared" si="24"/>
        <v>0</v>
      </c>
      <c r="AE54" s="498">
        <f t="shared" si="24"/>
        <v>0</v>
      </c>
      <c r="AF54" s="454"/>
      <c r="AG54" s="712"/>
    </row>
    <row r="55" spans="1:33" ht="21" x14ac:dyDescent="0.35">
      <c r="A55" s="452" t="s">
        <v>33</v>
      </c>
      <c r="B55" s="453">
        <f>SUM(H55,J55,L55,N55,P55,R55,T55,V55,X55,Z55,AB55,AD55)</f>
        <v>0</v>
      </c>
      <c r="C55" s="453">
        <f t="shared" ref="C55:C56" si="25">H55+J55+L55+N55+P55+R55+T55</f>
        <v>0</v>
      </c>
      <c r="D55" s="453">
        <f>E55</f>
        <v>0</v>
      </c>
      <c r="E55" s="453">
        <f>SUM(I55,K55,M55,O55,Q55,S55,U55,W55,Y55,AA55,AC55,AE55)</f>
        <v>0</v>
      </c>
      <c r="F55" s="453">
        <f>IFERROR(E55/B55*100,0)</f>
        <v>0</v>
      </c>
      <c r="G55" s="453">
        <f>IFERROR(E55/C55*100,0)</f>
        <v>0</v>
      </c>
      <c r="H55" s="498">
        <f t="shared" ref="H55:W56" si="26">H60</f>
        <v>0</v>
      </c>
      <c r="I55" s="498">
        <f t="shared" si="26"/>
        <v>0</v>
      </c>
      <c r="J55" s="498">
        <f t="shared" si="26"/>
        <v>0</v>
      </c>
      <c r="K55" s="498">
        <f t="shared" si="26"/>
        <v>0</v>
      </c>
      <c r="L55" s="498">
        <f t="shared" si="26"/>
        <v>0</v>
      </c>
      <c r="M55" s="498">
        <f t="shared" si="26"/>
        <v>0</v>
      </c>
      <c r="N55" s="498">
        <f t="shared" si="26"/>
        <v>0</v>
      </c>
      <c r="O55" s="498">
        <f t="shared" si="26"/>
        <v>0</v>
      </c>
      <c r="P55" s="498">
        <f t="shared" si="26"/>
        <v>0</v>
      </c>
      <c r="Q55" s="498">
        <f t="shared" si="26"/>
        <v>0</v>
      </c>
      <c r="R55" s="498">
        <f t="shared" si="26"/>
        <v>0</v>
      </c>
      <c r="S55" s="498">
        <f t="shared" si="26"/>
        <v>0</v>
      </c>
      <c r="T55" s="498">
        <f t="shared" si="26"/>
        <v>0</v>
      </c>
      <c r="U55" s="498">
        <f t="shared" si="26"/>
        <v>0</v>
      </c>
      <c r="V55" s="498">
        <f t="shared" si="26"/>
        <v>0</v>
      </c>
      <c r="W55" s="498">
        <f t="shared" si="26"/>
        <v>0</v>
      </c>
      <c r="X55" s="498">
        <f t="shared" si="24"/>
        <v>0</v>
      </c>
      <c r="Y55" s="498">
        <f t="shared" si="24"/>
        <v>0</v>
      </c>
      <c r="Z55" s="498">
        <f t="shared" si="24"/>
        <v>0</v>
      </c>
      <c r="AA55" s="498">
        <f t="shared" si="24"/>
        <v>0</v>
      </c>
      <c r="AB55" s="498">
        <f t="shared" si="24"/>
        <v>0</v>
      </c>
      <c r="AC55" s="498">
        <f t="shared" si="24"/>
        <v>0</v>
      </c>
      <c r="AD55" s="498">
        <f t="shared" si="24"/>
        <v>0</v>
      </c>
      <c r="AE55" s="498">
        <f t="shared" si="24"/>
        <v>0</v>
      </c>
      <c r="AF55" s="454"/>
      <c r="AG55" s="712"/>
    </row>
    <row r="56" spans="1:33" ht="37.5" x14ac:dyDescent="0.35">
      <c r="A56" s="471" t="s">
        <v>174</v>
      </c>
      <c r="B56" s="453">
        <f>SUM(H56,J56,L56,N56,P56,R56,T56,V56,X56,Z56,AB56,AD56)</f>
        <v>0</v>
      </c>
      <c r="C56" s="453">
        <f t="shared" si="25"/>
        <v>0</v>
      </c>
      <c r="D56" s="453">
        <f>E56</f>
        <v>0</v>
      </c>
      <c r="E56" s="453">
        <f>SUM(I56,K56,M56,O56,Q56,S56,U56,W56,Y56,AA56,AC56,AE56)</f>
        <v>0</v>
      </c>
      <c r="F56" s="453">
        <f>IFERROR(E56/B56*100,0)</f>
        <v>0</v>
      </c>
      <c r="G56" s="453">
        <f>IFERROR(E56/C56*100,0)</f>
        <v>0</v>
      </c>
      <c r="H56" s="498">
        <f t="shared" si="26"/>
        <v>0</v>
      </c>
      <c r="I56" s="498">
        <f t="shared" si="26"/>
        <v>0</v>
      </c>
      <c r="J56" s="498">
        <f t="shared" si="26"/>
        <v>0</v>
      </c>
      <c r="K56" s="498">
        <f t="shared" si="26"/>
        <v>0</v>
      </c>
      <c r="L56" s="498">
        <f t="shared" si="26"/>
        <v>0</v>
      </c>
      <c r="M56" s="498">
        <f t="shared" si="26"/>
        <v>0</v>
      </c>
      <c r="N56" s="498">
        <f t="shared" si="26"/>
        <v>0</v>
      </c>
      <c r="O56" s="498">
        <f t="shared" si="26"/>
        <v>0</v>
      </c>
      <c r="P56" s="498">
        <f t="shared" si="26"/>
        <v>0</v>
      </c>
      <c r="Q56" s="498">
        <f t="shared" si="26"/>
        <v>0</v>
      </c>
      <c r="R56" s="498">
        <f t="shared" si="26"/>
        <v>0</v>
      </c>
      <c r="S56" s="498">
        <f t="shared" si="26"/>
        <v>0</v>
      </c>
      <c r="T56" s="498">
        <f t="shared" si="26"/>
        <v>0</v>
      </c>
      <c r="U56" s="498">
        <f t="shared" si="26"/>
        <v>0</v>
      </c>
      <c r="V56" s="498">
        <f t="shared" si="26"/>
        <v>0</v>
      </c>
      <c r="W56" s="498">
        <f t="shared" si="26"/>
        <v>0</v>
      </c>
      <c r="X56" s="498">
        <f t="shared" si="24"/>
        <v>0</v>
      </c>
      <c r="Y56" s="498">
        <f t="shared" si="24"/>
        <v>0</v>
      </c>
      <c r="Z56" s="498">
        <f t="shared" si="24"/>
        <v>0</v>
      </c>
      <c r="AA56" s="498">
        <f t="shared" si="24"/>
        <v>0</v>
      </c>
      <c r="AB56" s="498">
        <f t="shared" si="24"/>
        <v>0</v>
      </c>
      <c r="AC56" s="498">
        <f t="shared" si="24"/>
        <v>0</v>
      </c>
      <c r="AD56" s="498">
        <f t="shared" si="24"/>
        <v>0</v>
      </c>
      <c r="AE56" s="498">
        <f t="shared" si="24"/>
        <v>0</v>
      </c>
      <c r="AF56" s="454"/>
      <c r="AG56" s="712"/>
    </row>
    <row r="57" spans="1:33" ht="21" x14ac:dyDescent="0.35">
      <c r="A57" s="1088" t="s">
        <v>347</v>
      </c>
      <c r="B57" s="1086"/>
      <c r="C57" s="1086"/>
      <c r="D57" s="1086"/>
      <c r="E57" s="108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7"/>
      <c r="AF57" s="472"/>
      <c r="AG57" s="712"/>
    </row>
    <row r="58" spans="1:33" s="451" customFormat="1" ht="21" x14ac:dyDescent="0.35">
      <c r="A58" s="448" t="s">
        <v>31</v>
      </c>
      <c r="B58" s="449">
        <f>B59+B60</f>
        <v>0</v>
      </c>
      <c r="C58" s="449">
        <f>C59+C60</f>
        <v>0</v>
      </c>
      <c r="D58" s="449">
        <f>D59+D60</f>
        <v>0</v>
      </c>
      <c r="E58" s="449">
        <f>E59+E60</f>
        <v>0</v>
      </c>
      <c r="F58" s="449">
        <f>IFERROR(E58/B58*100,0)</f>
        <v>0</v>
      </c>
      <c r="G58" s="449">
        <f>IFERROR(E58/C58*100,0)</f>
        <v>0</v>
      </c>
      <c r="H58" s="497">
        <f>H59+H60</f>
        <v>0</v>
      </c>
      <c r="I58" s="497">
        <f t="shared" ref="I58:AE58" si="27">I59+I60</f>
        <v>0</v>
      </c>
      <c r="J58" s="497">
        <f t="shared" si="27"/>
        <v>0</v>
      </c>
      <c r="K58" s="497">
        <f t="shared" si="27"/>
        <v>0</v>
      </c>
      <c r="L58" s="497">
        <f t="shared" si="27"/>
        <v>0</v>
      </c>
      <c r="M58" s="497">
        <f t="shared" si="27"/>
        <v>0</v>
      </c>
      <c r="N58" s="497">
        <f t="shared" si="27"/>
        <v>0</v>
      </c>
      <c r="O58" s="497">
        <f t="shared" si="27"/>
        <v>0</v>
      </c>
      <c r="P58" s="497">
        <f t="shared" si="27"/>
        <v>0</v>
      </c>
      <c r="Q58" s="497">
        <f t="shared" si="27"/>
        <v>0</v>
      </c>
      <c r="R58" s="497">
        <f t="shared" si="27"/>
        <v>0</v>
      </c>
      <c r="S58" s="497">
        <f t="shared" si="27"/>
        <v>0</v>
      </c>
      <c r="T58" s="497">
        <f t="shared" si="27"/>
        <v>0</v>
      </c>
      <c r="U58" s="497">
        <f t="shared" si="27"/>
        <v>0</v>
      </c>
      <c r="V58" s="497">
        <f t="shared" si="27"/>
        <v>0</v>
      </c>
      <c r="W58" s="497">
        <f t="shared" si="27"/>
        <v>0</v>
      </c>
      <c r="X58" s="497">
        <f t="shared" si="27"/>
        <v>0</v>
      </c>
      <c r="Y58" s="497">
        <f t="shared" si="27"/>
        <v>0</v>
      </c>
      <c r="Z58" s="497">
        <f t="shared" si="27"/>
        <v>0</v>
      </c>
      <c r="AA58" s="497">
        <f t="shared" si="27"/>
        <v>0</v>
      </c>
      <c r="AB58" s="497">
        <f t="shared" si="27"/>
        <v>0</v>
      </c>
      <c r="AC58" s="497">
        <f t="shared" si="27"/>
        <v>0</v>
      </c>
      <c r="AD58" s="497">
        <f t="shared" si="27"/>
        <v>0</v>
      </c>
      <c r="AE58" s="497">
        <f t="shared" si="27"/>
        <v>0</v>
      </c>
      <c r="AF58" s="455"/>
      <c r="AG58" s="712"/>
    </row>
    <row r="59" spans="1:33" ht="21" x14ac:dyDescent="0.35">
      <c r="A59" s="452" t="s">
        <v>32</v>
      </c>
      <c r="B59" s="598">
        <f>SUM(H59,J59,L59,N59,P59,R59,T59,V59,X59,Z59,AB59,AD59)</f>
        <v>0</v>
      </c>
      <c r="C59" s="453">
        <f>H59+J59+L59+N59+P59+R59</f>
        <v>0</v>
      </c>
      <c r="D59" s="453">
        <f>E59</f>
        <v>0</v>
      </c>
      <c r="E59" s="453">
        <f>SUM(I59,K59,M59,O59,Q59,S59,U59,W59,Y59,AA59,AC59,AE59)</f>
        <v>0</v>
      </c>
      <c r="F59" s="453">
        <f>IFERROR(E59/B59*100,0)</f>
        <v>0</v>
      </c>
      <c r="G59" s="453">
        <f>IFERROR(E59/C59*100,0)</f>
        <v>0</v>
      </c>
      <c r="H59" s="498">
        <v>0</v>
      </c>
      <c r="I59" s="498">
        <v>0</v>
      </c>
      <c r="J59" s="498">
        <v>0</v>
      </c>
      <c r="K59" s="498">
        <v>0</v>
      </c>
      <c r="L59" s="498">
        <v>0</v>
      </c>
      <c r="M59" s="498">
        <v>0</v>
      </c>
      <c r="N59" s="498">
        <v>0</v>
      </c>
      <c r="O59" s="498">
        <v>0</v>
      </c>
      <c r="P59" s="498">
        <v>0</v>
      </c>
      <c r="Q59" s="498">
        <v>0</v>
      </c>
      <c r="R59" s="498">
        <v>0</v>
      </c>
      <c r="S59" s="498">
        <v>0</v>
      </c>
      <c r="T59" s="498">
        <v>0</v>
      </c>
      <c r="U59" s="498">
        <v>0</v>
      </c>
      <c r="V59" s="498">
        <v>0</v>
      </c>
      <c r="W59" s="498">
        <v>0</v>
      </c>
      <c r="X59" s="498">
        <v>0</v>
      </c>
      <c r="Y59" s="498">
        <v>0</v>
      </c>
      <c r="Z59" s="498">
        <v>0</v>
      </c>
      <c r="AA59" s="498">
        <v>0</v>
      </c>
      <c r="AB59" s="498">
        <v>0</v>
      </c>
      <c r="AC59" s="498">
        <v>0</v>
      </c>
      <c r="AD59" s="498">
        <v>0</v>
      </c>
      <c r="AE59" s="498">
        <v>0</v>
      </c>
      <c r="AF59" s="454"/>
      <c r="AG59" s="712"/>
    </row>
    <row r="60" spans="1:33" ht="21" x14ac:dyDescent="0.35">
      <c r="A60" s="452" t="s">
        <v>33</v>
      </c>
      <c r="B60" s="453">
        <f>SUM(H60,J60,L60,N60,P60,R60,T60,V60,X60,Z60,AB60,AD60)</f>
        <v>0</v>
      </c>
      <c r="C60" s="453">
        <f t="shared" ref="C60:C61" si="28">H60+J60+L60+N60+P60+R60</f>
        <v>0</v>
      </c>
      <c r="D60" s="453">
        <f>E60</f>
        <v>0</v>
      </c>
      <c r="E60" s="453">
        <f>SUM(I60,K60,M60,O60,Q60,S60,U60,W60,Y60,AA60,AC60,AE60)</f>
        <v>0</v>
      </c>
      <c r="F60" s="453">
        <f>IFERROR(E60/B60*100,0)</f>
        <v>0</v>
      </c>
      <c r="G60" s="453">
        <f>IFERROR(E60/C60*100,0)</f>
        <v>0</v>
      </c>
      <c r="H60" s="498">
        <v>0</v>
      </c>
      <c r="I60" s="498">
        <v>0</v>
      </c>
      <c r="J60" s="498">
        <v>0</v>
      </c>
      <c r="K60" s="498">
        <v>0</v>
      </c>
      <c r="L60" s="498">
        <v>0</v>
      </c>
      <c r="M60" s="498">
        <v>0</v>
      </c>
      <c r="N60" s="498">
        <v>0</v>
      </c>
      <c r="O60" s="498">
        <v>0</v>
      </c>
      <c r="P60" s="498">
        <v>0</v>
      </c>
      <c r="Q60" s="498">
        <v>0</v>
      </c>
      <c r="R60" s="498">
        <v>0</v>
      </c>
      <c r="S60" s="498">
        <v>0</v>
      </c>
      <c r="T60" s="498">
        <v>0</v>
      </c>
      <c r="U60" s="498">
        <v>0</v>
      </c>
      <c r="V60" s="498">
        <v>0</v>
      </c>
      <c r="W60" s="498">
        <v>0</v>
      </c>
      <c r="X60" s="498">
        <v>0</v>
      </c>
      <c r="Y60" s="498">
        <v>0</v>
      </c>
      <c r="Z60" s="498">
        <v>0</v>
      </c>
      <c r="AA60" s="498">
        <v>0</v>
      </c>
      <c r="AB60" s="498">
        <v>0</v>
      </c>
      <c r="AC60" s="498">
        <v>0</v>
      </c>
      <c r="AD60" s="498">
        <v>0</v>
      </c>
      <c r="AE60" s="498">
        <v>0</v>
      </c>
      <c r="AF60" s="454"/>
      <c r="AG60" s="712"/>
    </row>
    <row r="61" spans="1:33" ht="37.5" x14ac:dyDescent="0.35">
      <c r="A61" s="471" t="s">
        <v>174</v>
      </c>
      <c r="B61" s="453">
        <f>SUM(H61,J61,L61,N61,P61,R61,T61,V61,X61,Z61,AB61,AD61)</f>
        <v>0</v>
      </c>
      <c r="C61" s="453">
        <f t="shared" si="28"/>
        <v>0</v>
      </c>
      <c r="D61" s="453">
        <f>E61</f>
        <v>0</v>
      </c>
      <c r="E61" s="453">
        <f>SUM(I61,K61,M61,O61,Q61,S61,U61,W61,Y61,AA61,AC61,AE61)</f>
        <v>0</v>
      </c>
      <c r="F61" s="453">
        <f>IFERROR(E61/B61*100,0)</f>
        <v>0</v>
      </c>
      <c r="G61" s="453">
        <f>IFERROR(E61/C61*100,0)</f>
        <v>0</v>
      </c>
      <c r="H61" s="498">
        <v>0</v>
      </c>
      <c r="I61" s="498">
        <v>0</v>
      </c>
      <c r="J61" s="498">
        <v>0</v>
      </c>
      <c r="K61" s="498">
        <v>0</v>
      </c>
      <c r="L61" s="498">
        <v>0</v>
      </c>
      <c r="M61" s="498">
        <v>0</v>
      </c>
      <c r="N61" s="498">
        <v>0</v>
      </c>
      <c r="O61" s="498">
        <v>0</v>
      </c>
      <c r="P61" s="498">
        <v>0</v>
      </c>
      <c r="Q61" s="498">
        <v>0</v>
      </c>
      <c r="R61" s="498">
        <v>0</v>
      </c>
      <c r="S61" s="498">
        <v>0</v>
      </c>
      <c r="T61" s="498">
        <v>0</v>
      </c>
      <c r="U61" s="498">
        <v>0</v>
      </c>
      <c r="V61" s="498">
        <v>0</v>
      </c>
      <c r="W61" s="498">
        <v>0</v>
      </c>
      <c r="X61" s="498">
        <v>0</v>
      </c>
      <c r="Y61" s="498">
        <v>0</v>
      </c>
      <c r="Z61" s="498">
        <v>0</v>
      </c>
      <c r="AA61" s="498">
        <v>0</v>
      </c>
      <c r="AB61" s="498">
        <v>0</v>
      </c>
      <c r="AC61" s="498">
        <v>0</v>
      </c>
      <c r="AD61" s="498">
        <v>0</v>
      </c>
      <c r="AE61" s="498">
        <v>0</v>
      </c>
      <c r="AF61" s="454"/>
      <c r="AG61" s="712"/>
    </row>
    <row r="62" spans="1:33" ht="21" x14ac:dyDescent="0.35">
      <c r="A62" s="1089" t="s">
        <v>348</v>
      </c>
      <c r="B62" s="1089"/>
      <c r="C62" s="1089"/>
      <c r="D62" s="1089"/>
      <c r="E62" s="1089"/>
      <c r="F62" s="1089"/>
      <c r="G62" s="1089"/>
      <c r="H62" s="1089"/>
      <c r="I62" s="1089"/>
      <c r="J62" s="1089"/>
      <c r="K62" s="1089"/>
      <c r="L62" s="1089"/>
      <c r="M62" s="1089"/>
      <c r="N62" s="1089"/>
      <c r="O62" s="1089"/>
      <c r="P62" s="1089"/>
      <c r="Q62" s="1089"/>
      <c r="R62" s="1089"/>
      <c r="S62" s="1089"/>
      <c r="T62" s="1089"/>
      <c r="U62" s="1089"/>
      <c r="V62" s="1089"/>
      <c r="W62" s="1089"/>
      <c r="X62" s="1089"/>
      <c r="Y62" s="1089"/>
      <c r="Z62" s="1089"/>
      <c r="AA62" s="1089"/>
      <c r="AB62" s="1089"/>
      <c r="AC62" s="1089"/>
      <c r="AD62" s="1089"/>
      <c r="AE62" s="1089"/>
      <c r="AF62" s="473"/>
      <c r="AG62" s="712"/>
    </row>
    <row r="63" spans="1:33" s="451" customFormat="1" ht="21" x14ac:dyDescent="0.35">
      <c r="A63" s="448" t="s">
        <v>31</v>
      </c>
      <c r="B63" s="449">
        <f>B64+B65</f>
        <v>8831.2000000000007</v>
      </c>
      <c r="C63" s="449">
        <f>C64+C65</f>
        <v>8738.1</v>
      </c>
      <c r="D63" s="449">
        <f>D64+D65</f>
        <v>8240.8760000000002</v>
      </c>
      <c r="E63" s="449">
        <f>E64+E65</f>
        <v>8240.8760000000002</v>
      </c>
      <c r="F63" s="449">
        <f>IFERROR(E63/B63*100,0)</f>
        <v>93.315472415979713</v>
      </c>
      <c r="G63" s="449">
        <f>IFERROR(E63/C63*100,0)</f>
        <v>94.309701193623326</v>
      </c>
      <c r="H63" s="497">
        <f>H64+H65</f>
        <v>0</v>
      </c>
      <c r="I63" s="497">
        <f t="shared" ref="I63:AE63" si="29">I64+I65</f>
        <v>0</v>
      </c>
      <c r="J63" s="497">
        <f t="shared" si="29"/>
        <v>0</v>
      </c>
      <c r="K63" s="497">
        <f t="shared" si="29"/>
        <v>0</v>
      </c>
      <c r="L63" s="497">
        <f t="shared" si="29"/>
        <v>0</v>
      </c>
      <c r="M63" s="497">
        <f t="shared" si="29"/>
        <v>0</v>
      </c>
      <c r="N63" s="497">
        <f t="shared" si="29"/>
        <v>0</v>
      </c>
      <c r="O63" s="497">
        <f t="shared" si="29"/>
        <v>0</v>
      </c>
      <c r="P63" s="497">
        <f t="shared" si="29"/>
        <v>0</v>
      </c>
      <c r="Q63" s="497">
        <f t="shared" si="29"/>
        <v>0</v>
      </c>
      <c r="R63" s="497">
        <f t="shared" si="29"/>
        <v>8738.1</v>
      </c>
      <c r="S63" s="497">
        <f t="shared" si="29"/>
        <v>6040.8760000000002</v>
      </c>
      <c r="T63" s="497">
        <f t="shared" si="29"/>
        <v>0</v>
      </c>
      <c r="U63" s="497">
        <f t="shared" si="29"/>
        <v>2200</v>
      </c>
      <c r="V63" s="497">
        <f t="shared" si="29"/>
        <v>0</v>
      </c>
      <c r="W63" s="497">
        <f t="shared" si="29"/>
        <v>0</v>
      </c>
      <c r="X63" s="497">
        <f t="shared" si="29"/>
        <v>93.1</v>
      </c>
      <c r="Y63" s="497">
        <f t="shared" si="29"/>
        <v>0</v>
      </c>
      <c r="Z63" s="497">
        <f t="shared" si="29"/>
        <v>0</v>
      </c>
      <c r="AA63" s="497">
        <f t="shared" si="29"/>
        <v>0</v>
      </c>
      <c r="AB63" s="497">
        <f t="shared" si="29"/>
        <v>0</v>
      </c>
      <c r="AC63" s="497">
        <f t="shared" si="29"/>
        <v>0</v>
      </c>
      <c r="AD63" s="497">
        <f t="shared" si="29"/>
        <v>0</v>
      </c>
      <c r="AE63" s="497">
        <f t="shared" si="29"/>
        <v>0</v>
      </c>
      <c r="AF63" s="470"/>
      <c r="AG63" s="712"/>
    </row>
    <row r="64" spans="1:33" ht="21" x14ac:dyDescent="0.35">
      <c r="A64" s="452" t="s">
        <v>32</v>
      </c>
      <c r="B64" s="463">
        <f>B74+B79+B84+B89+B94+B99+B104+B109+B114+B119+B124</f>
        <v>3972.6</v>
      </c>
      <c r="C64" s="500">
        <f t="shared" ref="C64:Q65" si="30">C74+C79+C84+C89+C94+C99+C104+C109+C114+C119+C124</f>
        <v>3972.6</v>
      </c>
      <c r="D64" s="500">
        <f t="shared" si="30"/>
        <v>3891.2799999999997</v>
      </c>
      <c r="E64" s="500">
        <f t="shared" si="30"/>
        <v>3891.2799999999997</v>
      </c>
      <c r="F64" s="463">
        <f>IFERROR(E64/B64*100,0)</f>
        <v>97.95297789860544</v>
      </c>
      <c r="G64" s="463">
        <f>IFERROR(E64/C64*100,0)</f>
        <v>97.95297789860544</v>
      </c>
      <c r="H64" s="500">
        <f t="shared" si="30"/>
        <v>0</v>
      </c>
      <c r="I64" s="500">
        <f t="shared" si="30"/>
        <v>0</v>
      </c>
      <c r="J64" s="500">
        <f t="shared" si="30"/>
        <v>0</v>
      </c>
      <c r="K64" s="500">
        <f t="shared" si="30"/>
        <v>0</v>
      </c>
      <c r="L64" s="500">
        <f t="shared" si="30"/>
        <v>0</v>
      </c>
      <c r="M64" s="500">
        <f t="shared" si="30"/>
        <v>0</v>
      </c>
      <c r="N64" s="500">
        <f t="shared" si="30"/>
        <v>0</v>
      </c>
      <c r="O64" s="500">
        <f t="shared" si="30"/>
        <v>0</v>
      </c>
      <c r="P64" s="500">
        <f t="shared" si="30"/>
        <v>0</v>
      </c>
      <c r="Q64" s="500">
        <f t="shared" si="30"/>
        <v>0</v>
      </c>
      <c r="R64" s="500">
        <f t="shared" ref="R64:AE65" si="31">R74+R79+R84+R89+R94+R99+R104+R109+R114+R119+R124</f>
        <v>3972.6</v>
      </c>
      <c r="S64" s="500">
        <f t="shared" si="31"/>
        <v>3891.2799999999997</v>
      </c>
      <c r="T64" s="500">
        <f t="shared" si="31"/>
        <v>0</v>
      </c>
      <c r="U64" s="500">
        <f t="shared" si="31"/>
        <v>0</v>
      </c>
      <c r="V64" s="500">
        <f t="shared" si="31"/>
        <v>0</v>
      </c>
      <c r="W64" s="500">
        <f t="shared" si="31"/>
        <v>0</v>
      </c>
      <c r="X64" s="500">
        <f t="shared" si="31"/>
        <v>0</v>
      </c>
      <c r="Y64" s="500">
        <f t="shared" si="31"/>
        <v>0</v>
      </c>
      <c r="Z64" s="500">
        <f t="shared" si="31"/>
        <v>0</v>
      </c>
      <c r="AA64" s="500">
        <f t="shared" si="31"/>
        <v>0</v>
      </c>
      <c r="AB64" s="500">
        <f t="shared" si="31"/>
        <v>0</v>
      </c>
      <c r="AC64" s="500">
        <f t="shared" si="31"/>
        <v>0</v>
      </c>
      <c r="AD64" s="500">
        <f t="shared" si="31"/>
        <v>0</v>
      </c>
      <c r="AE64" s="500">
        <f t="shared" si="31"/>
        <v>0</v>
      </c>
      <c r="AF64" s="454"/>
      <c r="AG64" s="712"/>
    </row>
    <row r="65" spans="1:33" ht="21" x14ac:dyDescent="0.35">
      <c r="A65" s="452" t="s">
        <v>33</v>
      </c>
      <c r="B65" s="463">
        <f>B75+B80+B85+B90+B95+B100+B105+B110+B115+B120+B125</f>
        <v>4858.6000000000004</v>
      </c>
      <c r="C65" s="500">
        <f t="shared" si="30"/>
        <v>4765.5</v>
      </c>
      <c r="D65" s="500">
        <f t="shared" si="30"/>
        <v>4349.5960000000005</v>
      </c>
      <c r="E65" s="500">
        <f t="shared" si="30"/>
        <v>4349.5960000000005</v>
      </c>
      <c r="F65" s="463">
        <f>IFERROR(E65/B65*100,0)</f>
        <v>89.523648787716624</v>
      </c>
      <c r="G65" s="463">
        <f>IFERROR(E65/C65*100,0)</f>
        <v>91.272605183086768</v>
      </c>
      <c r="H65" s="500">
        <f t="shared" si="30"/>
        <v>0</v>
      </c>
      <c r="I65" s="500">
        <f t="shared" si="30"/>
        <v>0</v>
      </c>
      <c r="J65" s="500">
        <f t="shared" si="30"/>
        <v>0</v>
      </c>
      <c r="K65" s="500">
        <f t="shared" si="30"/>
        <v>0</v>
      </c>
      <c r="L65" s="500">
        <f t="shared" si="30"/>
        <v>0</v>
      </c>
      <c r="M65" s="500">
        <f t="shared" si="30"/>
        <v>0</v>
      </c>
      <c r="N65" s="500">
        <f t="shared" si="30"/>
        <v>0</v>
      </c>
      <c r="O65" s="500">
        <f t="shared" si="30"/>
        <v>0</v>
      </c>
      <c r="P65" s="500">
        <f t="shared" si="30"/>
        <v>0</v>
      </c>
      <c r="Q65" s="500">
        <f t="shared" si="30"/>
        <v>0</v>
      </c>
      <c r="R65" s="500">
        <f t="shared" si="31"/>
        <v>4765.5</v>
      </c>
      <c r="S65" s="500">
        <f t="shared" si="31"/>
        <v>2149.596</v>
      </c>
      <c r="T65" s="500">
        <f t="shared" si="31"/>
        <v>0</v>
      </c>
      <c r="U65" s="500">
        <f t="shared" si="31"/>
        <v>2200</v>
      </c>
      <c r="V65" s="500">
        <f t="shared" si="31"/>
        <v>0</v>
      </c>
      <c r="W65" s="500">
        <f t="shared" si="31"/>
        <v>0</v>
      </c>
      <c r="X65" s="500">
        <f t="shared" si="31"/>
        <v>93.1</v>
      </c>
      <c r="Y65" s="500">
        <f t="shared" si="31"/>
        <v>0</v>
      </c>
      <c r="Z65" s="500">
        <f t="shared" si="31"/>
        <v>0</v>
      </c>
      <c r="AA65" s="500">
        <f t="shared" si="31"/>
        <v>0</v>
      </c>
      <c r="AB65" s="500">
        <f t="shared" si="31"/>
        <v>0</v>
      </c>
      <c r="AC65" s="500">
        <f t="shared" si="31"/>
        <v>0</v>
      </c>
      <c r="AD65" s="500">
        <f t="shared" si="31"/>
        <v>0</v>
      </c>
      <c r="AE65" s="500">
        <f t="shared" si="31"/>
        <v>0</v>
      </c>
      <c r="AF65" s="454"/>
      <c r="AG65" s="712"/>
    </row>
    <row r="66" spans="1:33" ht="37.5" x14ac:dyDescent="0.35">
      <c r="A66" s="471" t="s">
        <v>174</v>
      </c>
      <c r="B66" s="463">
        <f>B76+B81+B86+B91+B96+B101+B106+B111+B116+B121+B126</f>
        <v>209.1</v>
      </c>
      <c r="C66" s="500">
        <f t="shared" ref="C66:AE66" si="32">C76+C81+C86+C91+C96+C101+C106+C111+C116+C121+C126</f>
        <v>209.1</v>
      </c>
      <c r="D66" s="500">
        <f t="shared" si="32"/>
        <v>204.82</v>
      </c>
      <c r="E66" s="500">
        <f t="shared" si="32"/>
        <v>204.82</v>
      </c>
      <c r="F66" s="463">
        <f>IFERROR(E66/B66*100,0)</f>
        <v>97.953132472501196</v>
      </c>
      <c r="G66" s="463">
        <f>IFERROR(E66/C66*100,0)</f>
        <v>97.953132472501196</v>
      </c>
      <c r="H66" s="500">
        <f t="shared" si="32"/>
        <v>0</v>
      </c>
      <c r="I66" s="500">
        <f t="shared" si="32"/>
        <v>0</v>
      </c>
      <c r="J66" s="500">
        <f t="shared" si="32"/>
        <v>0</v>
      </c>
      <c r="K66" s="500">
        <f t="shared" si="32"/>
        <v>0</v>
      </c>
      <c r="L66" s="500">
        <f t="shared" si="32"/>
        <v>0</v>
      </c>
      <c r="M66" s="500">
        <f t="shared" si="32"/>
        <v>0</v>
      </c>
      <c r="N66" s="500">
        <f t="shared" si="32"/>
        <v>0</v>
      </c>
      <c r="O66" s="500">
        <f t="shared" si="32"/>
        <v>0</v>
      </c>
      <c r="P66" s="500">
        <f t="shared" si="32"/>
        <v>0</v>
      </c>
      <c r="Q66" s="500">
        <f t="shared" si="32"/>
        <v>0</v>
      </c>
      <c r="R66" s="500">
        <f t="shared" si="32"/>
        <v>209.1</v>
      </c>
      <c r="S66" s="500">
        <f t="shared" si="32"/>
        <v>204.82</v>
      </c>
      <c r="T66" s="500">
        <f t="shared" si="32"/>
        <v>0</v>
      </c>
      <c r="U66" s="500">
        <f t="shared" si="32"/>
        <v>0</v>
      </c>
      <c r="V66" s="500">
        <f t="shared" si="32"/>
        <v>0</v>
      </c>
      <c r="W66" s="500">
        <f t="shared" si="32"/>
        <v>0</v>
      </c>
      <c r="X66" s="500">
        <f t="shared" si="32"/>
        <v>0</v>
      </c>
      <c r="Y66" s="500">
        <f t="shared" si="32"/>
        <v>0</v>
      </c>
      <c r="Z66" s="500">
        <f t="shared" si="32"/>
        <v>0</v>
      </c>
      <c r="AA66" s="500">
        <f t="shared" si="32"/>
        <v>0</v>
      </c>
      <c r="AB66" s="500">
        <f t="shared" si="32"/>
        <v>0</v>
      </c>
      <c r="AC66" s="500">
        <f t="shared" si="32"/>
        <v>0</v>
      </c>
      <c r="AD66" s="500">
        <f t="shared" si="32"/>
        <v>0</v>
      </c>
      <c r="AE66" s="500">
        <f t="shared" si="32"/>
        <v>0</v>
      </c>
      <c r="AF66" s="454"/>
      <c r="AG66" s="712"/>
    </row>
    <row r="67" spans="1:33" ht="21" x14ac:dyDescent="0.35">
      <c r="A67" s="1088" t="s">
        <v>349</v>
      </c>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7"/>
      <c r="AF67" s="454"/>
      <c r="AG67" s="712"/>
    </row>
    <row r="68" spans="1:33" s="451" customFormat="1" ht="21" x14ac:dyDescent="0.35">
      <c r="A68" s="448" t="s">
        <v>31</v>
      </c>
      <c r="B68" s="449">
        <f>B69+B70</f>
        <v>8831.2000000000007</v>
      </c>
      <c r="C68" s="449">
        <f>C69+C70</f>
        <v>8738.1</v>
      </c>
      <c r="D68" s="449">
        <f>D69+D70</f>
        <v>8240.8760000000002</v>
      </c>
      <c r="E68" s="449">
        <f>E69+E70</f>
        <v>8240.8760000000002</v>
      </c>
      <c r="F68" s="449">
        <f>IFERROR(E68/B68*100,0)</f>
        <v>93.315472415979713</v>
      </c>
      <c r="G68" s="449">
        <f>IFERROR(E68/C68*100,0)</f>
        <v>94.309701193623326</v>
      </c>
      <c r="H68" s="497">
        <f>H69+H70</f>
        <v>0</v>
      </c>
      <c r="I68" s="497">
        <f t="shared" ref="I68:AE68" si="33">I69+I70</f>
        <v>0</v>
      </c>
      <c r="J68" s="497">
        <f t="shared" si="33"/>
        <v>0</v>
      </c>
      <c r="K68" s="497">
        <f t="shared" si="33"/>
        <v>0</v>
      </c>
      <c r="L68" s="497">
        <f t="shared" si="33"/>
        <v>0</v>
      </c>
      <c r="M68" s="497">
        <f t="shared" si="33"/>
        <v>0</v>
      </c>
      <c r="N68" s="497">
        <f t="shared" si="33"/>
        <v>0</v>
      </c>
      <c r="O68" s="497">
        <f t="shared" si="33"/>
        <v>0</v>
      </c>
      <c r="P68" s="497">
        <f t="shared" si="33"/>
        <v>0</v>
      </c>
      <c r="Q68" s="497">
        <f t="shared" si="33"/>
        <v>0</v>
      </c>
      <c r="R68" s="497">
        <f t="shared" si="33"/>
        <v>8738.1</v>
      </c>
      <c r="S68" s="497">
        <f t="shared" si="33"/>
        <v>6040.8760000000002</v>
      </c>
      <c r="T68" s="497">
        <f t="shared" si="33"/>
        <v>0</v>
      </c>
      <c r="U68" s="497">
        <f t="shared" si="33"/>
        <v>2200</v>
      </c>
      <c r="V68" s="497">
        <f t="shared" si="33"/>
        <v>0</v>
      </c>
      <c r="W68" s="497">
        <f t="shared" si="33"/>
        <v>0</v>
      </c>
      <c r="X68" s="497">
        <f t="shared" si="33"/>
        <v>93.1</v>
      </c>
      <c r="Y68" s="497">
        <f t="shared" si="33"/>
        <v>0</v>
      </c>
      <c r="Z68" s="497">
        <f t="shared" si="33"/>
        <v>0</v>
      </c>
      <c r="AA68" s="497">
        <f t="shared" si="33"/>
        <v>0</v>
      </c>
      <c r="AB68" s="497">
        <f t="shared" si="33"/>
        <v>0</v>
      </c>
      <c r="AC68" s="497">
        <f t="shared" si="33"/>
        <v>0</v>
      </c>
      <c r="AD68" s="497">
        <f t="shared" si="33"/>
        <v>0</v>
      </c>
      <c r="AE68" s="497">
        <f t="shared" si="33"/>
        <v>0</v>
      </c>
      <c r="AF68" s="455"/>
      <c r="AG68" s="712"/>
    </row>
    <row r="69" spans="1:33" ht="21" x14ac:dyDescent="0.35">
      <c r="A69" s="452" t="s">
        <v>32</v>
      </c>
      <c r="B69" s="453">
        <f>SUM(H69,J69,L69,N69,P69,R69,T69,V69,X69,Z69,AB69,AD69)</f>
        <v>3972.6</v>
      </c>
      <c r="C69" s="453">
        <f>H69+J69+L69+N69+P69+R69+T69</f>
        <v>3972.6</v>
      </c>
      <c r="D69" s="453">
        <f>E69</f>
        <v>3891.2799999999997</v>
      </c>
      <c r="E69" s="453">
        <f>SUM(I69,K69,M69,O69,Q69,S69,U69,W69,Y69,AA69,AC69,AE69)</f>
        <v>3891.2799999999997</v>
      </c>
      <c r="F69" s="453">
        <f>IFERROR(E69/B69*100,0)</f>
        <v>97.95297789860544</v>
      </c>
      <c r="G69" s="453">
        <f>IFERROR(E69/C69*100,0)</f>
        <v>97.95297789860544</v>
      </c>
      <c r="H69" s="498">
        <f>H74+H79+H84+H89+H94+H99+H104+H109+H114+H119+H124</f>
        <v>0</v>
      </c>
      <c r="I69" s="498">
        <f t="shared" ref="I69:AE71" si="34">I74+I79+I84+I89+I94+I99+I104+I109+I114+I119+I124</f>
        <v>0</v>
      </c>
      <c r="J69" s="498">
        <f t="shared" si="34"/>
        <v>0</v>
      </c>
      <c r="K69" s="498">
        <f t="shared" si="34"/>
        <v>0</v>
      </c>
      <c r="L69" s="498">
        <f t="shared" si="34"/>
        <v>0</v>
      </c>
      <c r="M69" s="498">
        <f t="shared" si="34"/>
        <v>0</v>
      </c>
      <c r="N69" s="498">
        <f t="shared" si="34"/>
        <v>0</v>
      </c>
      <c r="O69" s="498">
        <f t="shared" si="34"/>
        <v>0</v>
      </c>
      <c r="P69" s="498">
        <f t="shared" si="34"/>
        <v>0</v>
      </c>
      <c r="Q69" s="498">
        <f t="shared" si="34"/>
        <v>0</v>
      </c>
      <c r="R69" s="498">
        <f t="shared" si="34"/>
        <v>3972.6</v>
      </c>
      <c r="S69" s="498">
        <f t="shared" si="34"/>
        <v>3891.2799999999997</v>
      </c>
      <c r="T69" s="498">
        <f t="shared" si="34"/>
        <v>0</v>
      </c>
      <c r="U69" s="498">
        <f t="shared" si="34"/>
        <v>0</v>
      </c>
      <c r="V69" s="498">
        <f t="shared" si="34"/>
        <v>0</v>
      </c>
      <c r="W69" s="498">
        <f t="shared" si="34"/>
        <v>0</v>
      </c>
      <c r="X69" s="498">
        <f t="shared" si="34"/>
        <v>0</v>
      </c>
      <c r="Y69" s="498">
        <f t="shared" si="34"/>
        <v>0</v>
      </c>
      <c r="Z69" s="498">
        <f t="shared" si="34"/>
        <v>0</v>
      </c>
      <c r="AA69" s="498">
        <f t="shared" si="34"/>
        <v>0</v>
      </c>
      <c r="AB69" s="498">
        <f t="shared" si="34"/>
        <v>0</v>
      </c>
      <c r="AC69" s="498">
        <f t="shared" si="34"/>
        <v>0</v>
      </c>
      <c r="AD69" s="498">
        <f t="shared" si="34"/>
        <v>0</v>
      </c>
      <c r="AE69" s="498">
        <f t="shared" si="34"/>
        <v>0</v>
      </c>
      <c r="AF69" s="454"/>
      <c r="AG69" s="712"/>
    </row>
    <row r="70" spans="1:33" ht="21" x14ac:dyDescent="0.35">
      <c r="A70" s="452" t="s">
        <v>33</v>
      </c>
      <c r="B70" s="453">
        <f>SUM(H70,J70,L70,N70,P70,R70,T70,V70,X70,Z70,AB70,AD70)</f>
        <v>4858.6000000000004</v>
      </c>
      <c r="C70" s="453">
        <f t="shared" ref="C70:C71" si="35">H70+J70+L70+N70+P70+R70+T70</f>
        <v>4765.5</v>
      </c>
      <c r="D70" s="453">
        <f>E70</f>
        <v>4349.5959999999995</v>
      </c>
      <c r="E70" s="453">
        <f>SUM(I70,K70,M70,O70,Q70,S70,U70,W70,Y70,AA70,AC70,AE70)</f>
        <v>4349.5959999999995</v>
      </c>
      <c r="F70" s="453">
        <f>IFERROR(E70/B70*100,0)</f>
        <v>89.52364878771661</v>
      </c>
      <c r="G70" s="453">
        <f>IFERROR(E70/C70*100,0)</f>
        <v>91.272605183086768</v>
      </c>
      <c r="H70" s="498">
        <f t="shared" ref="H70:W71" si="36">H75+H80+H85+H90+H95+H100+H105+H110+H115+H120+H125</f>
        <v>0</v>
      </c>
      <c r="I70" s="498">
        <f t="shared" si="36"/>
        <v>0</v>
      </c>
      <c r="J70" s="498">
        <f t="shared" si="36"/>
        <v>0</v>
      </c>
      <c r="K70" s="498">
        <f t="shared" si="36"/>
        <v>0</v>
      </c>
      <c r="L70" s="498">
        <f t="shared" si="36"/>
        <v>0</v>
      </c>
      <c r="M70" s="498">
        <f t="shared" si="36"/>
        <v>0</v>
      </c>
      <c r="N70" s="498">
        <f t="shared" si="36"/>
        <v>0</v>
      </c>
      <c r="O70" s="498">
        <f t="shared" si="36"/>
        <v>0</v>
      </c>
      <c r="P70" s="498">
        <f t="shared" si="36"/>
        <v>0</v>
      </c>
      <c r="Q70" s="498">
        <f t="shared" si="36"/>
        <v>0</v>
      </c>
      <c r="R70" s="498">
        <f t="shared" si="36"/>
        <v>4765.5</v>
      </c>
      <c r="S70" s="498">
        <f t="shared" si="36"/>
        <v>2149.596</v>
      </c>
      <c r="T70" s="498">
        <f t="shared" si="36"/>
        <v>0</v>
      </c>
      <c r="U70" s="498">
        <f t="shared" si="36"/>
        <v>2200</v>
      </c>
      <c r="V70" s="498">
        <f t="shared" si="36"/>
        <v>0</v>
      </c>
      <c r="W70" s="498">
        <f t="shared" si="36"/>
        <v>0</v>
      </c>
      <c r="X70" s="498">
        <f t="shared" si="34"/>
        <v>93.1</v>
      </c>
      <c r="Y70" s="498">
        <f t="shared" si="34"/>
        <v>0</v>
      </c>
      <c r="Z70" s="498">
        <f t="shared" si="34"/>
        <v>0</v>
      </c>
      <c r="AA70" s="498">
        <f t="shared" si="34"/>
        <v>0</v>
      </c>
      <c r="AB70" s="498">
        <f t="shared" si="34"/>
        <v>0</v>
      </c>
      <c r="AC70" s="498">
        <f t="shared" si="34"/>
        <v>0</v>
      </c>
      <c r="AD70" s="498">
        <f t="shared" si="34"/>
        <v>0</v>
      </c>
      <c r="AE70" s="498">
        <f t="shared" si="34"/>
        <v>0</v>
      </c>
      <c r="AF70" s="454"/>
      <c r="AG70" s="712"/>
    </row>
    <row r="71" spans="1:33" ht="37.5" x14ac:dyDescent="0.35">
      <c r="A71" s="471" t="s">
        <v>174</v>
      </c>
      <c r="B71" s="453">
        <f>SUM(H71,J71,L71,N71,P71,R71,T71,V71,X71,Z71,AB71,AD71)</f>
        <v>209.1</v>
      </c>
      <c r="C71" s="453">
        <f t="shared" si="35"/>
        <v>209.1</v>
      </c>
      <c r="D71" s="453">
        <f>E71</f>
        <v>204.82</v>
      </c>
      <c r="E71" s="453">
        <f>SUM(I71,K71,M71,O71,Q71,S71,U71,W71,Y71,AA71,AC71,AE71)</f>
        <v>204.82</v>
      </c>
      <c r="F71" s="453">
        <f>IFERROR(E71/B71*100,0)</f>
        <v>97.953132472501196</v>
      </c>
      <c r="G71" s="453">
        <f>IFERROR(E71/C71*100,0)</f>
        <v>97.953132472501196</v>
      </c>
      <c r="H71" s="498">
        <f t="shared" si="36"/>
        <v>0</v>
      </c>
      <c r="I71" s="498">
        <f t="shared" si="36"/>
        <v>0</v>
      </c>
      <c r="J71" s="498">
        <f t="shared" si="36"/>
        <v>0</v>
      </c>
      <c r="K71" s="498">
        <f t="shared" si="36"/>
        <v>0</v>
      </c>
      <c r="L71" s="498">
        <f t="shared" si="36"/>
        <v>0</v>
      </c>
      <c r="M71" s="498">
        <f t="shared" si="36"/>
        <v>0</v>
      </c>
      <c r="N71" s="498">
        <f t="shared" si="36"/>
        <v>0</v>
      </c>
      <c r="O71" s="498">
        <f t="shared" si="36"/>
        <v>0</v>
      </c>
      <c r="P71" s="498">
        <f t="shared" si="36"/>
        <v>0</v>
      </c>
      <c r="Q71" s="498">
        <f t="shared" si="36"/>
        <v>0</v>
      </c>
      <c r="R71" s="498">
        <f t="shared" si="36"/>
        <v>209.1</v>
      </c>
      <c r="S71" s="498">
        <f t="shared" si="36"/>
        <v>204.82</v>
      </c>
      <c r="T71" s="498">
        <f t="shared" si="36"/>
        <v>0</v>
      </c>
      <c r="U71" s="498">
        <f t="shared" si="36"/>
        <v>0</v>
      </c>
      <c r="V71" s="498">
        <f t="shared" si="36"/>
        <v>0</v>
      </c>
      <c r="W71" s="498">
        <f t="shared" si="36"/>
        <v>0</v>
      </c>
      <c r="X71" s="498">
        <f t="shared" si="34"/>
        <v>0</v>
      </c>
      <c r="Y71" s="498">
        <f t="shared" si="34"/>
        <v>0</v>
      </c>
      <c r="Z71" s="498">
        <f t="shared" si="34"/>
        <v>0</v>
      </c>
      <c r="AA71" s="498">
        <f t="shared" si="34"/>
        <v>0</v>
      </c>
      <c r="AB71" s="498">
        <f t="shared" si="34"/>
        <v>0</v>
      </c>
      <c r="AC71" s="498">
        <f t="shared" si="34"/>
        <v>0</v>
      </c>
      <c r="AD71" s="498">
        <f t="shared" si="34"/>
        <v>0</v>
      </c>
      <c r="AE71" s="498">
        <f t="shared" si="34"/>
        <v>0</v>
      </c>
      <c r="AF71" s="454"/>
      <c r="AG71" s="712"/>
    </row>
    <row r="72" spans="1:33" ht="21" x14ac:dyDescent="0.35">
      <c r="A72" s="1088" t="s">
        <v>350</v>
      </c>
      <c r="B72" s="1086"/>
      <c r="C72" s="1086"/>
      <c r="D72" s="1086"/>
      <c r="E72" s="1086"/>
      <c r="F72" s="1086"/>
      <c r="G72" s="1086"/>
      <c r="H72" s="1086"/>
      <c r="I72" s="1086"/>
      <c r="J72" s="1086"/>
      <c r="K72" s="1086"/>
      <c r="L72" s="1086"/>
      <c r="M72" s="1086"/>
      <c r="N72" s="1086"/>
      <c r="O72" s="1086"/>
      <c r="P72" s="1086"/>
      <c r="Q72" s="1086"/>
      <c r="R72" s="1086"/>
      <c r="S72" s="1086"/>
      <c r="T72" s="1086"/>
      <c r="U72" s="1086"/>
      <c r="V72" s="1086"/>
      <c r="W72" s="1086"/>
      <c r="X72" s="1086"/>
      <c r="Y72" s="1086"/>
      <c r="Z72" s="1086"/>
      <c r="AA72" s="1086"/>
      <c r="AB72" s="1086"/>
      <c r="AC72" s="1086"/>
      <c r="AD72" s="1086"/>
      <c r="AE72" s="1087"/>
      <c r="AF72" s="454"/>
      <c r="AG72" s="712"/>
    </row>
    <row r="73" spans="1:33" s="451" customFormat="1" ht="65.25" customHeight="1" x14ac:dyDescent="0.35">
      <c r="A73" s="448" t="s">
        <v>31</v>
      </c>
      <c r="B73" s="449">
        <f>B74+B75</f>
        <v>1684.22</v>
      </c>
      <c r="C73" s="449">
        <f>C74+C75</f>
        <v>1684.22</v>
      </c>
      <c r="D73" s="449">
        <f>D74+D75</f>
        <v>1684.22</v>
      </c>
      <c r="E73" s="449">
        <f>E74+E75</f>
        <v>1684.22</v>
      </c>
      <c r="F73" s="449">
        <f>IFERROR(E73/B73*100,0)</f>
        <v>100</v>
      </c>
      <c r="G73" s="449">
        <f>IFERROR(E73/C73*100,0)</f>
        <v>100</v>
      </c>
      <c r="H73" s="497">
        <f>H74+H75</f>
        <v>0</v>
      </c>
      <c r="I73" s="497">
        <f t="shared" ref="I73:AE73" si="37">I74+I75</f>
        <v>0</v>
      </c>
      <c r="J73" s="497">
        <f t="shared" si="37"/>
        <v>0</v>
      </c>
      <c r="K73" s="497">
        <f t="shared" si="37"/>
        <v>0</v>
      </c>
      <c r="L73" s="497">
        <f t="shared" si="37"/>
        <v>0</v>
      </c>
      <c r="M73" s="497">
        <f t="shared" si="37"/>
        <v>0</v>
      </c>
      <c r="N73" s="497">
        <f t="shared" si="37"/>
        <v>0</v>
      </c>
      <c r="O73" s="497">
        <f t="shared" si="37"/>
        <v>0</v>
      </c>
      <c r="P73" s="497">
        <f t="shared" si="37"/>
        <v>0</v>
      </c>
      <c r="Q73" s="497">
        <f t="shared" si="37"/>
        <v>0</v>
      </c>
      <c r="R73" s="497">
        <f t="shared" si="37"/>
        <v>1684.22</v>
      </c>
      <c r="S73" s="497">
        <f t="shared" si="37"/>
        <v>1684.22</v>
      </c>
      <c r="T73" s="497">
        <f t="shared" si="37"/>
        <v>0</v>
      </c>
      <c r="U73" s="497">
        <f t="shared" si="37"/>
        <v>0</v>
      </c>
      <c r="V73" s="497">
        <f t="shared" si="37"/>
        <v>0</v>
      </c>
      <c r="W73" s="497">
        <f t="shared" si="37"/>
        <v>0</v>
      </c>
      <c r="X73" s="497">
        <f t="shared" si="37"/>
        <v>0</v>
      </c>
      <c r="Y73" s="497">
        <f t="shared" si="37"/>
        <v>0</v>
      </c>
      <c r="Z73" s="497">
        <f t="shared" si="37"/>
        <v>0</v>
      </c>
      <c r="AA73" s="497">
        <f t="shared" si="37"/>
        <v>0</v>
      </c>
      <c r="AB73" s="497">
        <f t="shared" si="37"/>
        <v>0</v>
      </c>
      <c r="AC73" s="497">
        <f t="shared" si="37"/>
        <v>0</v>
      </c>
      <c r="AD73" s="497">
        <f t="shared" si="37"/>
        <v>0</v>
      </c>
      <c r="AE73" s="497">
        <f t="shared" si="37"/>
        <v>0</v>
      </c>
      <c r="AF73" s="454" t="s">
        <v>590</v>
      </c>
      <c r="AG73" s="712"/>
    </row>
    <row r="74" spans="1:33" ht="21" x14ac:dyDescent="0.35">
      <c r="A74" s="452" t="s">
        <v>32</v>
      </c>
      <c r="B74" s="598">
        <f>SUM(H74,J74,L74,N74,P74,R74,T74,V74,X74,Z74,AB74,AD74)</f>
        <v>1600</v>
      </c>
      <c r="C74" s="453">
        <f>H74+J74+L74+N74+P74+R74+T74</f>
        <v>1600</v>
      </c>
      <c r="D74" s="453">
        <f>E74</f>
        <v>1600</v>
      </c>
      <c r="E74" s="453">
        <f>SUM(I74,K74,M74,O74,Q74,S74,U74,W74,Y74,AA74,AC74,AE74)</f>
        <v>1600</v>
      </c>
      <c r="F74" s="453">
        <f>IFERROR(E74/B74*100,0)</f>
        <v>100</v>
      </c>
      <c r="G74" s="453">
        <f>IFERROR(E74/C74*100,0)</f>
        <v>100</v>
      </c>
      <c r="H74" s="498">
        <v>0</v>
      </c>
      <c r="I74" s="498">
        <v>0</v>
      </c>
      <c r="J74" s="498">
        <v>0</v>
      </c>
      <c r="K74" s="498">
        <v>0</v>
      </c>
      <c r="L74" s="498">
        <v>0</v>
      </c>
      <c r="M74" s="498">
        <v>0</v>
      </c>
      <c r="N74" s="498">
        <v>0</v>
      </c>
      <c r="O74" s="498">
        <v>0</v>
      </c>
      <c r="P74" s="498">
        <v>0</v>
      </c>
      <c r="Q74" s="498">
        <v>0</v>
      </c>
      <c r="R74" s="498">
        <v>1600</v>
      </c>
      <c r="S74" s="498">
        <v>1600</v>
      </c>
      <c r="T74" s="498">
        <v>0</v>
      </c>
      <c r="U74" s="498">
        <v>0</v>
      </c>
      <c r="V74" s="498">
        <v>0</v>
      </c>
      <c r="W74" s="498">
        <v>0</v>
      </c>
      <c r="X74" s="498">
        <v>0</v>
      </c>
      <c r="Y74" s="498">
        <v>0</v>
      </c>
      <c r="Z74" s="498">
        <v>0</v>
      </c>
      <c r="AA74" s="498">
        <v>0</v>
      </c>
      <c r="AB74" s="498">
        <v>0</v>
      </c>
      <c r="AC74" s="498">
        <v>0</v>
      </c>
      <c r="AD74" s="498">
        <v>0</v>
      </c>
      <c r="AE74" s="498">
        <v>0</v>
      </c>
      <c r="AF74" s="454"/>
      <c r="AG74" s="712"/>
    </row>
    <row r="75" spans="1:33" ht="21" x14ac:dyDescent="0.35">
      <c r="A75" s="452" t="s">
        <v>33</v>
      </c>
      <c r="B75" s="453">
        <f>SUM(H75,J75,L75,N75,P75,R75,T75,V75,X75,Z75,AB75,AD75)</f>
        <v>84.22</v>
      </c>
      <c r="C75" s="453">
        <f t="shared" ref="C75:C76" si="38">H75+J75+L75+N75+P75+R75+T75</f>
        <v>84.22</v>
      </c>
      <c r="D75" s="453">
        <f>E75</f>
        <v>84.22</v>
      </c>
      <c r="E75" s="453">
        <f>SUM(I75,K75,M75,O75,Q75,S75,U75,W75,Y75,AA75,AC75,AE75)</f>
        <v>84.22</v>
      </c>
      <c r="F75" s="453">
        <f>IFERROR(E75/B75*100,0)</f>
        <v>100</v>
      </c>
      <c r="G75" s="453">
        <f>IFERROR(E75/C75*100,0)</f>
        <v>100</v>
      </c>
      <c r="H75" s="498">
        <v>0</v>
      </c>
      <c r="I75" s="498">
        <v>0</v>
      </c>
      <c r="J75" s="498">
        <v>0</v>
      </c>
      <c r="K75" s="498">
        <v>0</v>
      </c>
      <c r="L75" s="498">
        <v>0</v>
      </c>
      <c r="M75" s="498">
        <v>0</v>
      </c>
      <c r="N75" s="498">
        <v>0</v>
      </c>
      <c r="O75" s="498">
        <v>0</v>
      </c>
      <c r="P75" s="498">
        <v>0</v>
      </c>
      <c r="Q75" s="498">
        <v>0</v>
      </c>
      <c r="R75" s="498">
        <v>84.22</v>
      </c>
      <c r="S75" s="498">
        <v>84.22</v>
      </c>
      <c r="T75" s="498">
        <v>0</v>
      </c>
      <c r="U75" s="498">
        <v>0</v>
      </c>
      <c r="V75" s="498">
        <v>0</v>
      </c>
      <c r="W75" s="498">
        <v>0</v>
      </c>
      <c r="X75" s="498">
        <v>0</v>
      </c>
      <c r="Y75" s="498">
        <v>0</v>
      </c>
      <c r="Z75" s="498">
        <v>0</v>
      </c>
      <c r="AA75" s="498">
        <v>0</v>
      </c>
      <c r="AB75" s="498">
        <v>0</v>
      </c>
      <c r="AC75" s="498">
        <v>0</v>
      </c>
      <c r="AD75" s="498">
        <v>0</v>
      </c>
      <c r="AE75" s="498">
        <v>0</v>
      </c>
      <c r="AF75" s="454"/>
      <c r="AG75" s="712"/>
    </row>
    <row r="76" spans="1:33" ht="37.5" x14ac:dyDescent="0.35">
      <c r="A76" s="471" t="s">
        <v>174</v>
      </c>
      <c r="B76" s="453">
        <f>SUM(H76,J76,L76,N76,P76,R76,T76,V76,X76,Z76,AB76,AD76)</f>
        <v>84.22</v>
      </c>
      <c r="C76" s="453">
        <f t="shared" si="38"/>
        <v>84.22</v>
      </c>
      <c r="D76" s="453">
        <f>E76</f>
        <v>84.22</v>
      </c>
      <c r="E76" s="453">
        <f>SUM(I76,K76,M76,O76,Q76,S76,U76,W76,Y76,AA76,AC76,AE76)</f>
        <v>84.22</v>
      </c>
      <c r="F76" s="453">
        <f>IFERROR(E76/B76*100,0)</f>
        <v>100</v>
      </c>
      <c r="G76" s="453">
        <f>IFERROR(E76/C76*100,0)</f>
        <v>100</v>
      </c>
      <c r="H76" s="498">
        <v>0</v>
      </c>
      <c r="I76" s="498">
        <v>0</v>
      </c>
      <c r="J76" s="498">
        <v>0</v>
      </c>
      <c r="K76" s="498">
        <v>0</v>
      </c>
      <c r="L76" s="498">
        <v>0</v>
      </c>
      <c r="M76" s="498">
        <v>0</v>
      </c>
      <c r="N76" s="498">
        <v>0</v>
      </c>
      <c r="O76" s="498">
        <v>0</v>
      </c>
      <c r="P76" s="498">
        <v>0</v>
      </c>
      <c r="Q76" s="498">
        <v>0</v>
      </c>
      <c r="R76" s="498">
        <v>84.22</v>
      </c>
      <c r="S76" s="498">
        <v>84.22</v>
      </c>
      <c r="T76" s="498">
        <v>0</v>
      </c>
      <c r="U76" s="498">
        <v>0</v>
      </c>
      <c r="V76" s="498">
        <v>0</v>
      </c>
      <c r="W76" s="498">
        <v>0</v>
      </c>
      <c r="X76" s="498">
        <v>0</v>
      </c>
      <c r="Y76" s="498">
        <v>0</v>
      </c>
      <c r="Z76" s="498">
        <v>0</v>
      </c>
      <c r="AA76" s="498">
        <v>0</v>
      </c>
      <c r="AB76" s="498">
        <v>0</v>
      </c>
      <c r="AC76" s="498">
        <v>0</v>
      </c>
      <c r="AD76" s="498">
        <v>0</v>
      </c>
      <c r="AE76" s="498">
        <v>0</v>
      </c>
      <c r="AF76" s="454"/>
      <c r="AG76" s="712"/>
    </row>
    <row r="77" spans="1:33" ht="21" x14ac:dyDescent="0.35">
      <c r="A77" s="1088" t="s">
        <v>351</v>
      </c>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7"/>
      <c r="AF77" s="454"/>
      <c r="AG77" s="712"/>
    </row>
    <row r="78" spans="1:33" s="451" customFormat="1" ht="60.75" customHeight="1" x14ac:dyDescent="0.35">
      <c r="A78" s="448" t="s">
        <v>31</v>
      </c>
      <c r="B78" s="449">
        <f>B79+B80</f>
        <v>1897.48</v>
      </c>
      <c r="C78" s="449">
        <f>C79+C80</f>
        <v>1897.48</v>
      </c>
      <c r="D78" s="449">
        <f>D79+D80</f>
        <v>1897.48</v>
      </c>
      <c r="E78" s="449">
        <f>E79+E80</f>
        <v>1897.48</v>
      </c>
      <c r="F78" s="449">
        <f>IFERROR(E78/B78*100,0)</f>
        <v>100</v>
      </c>
      <c r="G78" s="449">
        <f>IFERROR(E78/C78*100,0)</f>
        <v>100</v>
      </c>
      <c r="H78" s="497">
        <f>H79+H80</f>
        <v>0</v>
      </c>
      <c r="I78" s="497">
        <f t="shared" ref="I78:AE78" si="39">I79+I80</f>
        <v>0</v>
      </c>
      <c r="J78" s="497">
        <f t="shared" si="39"/>
        <v>0</v>
      </c>
      <c r="K78" s="497">
        <f t="shared" si="39"/>
        <v>0</v>
      </c>
      <c r="L78" s="497">
        <f t="shared" si="39"/>
        <v>0</v>
      </c>
      <c r="M78" s="497">
        <f t="shared" si="39"/>
        <v>0</v>
      </c>
      <c r="N78" s="497">
        <f t="shared" si="39"/>
        <v>0</v>
      </c>
      <c r="O78" s="497">
        <f t="shared" si="39"/>
        <v>0</v>
      </c>
      <c r="P78" s="497">
        <f t="shared" si="39"/>
        <v>0</v>
      </c>
      <c r="Q78" s="497">
        <f t="shared" si="39"/>
        <v>0</v>
      </c>
      <c r="R78" s="497">
        <f t="shared" si="39"/>
        <v>1897.48</v>
      </c>
      <c r="S78" s="497">
        <f t="shared" si="39"/>
        <v>1897.48</v>
      </c>
      <c r="T78" s="497">
        <f t="shared" si="39"/>
        <v>0</v>
      </c>
      <c r="U78" s="497">
        <f t="shared" si="39"/>
        <v>0</v>
      </c>
      <c r="V78" s="497">
        <f t="shared" si="39"/>
        <v>0</v>
      </c>
      <c r="W78" s="497">
        <f t="shared" si="39"/>
        <v>0</v>
      </c>
      <c r="X78" s="497">
        <f t="shared" si="39"/>
        <v>0</v>
      </c>
      <c r="Y78" s="497">
        <f t="shared" si="39"/>
        <v>0</v>
      </c>
      <c r="Z78" s="497">
        <f t="shared" si="39"/>
        <v>0</v>
      </c>
      <c r="AA78" s="497">
        <f t="shared" si="39"/>
        <v>0</v>
      </c>
      <c r="AB78" s="497">
        <f t="shared" si="39"/>
        <v>0</v>
      </c>
      <c r="AC78" s="497">
        <f t="shared" si="39"/>
        <v>0</v>
      </c>
      <c r="AD78" s="497">
        <f t="shared" si="39"/>
        <v>0</v>
      </c>
      <c r="AE78" s="497">
        <f t="shared" si="39"/>
        <v>0</v>
      </c>
      <c r="AF78" s="454" t="s">
        <v>591</v>
      </c>
      <c r="AG78" s="712"/>
    </row>
    <row r="79" spans="1:33" ht="21" x14ac:dyDescent="0.35">
      <c r="A79" s="452" t="s">
        <v>32</v>
      </c>
      <c r="B79" s="598">
        <f>SUM(H79,J79,L79,N79,P79,R79,T79,V79,X79,Z79,AB79,AD79)</f>
        <v>1802.6</v>
      </c>
      <c r="C79" s="453">
        <f>H79+J79+L79+N79+P79+R79</f>
        <v>1802.6</v>
      </c>
      <c r="D79" s="453">
        <f>E79</f>
        <v>1802.6</v>
      </c>
      <c r="E79" s="453">
        <f>SUM(I79,K79,M79,O79,Q79,S79,U79,W79,Y79,AA79,AC79,AE79)</f>
        <v>1802.6</v>
      </c>
      <c r="F79" s="453">
        <f>IFERROR(E79/B79*100,0)</f>
        <v>100</v>
      </c>
      <c r="G79" s="453">
        <f>IFERROR(E79/C79*100,0)</f>
        <v>100</v>
      </c>
      <c r="H79" s="498">
        <v>0</v>
      </c>
      <c r="I79" s="498">
        <v>0</v>
      </c>
      <c r="J79" s="498">
        <v>0</v>
      </c>
      <c r="K79" s="498">
        <v>0</v>
      </c>
      <c r="L79" s="498">
        <v>0</v>
      </c>
      <c r="M79" s="498">
        <v>0</v>
      </c>
      <c r="N79" s="498">
        <v>0</v>
      </c>
      <c r="O79" s="498">
        <v>0</v>
      </c>
      <c r="P79" s="498">
        <v>0</v>
      </c>
      <c r="Q79" s="498">
        <v>0</v>
      </c>
      <c r="R79" s="498">
        <v>1802.6</v>
      </c>
      <c r="S79" s="498">
        <v>1802.6</v>
      </c>
      <c r="T79" s="498">
        <v>0</v>
      </c>
      <c r="U79" s="498">
        <v>0</v>
      </c>
      <c r="V79" s="498">
        <v>0</v>
      </c>
      <c r="W79" s="498">
        <v>0</v>
      </c>
      <c r="X79" s="498">
        <v>0</v>
      </c>
      <c r="Y79" s="498">
        <v>0</v>
      </c>
      <c r="Z79" s="498">
        <v>0</v>
      </c>
      <c r="AA79" s="498">
        <v>0</v>
      </c>
      <c r="AB79" s="498">
        <v>0</v>
      </c>
      <c r="AC79" s="498">
        <v>0</v>
      </c>
      <c r="AD79" s="498">
        <v>0</v>
      </c>
      <c r="AE79" s="498">
        <v>0</v>
      </c>
      <c r="AF79" s="454"/>
      <c r="AG79" s="712"/>
    </row>
    <row r="80" spans="1:33" ht="21" x14ac:dyDescent="0.35">
      <c r="A80" s="452" t="s">
        <v>33</v>
      </c>
      <c r="B80" s="453">
        <f>SUM(H80,J80,L80,N80,P80,R80,T80,V80,X80,Z80,AB80,AD80)</f>
        <v>94.88</v>
      </c>
      <c r="C80" s="453">
        <f t="shared" ref="C80:C81" si="40">H80+J80+L80+N80+P80+R80</f>
        <v>94.88</v>
      </c>
      <c r="D80" s="453">
        <f>E80</f>
        <v>94.88</v>
      </c>
      <c r="E80" s="453">
        <f>SUM(I80,K80,M80,O80,Q80,S80,U80,W80,Y80,AA80,AC80,AE80)</f>
        <v>94.88</v>
      </c>
      <c r="F80" s="453">
        <f>IFERROR(E80/B80*100,0)</f>
        <v>100</v>
      </c>
      <c r="G80" s="453">
        <f>IFERROR(E80/C80*100,0)</f>
        <v>100</v>
      </c>
      <c r="H80" s="498">
        <v>0</v>
      </c>
      <c r="I80" s="498">
        <v>0</v>
      </c>
      <c r="J80" s="498">
        <v>0</v>
      </c>
      <c r="K80" s="498">
        <v>0</v>
      </c>
      <c r="L80" s="498">
        <v>0</v>
      </c>
      <c r="M80" s="498">
        <v>0</v>
      </c>
      <c r="N80" s="498">
        <v>0</v>
      </c>
      <c r="O80" s="498">
        <v>0</v>
      </c>
      <c r="P80" s="498">
        <v>0</v>
      </c>
      <c r="Q80" s="498">
        <v>0</v>
      </c>
      <c r="R80" s="498">
        <v>94.88</v>
      </c>
      <c r="S80" s="498">
        <v>94.88</v>
      </c>
      <c r="T80" s="498">
        <v>0</v>
      </c>
      <c r="U80" s="498">
        <v>0</v>
      </c>
      <c r="V80" s="498">
        <v>0</v>
      </c>
      <c r="W80" s="498">
        <v>0</v>
      </c>
      <c r="X80" s="498">
        <v>0</v>
      </c>
      <c r="Y80" s="498">
        <v>0</v>
      </c>
      <c r="Z80" s="498">
        <v>0</v>
      </c>
      <c r="AA80" s="498">
        <v>0</v>
      </c>
      <c r="AB80" s="498">
        <v>0</v>
      </c>
      <c r="AC80" s="498">
        <v>0</v>
      </c>
      <c r="AD80" s="498">
        <v>0</v>
      </c>
      <c r="AE80" s="498">
        <v>0</v>
      </c>
      <c r="AF80" s="454"/>
      <c r="AG80" s="712"/>
    </row>
    <row r="81" spans="1:33" ht="37.5" x14ac:dyDescent="0.35">
      <c r="A81" s="471" t="s">
        <v>174</v>
      </c>
      <c r="B81" s="453">
        <f>SUM(H81,J81,L81,N81,P81,R81,T81,V81,X81,Z81,AB81,AD81)</f>
        <v>94.88</v>
      </c>
      <c r="C81" s="453">
        <f t="shared" si="40"/>
        <v>94.88</v>
      </c>
      <c r="D81" s="453">
        <f>E81</f>
        <v>94.88</v>
      </c>
      <c r="E81" s="453">
        <f>SUM(I81,K81,M81,O81,Q81,S81,U81,W81,Y81,AA81,AC81,AE81)</f>
        <v>94.88</v>
      </c>
      <c r="F81" s="453">
        <f>IFERROR(E81/B81*100,0)</f>
        <v>100</v>
      </c>
      <c r="G81" s="453">
        <f>IFERROR(E81/C81*100,0)</f>
        <v>100</v>
      </c>
      <c r="H81" s="498">
        <v>0</v>
      </c>
      <c r="I81" s="498">
        <v>0</v>
      </c>
      <c r="J81" s="498">
        <v>0</v>
      </c>
      <c r="K81" s="498">
        <v>0</v>
      </c>
      <c r="L81" s="498">
        <v>0</v>
      </c>
      <c r="M81" s="498">
        <v>0</v>
      </c>
      <c r="N81" s="498">
        <v>0</v>
      </c>
      <c r="O81" s="498">
        <v>0</v>
      </c>
      <c r="P81" s="498">
        <v>0</v>
      </c>
      <c r="Q81" s="498">
        <v>0</v>
      </c>
      <c r="R81" s="498">
        <v>94.88</v>
      </c>
      <c r="S81" s="498">
        <v>94.88</v>
      </c>
      <c r="T81" s="498">
        <v>0</v>
      </c>
      <c r="U81" s="498">
        <v>0</v>
      </c>
      <c r="V81" s="498">
        <v>0</v>
      </c>
      <c r="W81" s="498">
        <v>0</v>
      </c>
      <c r="X81" s="498">
        <v>0</v>
      </c>
      <c r="Y81" s="498">
        <v>0</v>
      </c>
      <c r="Z81" s="498">
        <v>0</v>
      </c>
      <c r="AA81" s="498">
        <v>0</v>
      </c>
      <c r="AB81" s="498">
        <v>0</v>
      </c>
      <c r="AC81" s="498">
        <v>0</v>
      </c>
      <c r="AD81" s="498">
        <v>0</v>
      </c>
      <c r="AE81" s="498">
        <v>0</v>
      </c>
      <c r="AF81" s="454"/>
      <c r="AG81" s="712"/>
    </row>
    <row r="82" spans="1:33" ht="21" x14ac:dyDescent="0.35">
      <c r="A82" s="1088" t="s">
        <v>352</v>
      </c>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7"/>
      <c r="AF82" s="454"/>
      <c r="AG82" s="712"/>
    </row>
    <row r="83" spans="1:33" s="451" customFormat="1" ht="56.25" x14ac:dyDescent="0.35">
      <c r="A83" s="448" t="s">
        <v>31</v>
      </c>
      <c r="B83" s="449">
        <f>B84+B85</f>
        <v>500</v>
      </c>
      <c r="C83" s="449">
        <f>C84+C85</f>
        <v>500</v>
      </c>
      <c r="D83" s="449">
        <f>D84+D85</f>
        <v>500</v>
      </c>
      <c r="E83" s="449">
        <f>E84+E85</f>
        <v>500</v>
      </c>
      <c r="F83" s="449">
        <f>IFERROR(E83/B83*100,0)</f>
        <v>100</v>
      </c>
      <c r="G83" s="449">
        <f>IFERROR(E83/C83*100,0)</f>
        <v>100</v>
      </c>
      <c r="H83" s="497">
        <f>H84+H85</f>
        <v>0</v>
      </c>
      <c r="I83" s="497">
        <f t="shared" ref="I83:AE83" si="41">I84+I85</f>
        <v>0</v>
      </c>
      <c r="J83" s="497">
        <f t="shared" si="41"/>
        <v>0</v>
      </c>
      <c r="K83" s="497">
        <f t="shared" si="41"/>
        <v>0</v>
      </c>
      <c r="L83" s="497">
        <f t="shared" si="41"/>
        <v>0</v>
      </c>
      <c r="M83" s="497">
        <f t="shared" si="41"/>
        <v>0</v>
      </c>
      <c r="N83" s="497">
        <f t="shared" si="41"/>
        <v>0</v>
      </c>
      <c r="O83" s="497">
        <f t="shared" si="41"/>
        <v>0</v>
      </c>
      <c r="P83" s="497">
        <f t="shared" si="41"/>
        <v>0</v>
      </c>
      <c r="Q83" s="497">
        <f t="shared" si="41"/>
        <v>0</v>
      </c>
      <c r="R83" s="497">
        <f t="shared" si="41"/>
        <v>500</v>
      </c>
      <c r="S83" s="497">
        <f t="shared" si="41"/>
        <v>500</v>
      </c>
      <c r="T83" s="497">
        <f t="shared" si="41"/>
        <v>0</v>
      </c>
      <c r="U83" s="497">
        <f t="shared" si="41"/>
        <v>0</v>
      </c>
      <c r="V83" s="497">
        <f t="shared" si="41"/>
        <v>0</v>
      </c>
      <c r="W83" s="497">
        <f t="shared" si="41"/>
        <v>0</v>
      </c>
      <c r="X83" s="497">
        <f t="shared" si="41"/>
        <v>0</v>
      </c>
      <c r="Y83" s="497">
        <f t="shared" si="41"/>
        <v>0</v>
      </c>
      <c r="Z83" s="497">
        <f t="shared" si="41"/>
        <v>0</v>
      </c>
      <c r="AA83" s="497">
        <f t="shared" si="41"/>
        <v>0</v>
      </c>
      <c r="AB83" s="497">
        <f t="shared" si="41"/>
        <v>0</v>
      </c>
      <c r="AC83" s="497">
        <f t="shared" si="41"/>
        <v>0</v>
      </c>
      <c r="AD83" s="497">
        <f t="shared" si="41"/>
        <v>0</v>
      </c>
      <c r="AE83" s="497">
        <f t="shared" si="41"/>
        <v>0</v>
      </c>
      <c r="AF83" s="454" t="s">
        <v>591</v>
      </c>
      <c r="AG83" s="712"/>
    </row>
    <row r="84" spans="1:33" ht="21" x14ac:dyDescent="0.35">
      <c r="A84" s="452" t="s">
        <v>32</v>
      </c>
      <c r="B84" s="598">
        <f>SUM(H84,J84,L84,N84,P84,R84,T84,V84,X84,Z84,AB84,AD84)</f>
        <v>475</v>
      </c>
      <c r="C84" s="453">
        <f>H84+J84+L84+N84+P84+R84</f>
        <v>475</v>
      </c>
      <c r="D84" s="453">
        <f>E84</f>
        <v>475</v>
      </c>
      <c r="E84" s="453">
        <f>SUM(I84,K84,M84,O84,Q84,S84,U84,W84,Y84,AA84,AC84,AE84)</f>
        <v>475</v>
      </c>
      <c r="F84" s="453">
        <f>IFERROR(E84/B84*100,0)</f>
        <v>100</v>
      </c>
      <c r="G84" s="453">
        <f>IFERROR(E84/C84*100,0)</f>
        <v>100</v>
      </c>
      <c r="H84" s="498">
        <v>0</v>
      </c>
      <c r="I84" s="498">
        <v>0</v>
      </c>
      <c r="J84" s="498">
        <v>0</v>
      </c>
      <c r="K84" s="498">
        <v>0</v>
      </c>
      <c r="L84" s="498">
        <v>0</v>
      </c>
      <c r="M84" s="498">
        <v>0</v>
      </c>
      <c r="N84" s="498">
        <v>0</v>
      </c>
      <c r="O84" s="498">
        <v>0</v>
      </c>
      <c r="P84" s="498">
        <v>0</v>
      </c>
      <c r="Q84" s="498">
        <v>0</v>
      </c>
      <c r="R84" s="498">
        <v>475</v>
      </c>
      <c r="S84" s="498">
        <v>475</v>
      </c>
      <c r="T84" s="498">
        <v>0</v>
      </c>
      <c r="U84" s="498">
        <v>0</v>
      </c>
      <c r="V84" s="498">
        <v>0</v>
      </c>
      <c r="W84" s="498">
        <v>0</v>
      </c>
      <c r="X84" s="498">
        <v>0</v>
      </c>
      <c r="Y84" s="498">
        <v>0</v>
      </c>
      <c r="Z84" s="498">
        <v>0</v>
      </c>
      <c r="AA84" s="498">
        <v>0</v>
      </c>
      <c r="AB84" s="498">
        <v>0</v>
      </c>
      <c r="AC84" s="498">
        <v>0</v>
      </c>
      <c r="AD84" s="498">
        <v>0</v>
      </c>
      <c r="AE84" s="498">
        <v>0</v>
      </c>
      <c r="AF84" s="454"/>
      <c r="AG84" s="712"/>
    </row>
    <row r="85" spans="1:33" ht="21" x14ac:dyDescent="0.35">
      <c r="A85" s="452" t="s">
        <v>33</v>
      </c>
      <c r="B85" s="453">
        <f>SUM(H85,J85,L85,N85,P85,R85,T85,V85,X85,Z85,AB85,AD85)</f>
        <v>25</v>
      </c>
      <c r="C85" s="453">
        <f t="shared" ref="C85:C86" si="42">H85+J85+L85+N85+P85+R85</f>
        <v>25</v>
      </c>
      <c r="D85" s="453">
        <f>E85</f>
        <v>25</v>
      </c>
      <c r="E85" s="453">
        <f>SUM(I85,K85,M85,O85,Q85,S85,U85,W85,Y85,AA85,AC85,AE85)</f>
        <v>25</v>
      </c>
      <c r="F85" s="453">
        <f>IFERROR(E85/B85*100,0)</f>
        <v>100</v>
      </c>
      <c r="G85" s="453">
        <f>IFERROR(E85/C85*100,0)</f>
        <v>100</v>
      </c>
      <c r="H85" s="498">
        <v>0</v>
      </c>
      <c r="I85" s="498">
        <v>0</v>
      </c>
      <c r="J85" s="498">
        <v>0</v>
      </c>
      <c r="K85" s="498">
        <v>0</v>
      </c>
      <c r="L85" s="498">
        <v>0</v>
      </c>
      <c r="M85" s="498">
        <v>0</v>
      </c>
      <c r="N85" s="498">
        <v>0</v>
      </c>
      <c r="O85" s="498">
        <v>0</v>
      </c>
      <c r="P85" s="498">
        <v>0</v>
      </c>
      <c r="Q85" s="498">
        <v>0</v>
      </c>
      <c r="R85" s="498">
        <v>25</v>
      </c>
      <c r="S85" s="498">
        <v>25</v>
      </c>
      <c r="T85" s="498">
        <v>0</v>
      </c>
      <c r="U85" s="498">
        <v>0</v>
      </c>
      <c r="V85" s="498">
        <v>0</v>
      </c>
      <c r="W85" s="498">
        <v>0</v>
      </c>
      <c r="X85" s="498">
        <v>0</v>
      </c>
      <c r="Y85" s="498">
        <v>0</v>
      </c>
      <c r="Z85" s="498">
        <v>0</v>
      </c>
      <c r="AA85" s="498">
        <v>0</v>
      </c>
      <c r="AB85" s="498">
        <v>0</v>
      </c>
      <c r="AC85" s="498">
        <v>0</v>
      </c>
      <c r="AD85" s="498">
        <v>0</v>
      </c>
      <c r="AE85" s="498">
        <v>0</v>
      </c>
      <c r="AF85" s="454"/>
      <c r="AG85" s="712"/>
    </row>
    <row r="86" spans="1:33" ht="37.5" x14ac:dyDescent="0.35">
      <c r="A86" s="471" t="s">
        <v>174</v>
      </c>
      <c r="B86" s="453">
        <f>SUM(H86,J86,L86,N86,P86,R86,T86,V86,X86,Z86,AB86,AD86)</f>
        <v>25</v>
      </c>
      <c r="C86" s="453">
        <f t="shared" si="42"/>
        <v>25</v>
      </c>
      <c r="D86" s="453">
        <f>E86</f>
        <v>25</v>
      </c>
      <c r="E86" s="453">
        <f>SUM(I86,K86,M86,O86,Q86,S86,U86,W86,Y86,AA86,AC86,AE86)</f>
        <v>25</v>
      </c>
      <c r="F86" s="453">
        <f>IFERROR(E86/B86*100,0)</f>
        <v>100</v>
      </c>
      <c r="G86" s="453">
        <f>IFERROR(E86/C86*100,0)</f>
        <v>100</v>
      </c>
      <c r="H86" s="498">
        <v>0</v>
      </c>
      <c r="I86" s="498">
        <v>0</v>
      </c>
      <c r="J86" s="498">
        <v>0</v>
      </c>
      <c r="K86" s="498">
        <v>0</v>
      </c>
      <c r="L86" s="498">
        <v>0</v>
      </c>
      <c r="M86" s="498">
        <v>0</v>
      </c>
      <c r="N86" s="498">
        <v>0</v>
      </c>
      <c r="O86" s="498">
        <v>0</v>
      </c>
      <c r="P86" s="498">
        <v>0</v>
      </c>
      <c r="Q86" s="498">
        <v>0</v>
      </c>
      <c r="R86" s="498">
        <v>25</v>
      </c>
      <c r="S86" s="498">
        <v>25</v>
      </c>
      <c r="T86" s="498">
        <v>0</v>
      </c>
      <c r="U86" s="498">
        <v>0</v>
      </c>
      <c r="V86" s="498">
        <v>0</v>
      </c>
      <c r="W86" s="498">
        <v>0</v>
      </c>
      <c r="X86" s="498">
        <v>0</v>
      </c>
      <c r="Y86" s="498">
        <v>0</v>
      </c>
      <c r="Z86" s="498">
        <v>0</v>
      </c>
      <c r="AA86" s="498">
        <v>0</v>
      </c>
      <c r="AB86" s="498">
        <v>0</v>
      </c>
      <c r="AC86" s="498">
        <v>0</v>
      </c>
      <c r="AD86" s="498">
        <v>0</v>
      </c>
      <c r="AE86" s="498">
        <v>0</v>
      </c>
      <c r="AF86" s="454"/>
      <c r="AG86" s="712"/>
    </row>
    <row r="87" spans="1:33" ht="21" x14ac:dyDescent="0.35">
      <c r="A87" s="1088" t="s">
        <v>353</v>
      </c>
      <c r="B87" s="1086"/>
      <c r="C87" s="1086"/>
      <c r="D87" s="1086"/>
      <c r="E87" s="1086"/>
      <c r="F87" s="1086"/>
      <c r="G87" s="1086"/>
      <c r="H87" s="1086"/>
      <c r="I87" s="1086"/>
      <c r="J87" s="1086"/>
      <c r="K87" s="1086"/>
      <c r="L87" s="1086"/>
      <c r="M87" s="1086"/>
      <c r="N87" s="1086"/>
      <c r="O87" s="1086"/>
      <c r="P87" s="1086"/>
      <c r="Q87" s="1086"/>
      <c r="R87" s="1086"/>
      <c r="S87" s="1086"/>
      <c r="T87" s="1086"/>
      <c r="U87" s="1086"/>
      <c r="V87" s="1086"/>
      <c r="W87" s="1086"/>
      <c r="X87" s="1086"/>
      <c r="Y87" s="1086"/>
      <c r="Z87" s="1086"/>
      <c r="AA87" s="1086"/>
      <c r="AB87" s="1086"/>
      <c r="AC87" s="1086"/>
      <c r="AD87" s="1086"/>
      <c r="AE87" s="1087"/>
      <c r="AF87" s="454"/>
      <c r="AG87" s="712"/>
    </row>
    <row r="88" spans="1:33" s="451" customFormat="1" ht="56.25" x14ac:dyDescent="0.35">
      <c r="A88" s="448" t="s">
        <v>31</v>
      </c>
      <c r="B88" s="595">
        <f>B89+B90</f>
        <v>500</v>
      </c>
      <c r="C88" s="449">
        <f>C89+C90</f>
        <v>500</v>
      </c>
      <c r="D88" s="449">
        <f>D89+D90</f>
        <v>500</v>
      </c>
      <c r="E88" s="449">
        <f>E89+E90</f>
        <v>500</v>
      </c>
      <c r="F88" s="449">
        <f>IFERROR(E88/B88*100,0)</f>
        <v>100</v>
      </c>
      <c r="G88" s="449">
        <f>IFERROR(E88/C88*100,0)</f>
        <v>100</v>
      </c>
      <c r="H88" s="497">
        <f>H89+H90</f>
        <v>0</v>
      </c>
      <c r="I88" s="497">
        <f t="shared" ref="I88:AE88" si="43">I89+I90</f>
        <v>0</v>
      </c>
      <c r="J88" s="497">
        <f t="shared" si="43"/>
        <v>0</v>
      </c>
      <c r="K88" s="497">
        <f t="shared" si="43"/>
        <v>0</v>
      </c>
      <c r="L88" s="497">
        <f t="shared" si="43"/>
        <v>0</v>
      </c>
      <c r="M88" s="497">
        <f t="shared" si="43"/>
        <v>0</v>
      </c>
      <c r="N88" s="497">
        <f t="shared" si="43"/>
        <v>0</v>
      </c>
      <c r="O88" s="497">
        <f t="shared" si="43"/>
        <v>0</v>
      </c>
      <c r="P88" s="497">
        <f t="shared" si="43"/>
        <v>0</v>
      </c>
      <c r="Q88" s="497">
        <f t="shared" si="43"/>
        <v>0</v>
      </c>
      <c r="R88" s="497">
        <f t="shared" si="43"/>
        <v>500</v>
      </c>
      <c r="S88" s="497">
        <f t="shared" si="43"/>
        <v>500</v>
      </c>
      <c r="T88" s="497">
        <f t="shared" si="43"/>
        <v>0</v>
      </c>
      <c r="U88" s="497">
        <f t="shared" si="43"/>
        <v>0</v>
      </c>
      <c r="V88" s="497">
        <f t="shared" si="43"/>
        <v>0</v>
      </c>
      <c r="W88" s="497">
        <f t="shared" si="43"/>
        <v>0</v>
      </c>
      <c r="X88" s="497">
        <f t="shared" si="43"/>
        <v>0</v>
      </c>
      <c r="Y88" s="497">
        <f t="shared" si="43"/>
        <v>0</v>
      </c>
      <c r="Z88" s="497">
        <f t="shared" si="43"/>
        <v>0</v>
      </c>
      <c r="AA88" s="497">
        <f t="shared" si="43"/>
        <v>0</v>
      </c>
      <c r="AB88" s="497">
        <f t="shared" si="43"/>
        <v>0</v>
      </c>
      <c r="AC88" s="497">
        <f t="shared" si="43"/>
        <v>0</v>
      </c>
      <c r="AD88" s="497">
        <f t="shared" si="43"/>
        <v>0</v>
      </c>
      <c r="AE88" s="497">
        <f t="shared" si="43"/>
        <v>0</v>
      </c>
      <c r="AF88" s="454" t="s">
        <v>592</v>
      </c>
      <c r="AG88" s="712"/>
    </row>
    <row r="89" spans="1:33" ht="21" x14ac:dyDescent="0.35">
      <c r="A89" s="452" t="s">
        <v>32</v>
      </c>
      <c r="B89" s="453">
        <f>SUM(H89,J89,L89,N89,P89,R89,T89,V89,X89,Z89,AB89,AD89)</f>
        <v>0</v>
      </c>
      <c r="C89" s="453">
        <f>H89+J89+L89+N89+P89+R89</f>
        <v>0</v>
      </c>
      <c r="D89" s="453">
        <f>E89</f>
        <v>0</v>
      </c>
      <c r="E89" s="453">
        <f>SUM(I89,K89,M89,O89,Q89,S89,U89,W89,Y89,AA89,AC89,AE89)</f>
        <v>0</v>
      </c>
      <c r="F89" s="453">
        <f>IFERROR(E89/B89*100,0)</f>
        <v>0</v>
      </c>
      <c r="G89" s="453">
        <f>IFERROR(E89/C89*100,0)</f>
        <v>0</v>
      </c>
      <c r="H89" s="498">
        <v>0</v>
      </c>
      <c r="I89" s="498">
        <v>0</v>
      </c>
      <c r="J89" s="498">
        <v>0</v>
      </c>
      <c r="K89" s="498">
        <v>0</v>
      </c>
      <c r="L89" s="498">
        <v>0</v>
      </c>
      <c r="M89" s="498">
        <v>0</v>
      </c>
      <c r="N89" s="498">
        <v>0</v>
      </c>
      <c r="O89" s="498">
        <v>0</v>
      </c>
      <c r="P89" s="498">
        <v>0</v>
      </c>
      <c r="Q89" s="498">
        <v>0</v>
      </c>
      <c r="R89" s="498">
        <v>0</v>
      </c>
      <c r="S89" s="498">
        <v>0</v>
      </c>
      <c r="T89" s="498">
        <v>0</v>
      </c>
      <c r="U89" s="498">
        <v>0</v>
      </c>
      <c r="V89" s="498">
        <v>0</v>
      </c>
      <c r="W89" s="498">
        <v>0</v>
      </c>
      <c r="X89" s="498">
        <v>0</v>
      </c>
      <c r="Y89" s="498">
        <v>0</v>
      </c>
      <c r="Z89" s="498">
        <v>0</v>
      </c>
      <c r="AA89" s="498">
        <v>0</v>
      </c>
      <c r="AB89" s="498">
        <v>0</v>
      </c>
      <c r="AC89" s="498">
        <v>0</v>
      </c>
      <c r="AD89" s="498">
        <v>0</v>
      </c>
      <c r="AE89" s="498">
        <v>0</v>
      </c>
      <c r="AF89" s="454"/>
      <c r="AG89" s="712"/>
    </row>
    <row r="90" spans="1:33" ht="21" x14ac:dyDescent="0.35">
      <c r="A90" s="452" t="s">
        <v>33</v>
      </c>
      <c r="B90" s="453">
        <f>SUM(H90,J90,L90,N90,P90,R90,T90,V90,X90,Z90,AB90,AD90)</f>
        <v>500</v>
      </c>
      <c r="C90" s="453">
        <f t="shared" ref="C90:C91" si="44">H90+J90+L90+N90+P90+R90</f>
        <v>500</v>
      </c>
      <c r="D90" s="453">
        <f>E90</f>
        <v>500</v>
      </c>
      <c r="E90" s="453">
        <f>SUM(I90,K90,M90,O90,Q90,S90,U90,W90,Y90,AA90,AC90,AE90)</f>
        <v>500</v>
      </c>
      <c r="F90" s="453">
        <f>IFERROR(E90/B90*100,0)</f>
        <v>100</v>
      </c>
      <c r="G90" s="453">
        <f>IFERROR(E90/C90*100,0)</f>
        <v>100</v>
      </c>
      <c r="H90" s="498">
        <v>0</v>
      </c>
      <c r="I90" s="498">
        <v>0</v>
      </c>
      <c r="J90" s="498">
        <v>0</v>
      </c>
      <c r="K90" s="498">
        <v>0</v>
      </c>
      <c r="L90" s="498">
        <v>0</v>
      </c>
      <c r="M90" s="498">
        <v>0</v>
      </c>
      <c r="N90" s="498">
        <v>0</v>
      </c>
      <c r="O90" s="498">
        <v>0</v>
      </c>
      <c r="P90" s="498">
        <v>0</v>
      </c>
      <c r="Q90" s="498">
        <v>0</v>
      </c>
      <c r="R90" s="498">
        <v>500</v>
      </c>
      <c r="S90" s="498">
        <v>500</v>
      </c>
      <c r="T90" s="498">
        <v>0</v>
      </c>
      <c r="U90" s="498">
        <v>0</v>
      </c>
      <c r="V90" s="498">
        <v>0</v>
      </c>
      <c r="W90" s="498">
        <v>0</v>
      </c>
      <c r="X90" s="498">
        <v>0</v>
      </c>
      <c r="Y90" s="498">
        <v>0</v>
      </c>
      <c r="Z90" s="498">
        <v>0</v>
      </c>
      <c r="AA90" s="498">
        <v>0</v>
      </c>
      <c r="AB90" s="498">
        <v>0</v>
      </c>
      <c r="AC90" s="498">
        <v>0</v>
      </c>
      <c r="AD90" s="498">
        <v>0</v>
      </c>
      <c r="AE90" s="498">
        <v>0</v>
      </c>
      <c r="AF90" s="454"/>
      <c r="AG90" s="712"/>
    </row>
    <row r="91" spans="1:33" ht="37.5" x14ac:dyDescent="0.35">
      <c r="A91" s="471" t="s">
        <v>174</v>
      </c>
      <c r="B91" s="453">
        <f>SUM(H91,J91,L91,N91,P91,R91,T91,V91,X91,Z91,AB91,AD91)</f>
        <v>0</v>
      </c>
      <c r="C91" s="453">
        <f t="shared" si="44"/>
        <v>0</v>
      </c>
      <c r="D91" s="453">
        <f>E91</f>
        <v>0</v>
      </c>
      <c r="E91" s="453">
        <f>SUM(I91,K91,M91,O91,Q91,S91,U91,W91,Y91,AA91,AC91,AE91)</f>
        <v>0</v>
      </c>
      <c r="F91" s="453">
        <f>IFERROR(E91/B91*100,0)</f>
        <v>0</v>
      </c>
      <c r="G91" s="453">
        <f>IFERROR(E91/C91*100,0)</f>
        <v>0</v>
      </c>
      <c r="H91" s="498">
        <v>0</v>
      </c>
      <c r="I91" s="498">
        <v>0</v>
      </c>
      <c r="J91" s="498">
        <v>0</v>
      </c>
      <c r="K91" s="498">
        <v>0</v>
      </c>
      <c r="L91" s="498">
        <v>0</v>
      </c>
      <c r="M91" s="498">
        <v>0</v>
      </c>
      <c r="N91" s="498">
        <v>0</v>
      </c>
      <c r="O91" s="498">
        <v>0</v>
      </c>
      <c r="P91" s="498">
        <v>0</v>
      </c>
      <c r="Q91" s="498">
        <v>0</v>
      </c>
      <c r="R91" s="498">
        <v>0</v>
      </c>
      <c r="S91" s="498">
        <v>0</v>
      </c>
      <c r="T91" s="498">
        <v>0</v>
      </c>
      <c r="U91" s="498">
        <v>0</v>
      </c>
      <c r="V91" s="498">
        <v>0</v>
      </c>
      <c r="W91" s="498">
        <v>0</v>
      </c>
      <c r="X91" s="498">
        <v>0</v>
      </c>
      <c r="Y91" s="498">
        <v>0</v>
      </c>
      <c r="Z91" s="498">
        <v>0</v>
      </c>
      <c r="AA91" s="498">
        <v>0</v>
      </c>
      <c r="AB91" s="498">
        <v>0</v>
      </c>
      <c r="AC91" s="498">
        <v>0</v>
      </c>
      <c r="AD91" s="498">
        <v>0</v>
      </c>
      <c r="AE91" s="498">
        <v>0</v>
      </c>
      <c r="AF91" s="454"/>
      <c r="AG91" s="712"/>
    </row>
    <row r="92" spans="1:33" ht="21" x14ac:dyDescent="0.35">
      <c r="A92" s="474" t="s">
        <v>354</v>
      </c>
      <c r="B92" s="475"/>
      <c r="C92" s="475"/>
      <c r="D92" s="475"/>
      <c r="E92" s="475"/>
      <c r="F92" s="475"/>
      <c r="G92" s="475"/>
      <c r="H92" s="475"/>
      <c r="I92" s="475"/>
      <c r="J92" s="475"/>
      <c r="K92" s="475"/>
      <c r="L92" s="475"/>
      <c r="M92" s="475"/>
      <c r="N92" s="475"/>
      <c r="O92" s="475"/>
      <c r="P92" s="475"/>
      <c r="Q92" s="475"/>
      <c r="R92" s="475"/>
      <c r="S92" s="475"/>
      <c r="T92" s="475"/>
      <c r="U92" s="475"/>
      <c r="V92" s="475"/>
      <c r="W92" s="475"/>
      <c r="X92" s="475"/>
      <c r="Y92" s="475"/>
      <c r="Z92" s="475"/>
      <c r="AA92" s="475"/>
      <c r="AB92" s="475"/>
      <c r="AC92" s="475"/>
      <c r="AD92" s="475"/>
      <c r="AE92" s="476"/>
      <c r="AF92" s="472"/>
      <c r="AG92" s="712"/>
    </row>
    <row r="93" spans="1:33" s="451" customFormat="1" ht="56.25" x14ac:dyDescent="0.35">
      <c r="A93" s="448" t="s">
        <v>31</v>
      </c>
      <c r="B93" s="449">
        <f>B94+B95</f>
        <v>1156.4000000000001</v>
      </c>
      <c r="C93" s="449">
        <f>C94+C95</f>
        <v>1156.4000000000001</v>
      </c>
      <c r="D93" s="449">
        <f>D94+D95</f>
        <v>1156.4000000000001</v>
      </c>
      <c r="E93" s="449">
        <f>E94+E95</f>
        <v>1156.4000000000001</v>
      </c>
      <c r="F93" s="449">
        <f>IFERROR(E93/B93*100,0)</f>
        <v>100</v>
      </c>
      <c r="G93" s="449">
        <f>IFERROR(E93/C93*100,0)</f>
        <v>100</v>
      </c>
      <c r="H93" s="497">
        <f>H94+H95</f>
        <v>0</v>
      </c>
      <c r="I93" s="497">
        <f t="shared" ref="I93:AE93" si="45">I94+I95</f>
        <v>0</v>
      </c>
      <c r="J93" s="497">
        <f t="shared" si="45"/>
        <v>0</v>
      </c>
      <c r="K93" s="497">
        <f t="shared" si="45"/>
        <v>0</v>
      </c>
      <c r="L93" s="497">
        <f t="shared" si="45"/>
        <v>0</v>
      </c>
      <c r="M93" s="497">
        <f t="shared" si="45"/>
        <v>0</v>
      </c>
      <c r="N93" s="497">
        <f t="shared" si="45"/>
        <v>0</v>
      </c>
      <c r="O93" s="497">
        <f t="shared" si="45"/>
        <v>0</v>
      </c>
      <c r="P93" s="497">
        <f t="shared" si="45"/>
        <v>0</v>
      </c>
      <c r="Q93" s="497">
        <f t="shared" si="45"/>
        <v>0</v>
      </c>
      <c r="R93" s="497">
        <f t="shared" si="45"/>
        <v>1156.4000000000001</v>
      </c>
      <c r="S93" s="497">
        <f t="shared" si="45"/>
        <v>1156.4000000000001</v>
      </c>
      <c r="T93" s="497">
        <f t="shared" si="45"/>
        <v>0</v>
      </c>
      <c r="U93" s="497">
        <f t="shared" si="45"/>
        <v>0</v>
      </c>
      <c r="V93" s="497">
        <f t="shared" si="45"/>
        <v>0</v>
      </c>
      <c r="W93" s="497">
        <f t="shared" si="45"/>
        <v>0</v>
      </c>
      <c r="X93" s="497">
        <f t="shared" si="45"/>
        <v>0</v>
      </c>
      <c r="Y93" s="497">
        <f t="shared" si="45"/>
        <v>0</v>
      </c>
      <c r="Z93" s="497">
        <f t="shared" si="45"/>
        <v>0</v>
      </c>
      <c r="AA93" s="497">
        <f t="shared" si="45"/>
        <v>0</v>
      </c>
      <c r="AB93" s="497">
        <f t="shared" si="45"/>
        <v>0</v>
      </c>
      <c r="AC93" s="497">
        <f t="shared" si="45"/>
        <v>0</v>
      </c>
      <c r="AD93" s="497">
        <f t="shared" si="45"/>
        <v>0</v>
      </c>
      <c r="AE93" s="497">
        <f t="shared" si="45"/>
        <v>0</v>
      </c>
      <c r="AF93" s="454" t="s">
        <v>593</v>
      </c>
      <c r="AG93" s="712"/>
    </row>
    <row r="94" spans="1:33" ht="21" x14ac:dyDescent="0.35">
      <c r="A94" s="452" t="s">
        <v>32</v>
      </c>
      <c r="B94" s="453">
        <f>SUM(H94,J94,L94,N94,P94,R94,T94,V94,X94,Z94,AB94,AD94)</f>
        <v>0</v>
      </c>
      <c r="C94" s="453">
        <f>H94+J94+L94+N94+P94+R94</f>
        <v>0</v>
      </c>
      <c r="D94" s="453">
        <f>E94</f>
        <v>0</v>
      </c>
      <c r="E94" s="453">
        <f>SUM(I94,K94,M94,O94,Q94,S94,U94,W94,Y94,AA94,AC94,AE94)</f>
        <v>0</v>
      </c>
      <c r="F94" s="453">
        <f>IFERROR(E94/B94*100,0)</f>
        <v>0</v>
      </c>
      <c r="G94" s="453">
        <f>IFERROR(E94/C94*100,0)</f>
        <v>0</v>
      </c>
      <c r="H94" s="498">
        <v>0</v>
      </c>
      <c r="I94" s="498">
        <v>0</v>
      </c>
      <c r="J94" s="498">
        <v>0</v>
      </c>
      <c r="K94" s="498">
        <v>0</v>
      </c>
      <c r="L94" s="498">
        <v>0</v>
      </c>
      <c r="M94" s="498">
        <v>0</v>
      </c>
      <c r="N94" s="498">
        <v>0</v>
      </c>
      <c r="O94" s="498">
        <v>0</v>
      </c>
      <c r="P94" s="498">
        <v>0</v>
      </c>
      <c r="Q94" s="498">
        <v>0</v>
      </c>
      <c r="R94" s="498">
        <v>0</v>
      </c>
      <c r="S94" s="498">
        <v>0</v>
      </c>
      <c r="T94" s="498">
        <v>0</v>
      </c>
      <c r="U94" s="498">
        <v>0</v>
      </c>
      <c r="V94" s="498">
        <v>0</v>
      </c>
      <c r="W94" s="498">
        <v>0</v>
      </c>
      <c r="X94" s="498">
        <v>0</v>
      </c>
      <c r="Y94" s="498">
        <v>0</v>
      </c>
      <c r="Z94" s="498">
        <v>0</v>
      </c>
      <c r="AA94" s="498">
        <v>0</v>
      </c>
      <c r="AB94" s="498">
        <v>0</v>
      </c>
      <c r="AC94" s="498">
        <v>0</v>
      </c>
      <c r="AD94" s="498">
        <v>0</v>
      </c>
      <c r="AE94" s="498">
        <v>0</v>
      </c>
      <c r="AF94" s="454"/>
      <c r="AG94" s="712"/>
    </row>
    <row r="95" spans="1:33" ht="21" x14ac:dyDescent="0.35">
      <c r="A95" s="452" t="s">
        <v>33</v>
      </c>
      <c r="B95" s="453">
        <f>SUM(H95,J95,L95,N95,P95,R95,T95,V95,X95,Z95,AB95,AD95)</f>
        <v>1156.4000000000001</v>
      </c>
      <c r="C95" s="453">
        <f t="shared" ref="C95:C96" si="46">H95+J95+L95+N95+P95+R95</f>
        <v>1156.4000000000001</v>
      </c>
      <c r="D95" s="453">
        <f>E95</f>
        <v>1156.4000000000001</v>
      </c>
      <c r="E95" s="453">
        <f>SUM(I95,K95,M95,O95,Q95,S95,U95,W95,Y95,AA95,AC95,AE95)</f>
        <v>1156.4000000000001</v>
      </c>
      <c r="F95" s="453">
        <f>IFERROR(E95/B95*100,0)</f>
        <v>100</v>
      </c>
      <c r="G95" s="453">
        <f>IFERROR(E95/C95*100,0)</f>
        <v>100</v>
      </c>
      <c r="H95" s="498">
        <v>0</v>
      </c>
      <c r="I95" s="498">
        <v>0</v>
      </c>
      <c r="J95" s="498">
        <v>0</v>
      </c>
      <c r="K95" s="498">
        <v>0</v>
      </c>
      <c r="L95" s="498">
        <v>0</v>
      </c>
      <c r="M95" s="498">
        <v>0</v>
      </c>
      <c r="N95" s="498">
        <v>0</v>
      </c>
      <c r="O95" s="498">
        <v>0</v>
      </c>
      <c r="P95" s="498">
        <v>0</v>
      </c>
      <c r="Q95" s="498">
        <v>0</v>
      </c>
      <c r="R95" s="498">
        <v>1156.4000000000001</v>
      </c>
      <c r="S95" s="498">
        <v>1156.4000000000001</v>
      </c>
      <c r="T95" s="498">
        <v>0</v>
      </c>
      <c r="U95" s="498">
        <v>0</v>
      </c>
      <c r="V95" s="498">
        <v>0</v>
      </c>
      <c r="W95" s="498">
        <v>0</v>
      </c>
      <c r="X95" s="498">
        <v>0</v>
      </c>
      <c r="Y95" s="498">
        <v>0</v>
      </c>
      <c r="Z95" s="498">
        <v>0</v>
      </c>
      <c r="AA95" s="498">
        <v>0</v>
      </c>
      <c r="AB95" s="498">
        <v>0</v>
      </c>
      <c r="AC95" s="498">
        <v>0</v>
      </c>
      <c r="AD95" s="498">
        <v>0</v>
      </c>
      <c r="AE95" s="498">
        <v>0</v>
      </c>
      <c r="AF95" s="454"/>
      <c r="AG95" s="712"/>
    </row>
    <row r="96" spans="1:33" ht="37.5" x14ac:dyDescent="0.35">
      <c r="A96" s="471" t="s">
        <v>174</v>
      </c>
      <c r="B96" s="453">
        <f>SUM(H96,J96,L96,N96,P96,R96,T96,V96,X96,Z96,AB96,AD96)</f>
        <v>0</v>
      </c>
      <c r="C96" s="453">
        <f t="shared" si="46"/>
        <v>0</v>
      </c>
      <c r="D96" s="453">
        <f>E96</f>
        <v>0</v>
      </c>
      <c r="E96" s="453">
        <f>SUM(I96,K96,M96,O96,Q96,S96,U96,W96,Y96,AA96,AC96,AE96)</f>
        <v>0</v>
      </c>
      <c r="F96" s="453">
        <f>IFERROR(E96/B96*100,0)</f>
        <v>0</v>
      </c>
      <c r="G96" s="453">
        <f>IFERROR(E96/C96*100,0)</f>
        <v>0</v>
      </c>
      <c r="H96" s="498">
        <v>0</v>
      </c>
      <c r="I96" s="498">
        <v>0</v>
      </c>
      <c r="J96" s="498">
        <v>0</v>
      </c>
      <c r="K96" s="498">
        <v>0</v>
      </c>
      <c r="L96" s="498">
        <v>0</v>
      </c>
      <c r="M96" s="498">
        <v>0</v>
      </c>
      <c r="N96" s="498">
        <v>0</v>
      </c>
      <c r="O96" s="498">
        <v>0</v>
      </c>
      <c r="P96" s="498">
        <v>0</v>
      </c>
      <c r="Q96" s="498">
        <v>0</v>
      </c>
      <c r="R96" s="498">
        <v>0</v>
      </c>
      <c r="S96" s="498">
        <v>0</v>
      </c>
      <c r="T96" s="498">
        <v>0</v>
      </c>
      <c r="U96" s="498">
        <v>0</v>
      </c>
      <c r="V96" s="498">
        <v>0</v>
      </c>
      <c r="W96" s="498">
        <v>0</v>
      </c>
      <c r="X96" s="498">
        <v>0</v>
      </c>
      <c r="Y96" s="498">
        <v>0</v>
      </c>
      <c r="Z96" s="498">
        <v>0</v>
      </c>
      <c r="AA96" s="498">
        <v>0</v>
      </c>
      <c r="AB96" s="498">
        <v>0</v>
      </c>
      <c r="AC96" s="498">
        <v>0</v>
      </c>
      <c r="AD96" s="498">
        <v>0</v>
      </c>
      <c r="AE96" s="498">
        <v>0</v>
      </c>
      <c r="AF96" s="454"/>
      <c r="AG96" s="712"/>
    </row>
    <row r="97" spans="1:33" ht="21" x14ac:dyDescent="0.35">
      <c r="A97" s="474" t="s">
        <v>355</v>
      </c>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8"/>
      <c r="AF97" s="472"/>
      <c r="AG97" s="712"/>
    </row>
    <row r="98" spans="1:33" s="451" customFormat="1" ht="21" x14ac:dyDescent="0.35">
      <c r="A98" s="448" t="s">
        <v>31</v>
      </c>
      <c r="B98" s="449">
        <f>B99+B100</f>
        <v>0</v>
      </c>
      <c r="C98" s="449">
        <f>C99+C100</f>
        <v>0</v>
      </c>
      <c r="D98" s="449">
        <f>D99+D100</f>
        <v>0</v>
      </c>
      <c r="E98" s="449">
        <f>E99+E100</f>
        <v>0</v>
      </c>
      <c r="F98" s="449">
        <f>IFERROR(E98/B98*100,0)</f>
        <v>0</v>
      </c>
      <c r="G98" s="449">
        <f>IFERROR(E98/C98*100,0)</f>
        <v>0</v>
      </c>
      <c r="H98" s="497">
        <f>H99+H100</f>
        <v>0</v>
      </c>
      <c r="I98" s="497">
        <f t="shared" ref="I98:AE98" si="47">I99+I100</f>
        <v>0</v>
      </c>
      <c r="J98" s="497">
        <f t="shared" si="47"/>
        <v>0</v>
      </c>
      <c r="K98" s="497">
        <f t="shared" si="47"/>
        <v>0</v>
      </c>
      <c r="L98" s="497">
        <f t="shared" si="47"/>
        <v>0</v>
      </c>
      <c r="M98" s="497">
        <f t="shared" si="47"/>
        <v>0</v>
      </c>
      <c r="N98" s="497">
        <f t="shared" si="47"/>
        <v>0</v>
      </c>
      <c r="O98" s="497">
        <f t="shared" si="47"/>
        <v>0</v>
      </c>
      <c r="P98" s="497">
        <f t="shared" si="47"/>
        <v>0</v>
      </c>
      <c r="Q98" s="497">
        <f t="shared" si="47"/>
        <v>0</v>
      </c>
      <c r="R98" s="497">
        <f t="shared" si="47"/>
        <v>0</v>
      </c>
      <c r="S98" s="497">
        <f t="shared" si="47"/>
        <v>0</v>
      </c>
      <c r="T98" s="497">
        <f t="shared" si="47"/>
        <v>0</v>
      </c>
      <c r="U98" s="497">
        <f t="shared" si="47"/>
        <v>0</v>
      </c>
      <c r="V98" s="497">
        <f t="shared" si="47"/>
        <v>0</v>
      </c>
      <c r="W98" s="497">
        <f t="shared" si="47"/>
        <v>0</v>
      </c>
      <c r="X98" s="497">
        <f t="shared" si="47"/>
        <v>0</v>
      </c>
      <c r="Y98" s="497">
        <f t="shared" si="47"/>
        <v>0</v>
      </c>
      <c r="Z98" s="497">
        <f t="shared" si="47"/>
        <v>0</v>
      </c>
      <c r="AA98" s="497">
        <f t="shared" si="47"/>
        <v>0</v>
      </c>
      <c r="AB98" s="497">
        <f t="shared" si="47"/>
        <v>0</v>
      </c>
      <c r="AC98" s="497">
        <f t="shared" si="47"/>
        <v>0</v>
      </c>
      <c r="AD98" s="497">
        <f t="shared" si="47"/>
        <v>0</v>
      </c>
      <c r="AE98" s="497">
        <f t="shared" si="47"/>
        <v>0</v>
      </c>
      <c r="AF98" s="455"/>
      <c r="AG98" s="712"/>
    </row>
    <row r="99" spans="1:33" ht="21" x14ac:dyDescent="0.35">
      <c r="A99" s="452" t="s">
        <v>32</v>
      </c>
      <c r="B99" s="453">
        <f>SUM(H99,J99,L99,N99,P99,R99,T99,V99,X99,Z99,AB99,AD99)</f>
        <v>0</v>
      </c>
      <c r="C99" s="453">
        <f>H99+J99+L99+N99+P99+R99</f>
        <v>0</v>
      </c>
      <c r="D99" s="453">
        <f>E99</f>
        <v>0</v>
      </c>
      <c r="E99" s="453">
        <f>SUM(I99,K99,M99,O99,Q99,S99,U99,W99,Y99,AA99,AC99,AE99)</f>
        <v>0</v>
      </c>
      <c r="F99" s="453">
        <f>IFERROR(E99/B99*100,0)</f>
        <v>0</v>
      </c>
      <c r="G99" s="453">
        <f>IFERROR(E99/C99*100,0)</f>
        <v>0</v>
      </c>
      <c r="H99" s="498">
        <v>0</v>
      </c>
      <c r="I99" s="498">
        <v>0</v>
      </c>
      <c r="J99" s="498">
        <v>0</v>
      </c>
      <c r="K99" s="498">
        <v>0</v>
      </c>
      <c r="L99" s="498">
        <v>0</v>
      </c>
      <c r="M99" s="498">
        <v>0</v>
      </c>
      <c r="N99" s="498">
        <v>0</v>
      </c>
      <c r="O99" s="498">
        <v>0</v>
      </c>
      <c r="P99" s="498">
        <v>0</v>
      </c>
      <c r="Q99" s="498">
        <v>0</v>
      </c>
      <c r="R99" s="498">
        <v>0</v>
      </c>
      <c r="S99" s="498">
        <v>0</v>
      </c>
      <c r="T99" s="498">
        <v>0</v>
      </c>
      <c r="U99" s="498">
        <v>0</v>
      </c>
      <c r="V99" s="498">
        <v>0</v>
      </c>
      <c r="W99" s="498">
        <v>0</v>
      </c>
      <c r="X99" s="498">
        <v>0</v>
      </c>
      <c r="Y99" s="498">
        <v>0</v>
      </c>
      <c r="Z99" s="498">
        <v>0</v>
      </c>
      <c r="AA99" s="498">
        <v>0</v>
      </c>
      <c r="AB99" s="498">
        <v>0</v>
      </c>
      <c r="AC99" s="498">
        <v>0</v>
      </c>
      <c r="AD99" s="498">
        <v>0</v>
      </c>
      <c r="AE99" s="498">
        <v>0</v>
      </c>
      <c r="AF99" s="454"/>
      <c r="AG99" s="712"/>
    </row>
    <row r="100" spans="1:33" ht="21" x14ac:dyDescent="0.35">
      <c r="A100" s="452" t="s">
        <v>33</v>
      </c>
      <c r="B100" s="453">
        <f>SUM(H100,J100,L100,N100,P100,R100,T100,V100,X100,Z100,AB100,AD100)</f>
        <v>0</v>
      </c>
      <c r="C100" s="453">
        <f t="shared" ref="C100:C101" si="48">H100+J100+L100+N100+P100+R100</f>
        <v>0</v>
      </c>
      <c r="D100" s="453">
        <f>E100</f>
        <v>0</v>
      </c>
      <c r="E100" s="453">
        <f>SUM(I100,K100,M100,O100,Q100,S100,U100,W100,Y100,AA100,AC100,AE100)</f>
        <v>0</v>
      </c>
      <c r="F100" s="453">
        <f>IFERROR(E100/B100*100,0)</f>
        <v>0</v>
      </c>
      <c r="G100" s="453">
        <f>IFERROR(E100/C100*100,0)</f>
        <v>0</v>
      </c>
      <c r="H100" s="498">
        <v>0</v>
      </c>
      <c r="I100" s="498">
        <v>0</v>
      </c>
      <c r="J100" s="498">
        <v>0</v>
      </c>
      <c r="K100" s="498">
        <v>0</v>
      </c>
      <c r="L100" s="498">
        <v>0</v>
      </c>
      <c r="M100" s="498">
        <v>0</v>
      </c>
      <c r="N100" s="498">
        <v>0</v>
      </c>
      <c r="O100" s="498">
        <v>0</v>
      </c>
      <c r="P100" s="498">
        <v>0</v>
      </c>
      <c r="Q100" s="498">
        <v>0</v>
      </c>
      <c r="R100" s="498">
        <v>0</v>
      </c>
      <c r="S100" s="498">
        <v>0</v>
      </c>
      <c r="T100" s="498">
        <v>0</v>
      </c>
      <c r="U100" s="498">
        <v>0</v>
      </c>
      <c r="V100" s="498">
        <v>0</v>
      </c>
      <c r="W100" s="498">
        <v>0</v>
      </c>
      <c r="X100" s="498">
        <v>0</v>
      </c>
      <c r="Y100" s="498">
        <v>0</v>
      </c>
      <c r="Z100" s="498">
        <v>0</v>
      </c>
      <c r="AA100" s="498">
        <v>0</v>
      </c>
      <c r="AB100" s="498">
        <v>0</v>
      </c>
      <c r="AC100" s="498">
        <v>0</v>
      </c>
      <c r="AD100" s="498">
        <v>0</v>
      </c>
      <c r="AE100" s="498">
        <v>0</v>
      </c>
      <c r="AF100" s="454"/>
      <c r="AG100" s="712"/>
    </row>
    <row r="101" spans="1:33" ht="37.5" x14ac:dyDescent="0.35">
      <c r="A101" s="471" t="s">
        <v>174</v>
      </c>
      <c r="B101" s="453">
        <f>SUM(H101,J101,L101,N101,P101,R101,T101,V101,X101,Z101,AB101,AD101)</f>
        <v>0</v>
      </c>
      <c r="C101" s="453">
        <f t="shared" si="48"/>
        <v>0</v>
      </c>
      <c r="D101" s="453">
        <f>E101</f>
        <v>0</v>
      </c>
      <c r="E101" s="453">
        <f>SUM(I101,K101,M101,O101,Q101,S101,U101,W101,Y101,AA101,AC101,AE101)</f>
        <v>0</v>
      </c>
      <c r="F101" s="453">
        <f>IFERROR(E101/B101*100,0)</f>
        <v>0</v>
      </c>
      <c r="G101" s="453">
        <f>IFERROR(E101/C101*100,0)</f>
        <v>0</v>
      </c>
      <c r="H101" s="498">
        <v>0</v>
      </c>
      <c r="I101" s="498">
        <v>0</v>
      </c>
      <c r="J101" s="498">
        <v>0</v>
      </c>
      <c r="K101" s="498">
        <v>0</v>
      </c>
      <c r="L101" s="498">
        <v>0</v>
      </c>
      <c r="M101" s="498">
        <v>0</v>
      </c>
      <c r="N101" s="498">
        <v>0</v>
      </c>
      <c r="O101" s="498">
        <v>0</v>
      </c>
      <c r="P101" s="498">
        <v>0</v>
      </c>
      <c r="Q101" s="498">
        <v>0</v>
      </c>
      <c r="R101" s="498">
        <v>0</v>
      </c>
      <c r="S101" s="498">
        <v>0</v>
      </c>
      <c r="T101" s="498">
        <v>0</v>
      </c>
      <c r="U101" s="498">
        <v>0</v>
      </c>
      <c r="V101" s="498">
        <v>0</v>
      </c>
      <c r="W101" s="498">
        <v>0</v>
      </c>
      <c r="X101" s="498">
        <v>0</v>
      </c>
      <c r="Y101" s="498">
        <v>0</v>
      </c>
      <c r="Z101" s="498">
        <v>0</v>
      </c>
      <c r="AA101" s="498">
        <v>0</v>
      </c>
      <c r="AB101" s="498">
        <v>0</v>
      </c>
      <c r="AC101" s="498">
        <v>0</v>
      </c>
      <c r="AD101" s="498">
        <v>0</v>
      </c>
      <c r="AE101" s="498">
        <v>0</v>
      </c>
      <c r="AF101" s="454"/>
      <c r="AG101" s="712"/>
    </row>
    <row r="102" spans="1:33" ht="21" x14ac:dyDescent="0.35">
      <c r="A102" s="474" t="s">
        <v>356</v>
      </c>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c r="AA102" s="477"/>
      <c r="AB102" s="477"/>
      <c r="AC102" s="477"/>
      <c r="AD102" s="477"/>
      <c r="AE102" s="478"/>
      <c r="AF102" s="472"/>
      <c r="AG102" s="712"/>
    </row>
    <row r="103" spans="1:33" s="451" customFormat="1" ht="112.5" x14ac:dyDescent="0.35">
      <c r="A103" s="448" t="s">
        <v>31</v>
      </c>
      <c r="B103" s="595">
        <f>B104+B105</f>
        <v>793.1</v>
      </c>
      <c r="C103" s="449">
        <f>C104+C105</f>
        <v>700</v>
      </c>
      <c r="D103" s="449">
        <f>D104+D105</f>
        <v>288.37599999999998</v>
      </c>
      <c r="E103" s="449">
        <f>E104+E105</f>
        <v>288.37599999999998</v>
      </c>
      <c r="F103" s="449">
        <f>IFERROR(E103/B103*100,0)</f>
        <v>36.360610263522879</v>
      </c>
      <c r="G103" s="449">
        <f>IFERROR(E103/C103*100,0)</f>
        <v>41.196571428571424</v>
      </c>
      <c r="H103" s="497">
        <f>H104+H105</f>
        <v>0</v>
      </c>
      <c r="I103" s="497">
        <f t="shared" ref="I103:AE103" si="49">I104+I105</f>
        <v>0</v>
      </c>
      <c r="J103" s="497">
        <f t="shared" si="49"/>
        <v>0</v>
      </c>
      <c r="K103" s="497">
        <f t="shared" si="49"/>
        <v>0</v>
      </c>
      <c r="L103" s="497">
        <f t="shared" si="49"/>
        <v>0</v>
      </c>
      <c r="M103" s="497">
        <f t="shared" si="49"/>
        <v>0</v>
      </c>
      <c r="N103" s="497">
        <f t="shared" si="49"/>
        <v>0</v>
      </c>
      <c r="O103" s="497">
        <f t="shared" si="49"/>
        <v>0</v>
      </c>
      <c r="P103" s="497">
        <f t="shared" si="49"/>
        <v>0</v>
      </c>
      <c r="Q103" s="497">
        <f t="shared" si="49"/>
        <v>0</v>
      </c>
      <c r="R103" s="497">
        <f t="shared" si="49"/>
        <v>700</v>
      </c>
      <c r="S103" s="497">
        <f t="shared" si="49"/>
        <v>288.37599999999998</v>
      </c>
      <c r="T103" s="497">
        <f t="shared" si="49"/>
        <v>0</v>
      </c>
      <c r="U103" s="497">
        <f t="shared" si="49"/>
        <v>0</v>
      </c>
      <c r="V103" s="497">
        <f t="shared" si="49"/>
        <v>0</v>
      </c>
      <c r="W103" s="497">
        <f t="shared" si="49"/>
        <v>0</v>
      </c>
      <c r="X103" s="497">
        <f t="shared" si="49"/>
        <v>93.1</v>
      </c>
      <c r="Y103" s="497">
        <f t="shared" si="49"/>
        <v>0</v>
      </c>
      <c r="Z103" s="497">
        <f t="shared" si="49"/>
        <v>0</v>
      </c>
      <c r="AA103" s="497">
        <f t="shared" si="49"/>
        <v>0</v>
      </c>
      <c r="AB103" s="497">
        <f t="shared" si="49"/>
        <v>0</v>
      </c>
      <c r="AC103" s="497">
        <f t="shared" si="49"/>
        <v>0</v>
      </c>
      <c r="AD103" s="497">
        <f t="shared" si="49"/>
        <v>0</v>
      </c>
      <c r="AE103" s="497">
        <f t="shared" si="49"/>
        <v>0</v>
      </c>
      <c r="AF103" s="454" t="s">
        <v>641</v>
      </c>
      <c r="AG103" s="712"/>
    </row>
    <row r="104" spans="1:33" ht="21" x14ac:dyDescent="0.35">
      <c r="A104" s="452" t="s">
        <v>32</v>
      </c>
      <c r="B104" s="453">
        <f>SUM(H104,J104,L104,N104,P104,R104,T104,V104,X104,Z104,AB104,AD104)</f>
        <v>0</v>
      </c>
      <c r="C104" s="453">
        <f>H104+J104+L104+N104+P104+R104</f>
        <v>0</v>
      </c>
      <c r="D104" s="453">
        <f>E104</f>
        <v>0</v>
      </c>
      <c r="E104" s="453">
        <f>SUM(I104,K104,M104,O104,Q104,S104,U104,W104,Y104,AA104,AC104,AE104)</f>
        <v>0</v>
      </c>
      <c r="F104" s="453">
        <f>IFERROR(E104/B104*100,0)</f>
        <v>0</v>
      </c>
      <c r="G104" s="453">
        <f>IFERROR(E104/C104*100,0)</f>
        <v>0</v>
      </c>
      <c r="H104" s="498">
        <v>0</v>
      </c>
      <c r="I104" s="498">
        <v>0</v>
      </c>
      <c r="J104" s="498">
        <v>0</v>
      </c>
      <c r="K104" s="498">
        <v>0</v>
      </c>
      <c r="L104" s="498">
        <v>0</v>
      </c>
      <c r="M104" s="498">
        <v>0</v>
      </c>
      <c r="N104" s="498">
        <v>0</v>
      </c>
      <c r="O104" s="498">
        <v>0</v>
      </c>
      <c r="P104" s="498">
        <v>0</v>
      </c>
      <c r="Q104" s="498">
        <v>0</v>
      </c>
      <c r="R104" s="498">
        <v>0</v>
      </c>
      <c r="S104" s="498">
        <v>0</v>
      </c>
      <c r="T104" s="498">
        <v>0</v>
      </c>
      <c r="U104" s="498">
        <v>0</v>
      </c>
      <c r="V104" s="498">
        <v>0</v>
      </c>
      <c r="W104" s="498">
        <v>0</v>
      </c>
      <c r="X104" s="498">
        <v>0</v>
      </c>
      <c r="Y104" s="498">
        <v>0</v>
      </c>
      <c r="Z104" s="498">
        <v>0</v>
      </c>
      <c r="AA104" s="498">
        <v>0</v>
      </c>
      <c r="AB104" s="498">
        <v>0</v>
      </c>
      <c r="AC104" s="498">
        <v>0</v>
      </c>
      <c r="AD104" s="498">
        <v>0</v>
      </c>
      <c r="AE104" s="498">
        <v>0</v>
      </c>
      <c r="AF104" s="454"/>
      <c r="AG104" s="712"/>
    </row>
    <row r="105" spans="1:33" ht="21" x14ac:dyDescent="0.35">
      <c r="A105" s="452" t="s">
        <v>33</v>
      </c>
      <c r="B105" s="453">
        <f>SUM(H105,J105,L105,N105,P105,R105,T105,V105,X105,Z105,AB105,AD105)</f>
        <v>793.1</v>
      </c>
      <c r="C105" s="453">
        <f t="shared" ref="C105:C106" si="50">H105+J105+L105+N105+P105+R105</f>
        <v>700</v>
      </c>
      <c r="D105" s="453">
        <f>E105</f>
        <v>288.37599999999998</v>
      </c>
      <c r="E105" s="453">
        <f>SUM(I105,K105,M105,O105,Q105,S105,U105,W105,Y105,AA105,AC105,AE105)</f>
        <v>288.37599999999998</v>
      </c>
      <c r="F105" s="453">
        <f>IFERROR(E105/B105*100,0)</f>
        <v>36.360610263522879</v>
      </c>
      <c r="G105" s="453">
        <f>IFERROR(E105/C105*100,0)</f>
        <v>41.196571428571424</v>
      </c>
      <c r="H105" s="498">
        <v>0</v>
      </c>
      <c r="I105" s="498">
        <v>0</v>
      </c>
      <c r="J105" s="498">
        <v>0</v>
      </c>
      <c r="K105" s="498">
        <v>0</v>
      </c>
      <c r="L105" s="498">
        <v>0</v>
      </c>
      <c r="M105" s="498">
        <v>0</v>
      </c>
      <c r="N105" s="498">
        <v>0</v>
      </c>
      <c r="O105" s="498">
        <v>0</v>
      </c>
      <c r="P105" s="498">
        <v>0</v>
      </c>
      <c r="Q105" s="498">
        <v>0</v>
      </c>
      <c r="R105" s="498">
        <v>700</v>
      </c>
      <c r="S105" s="498">
        <v>288.37599999999998</v>
      </c>
      <c r="T105" s="498">
        <v>0</v>
      </c>
      <c r="U105" s="498">
        <v>0</v>
      </c>
      <c r="V105" s="498">
        <v>0</v>
      </c>
      <c r="W105" s="498">
        <v>0</v>
      </c>
      <c r="X105" s="498">
        <v>93.1</v>
      </c>
      <c r="Y105" s="498">
        <v>0</v>
      </c>
      <c r="Z105" s="498">
        <v>0</v>
      </c>
      <c r="AA105" s="498">
        <v>0</v>
      </c>
      <c r="AB105" s="498">
        <v>0</v>
      </c>
      <c r="AC105" s="498">
        <v>0</v>
      </c>
      <c r="AD105" s="498">
        <v>0</v>
      </c>
      <c r="AE105" s="498">
        <v>0</v>
      </c>
      <c r="AF105" s="454"/>
      <c r="AG105" s="712"/>
    </row>
    <row r="106" spans="1:33" ht="37.5" x14ac:dyDescent="0.35">
      <c r="A106" s="471" t="s">
        <v>174</v>
      </c>
      <c r="B106" s="453">
        <f>SUM(H106,J106,L106,N106,P106,R106,T106,V106,X106,Z106,AB106,AD106)</f>
        <v>0</v>
      </c>
      <c r="C106" s="453">
        <f t="shared" si="50"/>
        <v>0</v>
      </c>
      <c r="D106" s="453">
        <f>E106</f>
        <v>0</v>
      </c>
      <c r="E106" s="453">
        <f>SUM(I106,K106,M106,O106,Q106,S106,U106,W106,Y106,AA106,AC106,AE106)</f>
        <v>0</v>
      </c>
      <c r="F106" s="453">
        <f>IFERROR(E106/B106*100,0)</f>
        <v>0</v>
      </c>
      <c r="G106" s="453">
        <f>IFERROR(E106/C106*100,0)</f>
        <v>0</v>
      </c>
      <c r="H106" s="498">
        <v>0</v>
      </c>
      <c r="I106" s="498">
        <v>0</v>
      </c>
      <c r="J106" s="498">
        <v>0</v>
      </c>
      <c r="K106" s="498">
        <v>0</v>
      </c>
      <c r="L106" s="498">
        <v>0</v>
      </c>
      <c r="M106" s="498">
        <v>0</v>
      </c>
      <c r="N106" s="498">
        <v>0</v>
      </c>
      <c r="O106" s="498">
        <v>0</v>
      </c>
      <c r="P106" s="498">
        <v>0</v>
      </c>
      <c r="Q106" s="498">
        <v>0</v>
      </c>
      <c r="R106" s="498">
        <v>0</v>
      </c>
      <c r="S106" s="498">
        <v>0</v>
      </c>
      <c r="T106" s="498">
        <v>0</v>
      </c>
      <c r="U106" s="498">
        <v>0</v>
      </c>
      <c r="V106" s="498">
        <v>0</v>
      </c>
      <c r="W106" s="498">
        <v>0</v>
      </c>
      <c r="X106" s="498">
        <v>0</v>
      </c>
      <c r="Y106" s="498">
        <v>0</v>
      </c>
      <c r="Z106" s="498">
        <v>0</v>
      </c>
      <c r="AA106" s="498">
        <v>0</v>
      </c>
      <c r="AB106" s="498">
        <v>0</v>
      </c>
      <c r="AC106" s="498">
        <v>0</v>
      </c>
      <c r="AD106" s="498">
        <v>0</v>
      </c>
      <c r="AE106" s="498">
        <v>0</v>
      </c>
      <c r="AF106" s="454"/>
      <c r="AG106" s="712"/>
    </row>
    <row r="107" spans="1:33" ht="21" x14ac:dyDescent="0.35">
      <c r="A107" s="474" t="s">
        <v>357</v>
      </c>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c r="AA107" s="477"/>
      <c r="AB107" s="477"/>
      <c r="AC107" s="477"/>
      <c r="AD107" s="477"/>
      <c r="AE107" s="478"/>
      <c r="AF107" s="472"/>
      <c r="AG107" s="712"/>
    </row>
    <row r="108" spans="1:33" s="451" customFormat="1" ht="206.25" x14ac:dyDescent="0.35">
      <c r="A108" s="448" t="s">
        <v>31</v>
      </c>
      <c r="B108" s="449">
        <f>B109+B110</f>
        <v>1000</v>
      </c>
      <c r="C108" s="449">
        <f>C109+C110</f>
        <v>1000</v>
      </c>
      <c r="D108" s="449">
        <f>D109+D110</f>
        <v>1000</v>
      </c>
      <c r="E108" s="449">
        <f>E109+E110</f>
        <v>1000</v>
      </c>
      <c r="F108" s="449">
        <f>IFERROR(E108/B108*100,0)</f>
        <v>100</v>
      </c>
      <c r="G108" s="449">
        <f>IFERROR(E108/C108*100,0)</f>
        <v>100</v>
      </c>
      <c r="H108" s="497">
        <f>H109+H110</f>
        <v>0</v>
      </c>
      <c r="I108" s="497">
        <f t="shared" ref="I108:AE108" si="51">I109+I110</f>
        <v>0</v>
      </c>
      <c r="J108" s="497">
        <f t="shared" si="51"/>
        <v>0</v>
      </c>
      <c r="K108" s="497">
        <f t="shared" si="51"/>
        <v>0</v>
      </c>
      <c r="L108" s="497">
        <f t="shared" si="51"/>
        <v>0</v>
      </c>
      <c r="M108" s="497">
        <f t="shared" si="51"/>
        <v>0</v>
      </c>
      <c r="N108" s="497">
        <f t="shared" si="51"/>
        <v>0</v>
      </c>
      <c r="O108" s="497">
        <f t="shared" si="51"/>
        <v>0</v>
      </c>
      <c r="P108" s="497">
        <f t="shared" si="51"/>
        <v>0</v>
      </c>
      <c r="Q108" s="497">
        <f t="shared" si="51"/>
        <v>0</v>
      </c>
      <c r="R108" s="497">
        <f t="shared" si="51"/>
        <v>1000</v>
      </c>
      <c r="S108" s="497">
        <f t="shared" si="51"/>
        <v>0</v>
      </c>
      <c r="T108" s="497">
        <f t="shared" si="51"/>
        <v>0</v>
      </c>
      <c r="U108" s="497">
        <f t="shared" si="51"/>
        <v>1000</v>
      </c>
      <c r="V108" s="497">
        <f t="shared" si="51"/>
        <v>0</v>
      </c>
      <c r="W108" s="497">
        <f t="shared" si="51"/>
        <v>0</v>
      </c>
      <c r="X108" s="497">
        <f t="shared" si="51"/>
        <v>0</v>
      </c>
      <c r="Y108" s="497">
        <f t="shared" si="51"/>
        <v>0</v>
      </c>
      <c r="Z108" s="497">
        <f t="shared" si="51"/>
        <v>0</v>
      </c>
      <c r="AA108" s="497">
        <f t="shared" si="51"/>
        <v>0</v>
      </c>
      <c r="AB108" s="497">
        <f t="shared" si="51"/>
        <v>0</v>
      </c>
      <c r="AC108" s="497">
        <f t="shared" si="51"/>
        <v>0</v>
      </c>
      <c r="AD108" s="497">
        <f t="shared" si="51"/>
        <v>0</v>
      </c>
      <c r="AE108" s="497">
        <f t="shared" si="51"/>
        <v>0</v>
      </c>
      <c r="AF108" s="454" t="s">
        <v>642</v>
      </c>
      <c r="AG108" s="712"/>
    </row>
    <row r="109" spans="1:33" ht="21" x14ac:dyDescent="0.35">
      <c r="A109" s="452" t="s">
        <v>32</v>
      </c>
      <c r="B109" s="453">
        <f>SUM(H109,J109,L109,N109,P109,R109,T109,V109,X109,Z109,AB109,AD109)</f>
        <v>0</v>
      </c>
      <c r="C109" s="453">
        <f>H109+J109+L109+N109+P109+R109</f>
        <v>0</v>
      </c>
      <c r="D109" s="453">
        <f>E109</f>
        <v>0</v>
      </c>
      <c r="E109" s="453">
        <f>SUM(I109,K109,M109,O109,Q109,S109,U109,W109,Y109,AA109,AC109,AE109)</f>
        <v>0</v>
      </c>
      <c r="F109" s="453">
        <f>IFERROR(E109/B109*100,0)</f>
        <v>0</v>
      </c>
      <c r="G109" s="453">
        <f>IFERROR(E109/C109*100,0)</f>
        <v>0</v>
      </c>
      <c r="H109" s="498">
        <v>0</v>
      </c>
      <c r="I109" s="498">
        <v>0</v>
      </c>
      <c r="J109" s="498">
        <v>0</v>
      </c>
      <c r="K109" s="498">
        <v>0</v>
      </c>
      <c r="L109" s="498">
        <v>0</v>
      </c>
      <c r="M109" s="498">
        <v>0</v>
      </c>
      <c r="N109" s="498">
        <v>0</v>
      </c>
      <c r="O109" s="498">
        <v>0</v>
      </c>
      <c r="P109" s="498">
        <v>0</v>
      </c>
      <c r="Q109" s="498">
        <v>0</v>
      </c>
      <c r="R109" s="498">
        <v>0</v>
      </c>
      <c r="S109" s="498">
        <v>0</v>
      </c>
      <c r="T109" s="498">
        <v>0</v>
      </c>
      <c r="U109" s="498">
        <v>0</v>
      </c>
      <c r="V109" s="498">
        <v>0</v>
      </c>
      <c r="W109" s="498">
        <v>0</v>
      </c>
      <c r="X109" s="498">
        <v>0</v>
      </c>
      <c r="Y109" s="498">
        <v>0</v>
      </c>
      <c r="Z109" s="498">
        <v>0</v>
      </c>
      <c r="AA109" s="498">
        <v>0</v>
      </c>
      <c r="AB109" s="498">
        <v>0</v>
      </c>
      <c r="AC109" s="498">
        <v>0</v>
      </c>
      <c r="AD109" s="498">
        <v>0</v>
      </c>
      <c r="AE109" s="498">
        <v>0</v>
      </c>
      <c r="AF109" s="454"/>
      <c r="AG109" s="712"/>
    </row>
    <row r="110" spans="1:33" ht="21" x14ac:dyDescent="0.35">
      <c r="A110" s="452" t="s">
        <v>33</v>
      </c>
      <c r="B110" s="453">
        <f>SUM(H110,J110,L110,N110,P110,R110,T110,V110,X110,Z110,AB110,AD110)</f>
        <v>1000</v>
      </c>
      <c r="C110" s="453">
        <f t="shared" ref="C110:C111" si="52">H110+J110+L110+N110+P110+R110</f>
        <v>1000</v>
      </c>
      <c r="D110" s="453">
        <f>E110</f>
        <v>1000</v>
      </c>
      <c r="E110" s="453">
        <f>SUM(I110,K110,M110,O110,Q110,S110,U110,W110,Y110,AA110,AC110,AE110)</f>
        <v>1000</v>
      </c>
      <c r="F110" s="453">
        <f>IFERROR(E110/B110*100,0)</f>
        <v>100</v>
      </c>
      <c r="G110" s="453">
        <f>IFERROR(E110/C110*100,0)</f>
        <v>100</v>
      </c>
      <c r="H110" s="498">
        <v>0</v>
      </c>
      <c r="I110" s="498">
        <v>0</v>
      </c>
      <c r="J110" s="498">
        <v>0</v>
      </c>
      <c r="K110" s="498">
        <v>0</v>
      </c>
      <c r="L110" s="498">
        <v>0</v>
      </c>
      <c r="M110" s="498">
        <v>0</v>
      </c>
      <c r="N110" s="498">
        <v>0</v>
      </c>
      <c r="O110" s="498">
        <v>0</v>
      </c>
      <c r="P110" s="498">
        <v>0</v>
      </c>
      <c r="Q110" s="498">
        <v>0</v>
      </c>
      <c r="R110" s="498">
        <v>1000</v>
      </c>
      <c r="S110" s="498">
        <v>0</v>
      </c>
      <c r="T110" s="498">
        <v>0</v>
      </c>
      <c r="U110" s="498">
        <v>1000</v>
      </c>
      <c r="V110" s="498">
        <v>0</v>
      </c>
      <c r="W110" s="498">
        <v>0</v>
      </c>
      <c r="X110" s="498">
        <v>0</v>
      </c>
      <c r="Y110" s="498">
        <v>0</v>
      </c>
      <c r="Z110" s="498">
        <v>0</v>
      </c>
      <c r="AA110" s="498">
        <v>0</v>
      </c>
      <c r="AB110" s="498">
        <v>0</v>
      </c>
      <c r="AC110" s="498">
        <v>0</v>
      </c>
      <c r="AD110" s="498">
        <v>0</v>
      </c>
      <c r="AE110" s="498">
        <v>0</v>
      </c>
      <c r="AF110" s="454"/>
      <c r="AG110" s="712"/>
    </row>
    <row r="111" spans="1:33" ht="37.5" x14ac:dyDescent="0.35">
      <c r="A111" s="471" t="s">
        <v>174</v>
      </c>
      <c r="B111" s="453">
        <f>SUM(H111,J111,L111,N111,P111,R111,T111,V111,X111,Z111,AB111,AD111)</f>
        <v>0</v>
      </c>
      <c r="C111" s="453">
        <f t="shared" si="52"/>
        <v>0</v>
      </c>
      <c r="D111" s="453">
        <f>E111</f>
        <v>0</v>
      </c>
      <c r="E111" s="453">
        <f>SUM(I111,K111,M111,O111,Q111,S111,U111,W111,Y111,AA111,AC111,AE111)</f>
        <v>0</v>
      </c>
      <c r="F111" s="453">
        <f>IFERROR(E111/B111*100,0)</f>
        <v>0</v>
      </c>
      <c r="G111" s="453">
        <f>IFERROR(E111/C111*100,0)</f>
        <v>0</v>
      </c>
      <c r="H111" s="498">
        <v>0</v>
      </c>
      <c r="I111" s="498">
        <v>0</v>
      </c>
      <c r="J111" s="498">
        <v>0</v>
      </c>
      <c r="K111" s="498">
        <v>0</v>
      </c>
      <c r="L111" s="498">
        <v>0</v>
      </c>
      <c r="M111" s="498">
        <v>0</v>
      </c>
      <c r="N111" s="498">
        <v>0</v>
      </c>
      <c r="O111" s="498">
        <v>0</v>
      </c>
      <c r="P111" s="498">
        <v>0</v>
      </c>
      <c r="Q111" s="498">
        <v>0</v>
      </c>
      <c r="R111" s="498">
        <v>0</v>
      </c>
      <c r="S111" s="498">
        <v>0</v>
      </c>
      <c r="T111" s="498">
        <v>0</v>
      </c>
      <c r="U111" s="498">
        <v>0</v>
      </c>
      <c r="V111" s="498">
        <v>0</v>
      </c>
      <c r="W111" s="498">
        <v>0</v>
      </c>
      <c r="X111" s="498">
        <v>0</v>
      </c>
      <c r="Y111" s="498">
        <v>0</v>
      </c>
      <c r="Z111" s="498">
        <v>0</v>
      </c>
      <c r="AA111" s="498">
        <v>0</v>
      </c>
      <c r="AB111" s="498">
        <v>0</v>
      </c>
      <c r="AC111" s="498">
        <v>0</v>
      </c>
      <c r="AD111" s="498">
        <v>0</v>
      </c>
      <c r="AE111" s="498">
        <v>0</v>
      </c>
      <c r="AF111" s="454"/>
      <c r="AG111" s="712"/>
    </row>
    <row r="112" spans="1:33" ht="21" x14ac:dyDescent="0.35">
      <c r="A112" s="474" t="s">
        <v>358</v>
      </c>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c r="AA112" s="477"/>
      <c r="AB112" s="477"/>
      <c r="AC112" s="477"/>
      <c r="AD112" s="477"/>
      <c r="AE112" s="478"/>
      <c r="AF112" s="472"/>
      <c r="AG112" s="712"/>
    </row>
    <row r="113" spans="1:33" s="451" customFormat="1" ht="206.25" x14ac:dyDescent="0.35">
      <c r="A113" s="448" t="s">
        <v>31</v>
      </c>
      <c r="B113" s="449">
        <f>B114+B115</f>
        <v>600</v>
      </c>
      <c r="C113" s="449">
        <f>C114+C115</f>
        <v>600</v>
      </c>
      <c r="D113" s="449">
        <f>D114+D115</f>
        <v>600</v>
      </c>
      <c r="E113" s="449">
        <f>E114+E115</f>
        <v>600</v>
      </c>
      <c r="F113" s="449">
        <f>IFERROR(E113/B113*100,0)</f>
        <v>100</v>
      </c>
      <c r="G113" s="449">
        <f>IFERROR(E113/C113*100,0)</f>
        <v>100</v>
      </c>
      <c r="H113" s="497">
        <f>H114+H115</f>
        <v>0</v>
      </c>
      <c r="I113" s="497">
        <f t="shared" ref="I113:AE113" si="53">I114+I115</f>
        <v>0</v>
      </c>
      <c r="J113" s="497">
        <f t="shared" si="53"/>
        <v>0</v>
      </c>
      <c r="K113" s="497">
        <f t="shared" si="53"/>
        <v>0</v>
      </c>
      <c r="L113" s="497">
        <f t="shared" si="53"/>
        <v>0</v>
      </c>
      <c r="M113" s="497">
        <f t="shared" si="53"/>
        <v>0</v>
      </c>
      <c r="N113" s="497">
        <f t="shared" si="53"/>
        <v>0</v>
      </c>
      <c r="O113" s="497">
        <f t="shared" si="53"/>
        <v>0</v>
      </c>
      <c r="P113" s="497">
        <f t="shared" si="53"/>
        <v>0</v>
      </c>
      <c r="Q113" s="497">
        <f t="shared" si="53"/>
        <v>0</v>
      </c>
      <c r="R113" s="497">
        <f t="shared" si="53"/>
        <v>600</v>
      </c>
      <c r="S113" s="497">
        <f t="shared" si="53"/>
        <v>0</v>
      </c>
      <c r="T113" s="497">
        <f t="shared" si="53"/>
        <v>0</v>
      </c>
      <c r="U113" s="497">
        <f t="shared" si="53"/>
        <v>600</v>
      </c>
      <c r="V113" s="497">
        <f t="shared" si="53"/>
        <v>0</v>
      </c>
      <c r="W113" s="497">
        <f t="shared" si="53"/>
        <v>0</v>
      </c>
      <c r="X113" s="497">
        <f t="shared" si="53"/>
        <v>0</v>
      </c>
      <c r="Y113" s="497">
        <f t="shared" si="53"/>
        <v>0</v>
      </c>
      <c r="Z113" s="497">
        <f t="shared" si="53"/>
        <v>0</v>
      </c>
      <c r="AA113" s="497">
        <f t="shared" si="53"/>
        <v>0</v>
      </c>
      <c r="AB113" s="497">
        <f t="shared" si="53"/>
        <v>0</v>
      </c>
      <c r="AC113" s="497">
        <f t="shared" si="53"/>
        <v>0</v>
      </c>
      <c r="AD113" s="497">
        <f t="shared" si="53"/>
        <v>0</v>
      </c>
      <c r="AE113" s="497">
        <f t="shared" si="53"/>
        <v>0</v>
      </c>
      <c r="AF113" s="454" t="s">
        <v>643</v>
      </c>
      <c r="AG113" s="712"/>
    </row>
    <row r="114" spans="1:33" ht="21" x14ac:dyDescent="0.35">
      <c r="A114" s="452" t="s">
        <v>32</v>
      </c>
      <c r="B114" s="453">
        <f>SUM(H114,J114,L114,N114,P114,R114,T114,V114,X114,Z114,AB114,AD114)</f>
        <v>0</v>
      </c>
      <c r="C114" s="453">
        <f>H114+J114+L114+N114+P114+R114</f>
        <v>0</v>
      </c>
      <c r="D114" s="453">
        <f>E114</f>
        <v>0</v>
      </c>
      <c r="E114" s="453">
        <f>SUM(I114,K114,M114,O114,Q114,S114,U114,W114,Y114,AA114,AC114,AE114)</f>
        <v>0</v>
      </c>
      <c r="F114" s="453">
        <f>IFERROR(E114/B114*100,0)</f>
        <v>0</v>
      </c>
      <c r="G114" s="453">
        <f>IFERROR(E114/C114*100,0)</f>
        <v>0</v>
      </c>
      <c r="H114" s="498">
        <v>0</v>
      </c>
      <c r="I114" s="498">
        <v>0</v>
      </c>
      <c r="J114" s="498">
        <v>0</v>
      </c>
      <c r="K114" s="498">
        <v>0</v>
      </c>
      <c r="L114" s="498">
        <v>0</v>
      </c>
      <c r="M114" s="498">
        <v>0</v>
      </c>
      <c r="N114" s="498">
        <v>0</v>
      </c>
      <c r="O114" s="498">
        <v>0</v>
      </c>
      <c r="P114" s="498">
        <v>0</v>
      </c>
      <c r="Q114" s="498">
        <v>0</v>
      </c>
      <c r="R114" s="498">
        <v>0</v>
      </c>
      <c r="S114" s="498">
        <v>0</v>
      </c>
      <c r="T114" s="498">
        <v>0</v>
      </c>
      <c r="U114" s="498">
        <v>0</v>
      </c>
      <c r="V114" s="498">
        <v>0</v>
      </c>
      <c r="W114" s="498">
        <v>0</v>
      </c>
      <c r="X114" s="498">
        <v>0</v>
      </c>
      <c r="Y114" s="498">
        <v>0</v>
      </c>
      <c r="Z114" s="498">
        <v>0</v>
      </c>
      <c r="AA114" s="498">
        <v>0</v>
      </c>
      <c r="AB114" s="498">
        <v>0</v>
      </c>
      <c r="AC114" s="498">
        <v>0</v>
      </c>
      <c r="AD114" s="498">
        <v>0</v>
      </c>
      <c r="AE114" s="498">
        <v>0</v>
      </c>
      <c r="AF114" s="454"/>
      <c r="AG114" s="712"/>
    </row>
    <row r="115" spans="1:33" ht="21" x14ac:dyDescent="0.35">
      <c r="A115" s="452" t="s">
        <v>33</v>
      </c>
      <c r="B115" s="453">
        <f>SUM(H115,J115,L115,N115,P115,R115,T115,V115,X115,Z115,AB115,AD115)</f>
        <v>600</v>
      </c>
      <c r="C115" s="453">
        <f t="shared" ref="C115:C116" si="54">H115+J115+L115+N115+P115+R115</f>
        <v>600</v>
      </c>
      <c r="D115" s="453">
        <f>E115</f>
        <v>600</v>
      </c>
      <c r="E115" s="453">
        <f>SUM(I115,K115,M115,O115,Q115,S115,U115,W115,Y115,AA115,AC115,AE115)</f>
        <v>600</v>
      </c>
      <c r="F115" s="453">
        <f>IFERROR(E115/B115*100,0)</f>
        <v>100</v>
      </c>
      <c r="G115" s="453">
        <f>IFERROR(E115/C115*100,0)</f>
        <v>100</v>
      </c>
      <c r="H115" s="498">
        <v>0</v>
      </c>
      <c r="I115" s="498">
        <v>0</v>
      </c>
      <c r="J115" s="498">
        <v>0</v>
      </c>
      <c r="K115" s="498">
        <v>0</v>
      </c>
      <c r="L115" s="498">
        <v>0</v>
      </c>
      <c r="M115" s="498">
        <v>0</v>
      </c>
      <c r="N115" s="498">
        <v>0</v>
      </c>
      <c r="O115" s="498">
        <v>0</v>
      </c>
      <c r="P115" s="498">
        <v>0</v>
      </c>
      <c r="Q115" s="498">
        <v>0</v>
      </c>
      <c r="R115" s="498">
        <v>600</v>
      </c>
      <c r="S115" s="498">
        <v>0</v>
      </c>
      <c r="T115" s="498">
        <v>0</v>
      </c>
      <c r="U115" s="498">
        <v>600</v>
      </c>
      <c r="V115" s="498">
        <v>0</v>
      </c>
      <c r="W115" s="498">
        <v>0</v>
      </c>
      <c r="X115" s="498">
        <v>0</v>
      </c>
      <c r="Y115" s="498">
        <v>0</v>
      </c>
      <c r="Z115" s="498">
        <v>0</v>
      </c>
      <c r="AA115" s="498">
        <v>0</v>
      </c>
      <c r="AB115" s="498">
        <v>0</v>
      </c>
      <c r="AC115" s="498">
        <v>0</v>
      </c>
      <c r="AD115" s="498">
        <v>0</v>
      </c>
      <c r="AE115" s="498">
        <v>0</v>
      </c>
      <c r="AF115" s="454"/>
      <c r="AG115" s="712"/>
    </row>
    <row r="116" spans="1:33" ht="37.5" x14ac:dyDescent="0.35">
      <c r="A116" s="471" t="s">
        <v>174</v>
      </c>
      <c r="B116" s="453">
        <f>SUM(H116,J116,L116,N116,P116,R116,T116,V116,X116,Z116,AB116,AD116)</f>
        <v>0</v>
      </c>
      <c r="C116" s="453">
        <f t="shared" si="54"/>
        <v>0</v>
      </c>
      <c r="D116" s="453">
        <f>E116</f>
        <v>0</v>
      </c>
      <c r="E116" s="453">
        <f>SUM(I116,K116,M116,O116,Q116,S116,U116,W116,Y116,AA116,AC116,AE116)</f>
        <v>0</v>
      </c>
      <c r="F116" s="453">
        <f>IFERROR(E116/B116*100,0)</f>
        <v>0</v>
      </c>
      <c r="G116" s="453">
        <f>IFERROR(E116/C116*100,0)</f>
        <v>0</v>
      </c>
      <c r="H116" s="498">
        <v>0</v>
      </c>
      <c r="I116" s="498">
        <v>0</v>
      </c>
      <c r="J116" s="498">
        <v>0</v>
      </c>
      <c r="K116" s="498">
        <v>0</v>
      </c>
      <c r="L116" s="498">
        <v>0</v>
      </c>
      <c r="M116" s="498">
        <v>0</v>
      </c>
      <c r="N116" s="498">
        <v>0</v>
      </c>
      <c r="O116" s="498">
        <v>0</v>
      </c>
      <c r="P116" s="498">
        <v>0</v>
      </c>
      <c r="Q116" s="498">
        <v>0</v>
      </c>
      <c r="R116" s="498">
        <v>0</v>
      </c>
      <c r="S116" s="498">
        <v>0</v>
      </c>
      <c r="T116" s="498">
        <v>0</v>
      </c>
      <c r="U116" s="498">
        <v>0</v>
      </c>
      <c r="V116" s="498">
        <v>0</v>
      </c>
      <c r="W116" s="498">
        <v>0</v>
      </c>
      <c r="X116" s="498">
        <v>0</v>
      </c>
      <c r="Y116" s="498">
        <v>0</v>
      </c>
      <c r="Z116" s="498">
        <v>0</v>
      </c>
      <c r="AA116" s="498">
        <v>0</v>
      </c>
      <c r="AB116" s="498">
        <v>0</v>
      </c>
      <c r="AC116" s="498">
        <v>0</v>
      </c>
      <c r="AD116" s="498">
        <v>0</v>
      </c>
      <c r="AE116" s="498">
        <v>0</v>
      </c>
      <c r="AF116" s="454"/>
      <c r="AG116" s="712"/>
    </row>
    <row r="117" spans="1:33" ht="21" x14ac:dyDescent="0.35">
      <c r="A117" s="474" t="s">
        <v>359</v>
      </c>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c r="AA117" s="477"/>
      <c r="AB117" s="477"/>
      <c r="AC117" s="477"/>
      <c r="AD117" s="477"/>
      <c r="AE117" s="478"/>
      <c r="AF117" s="472"/>
      <c r="AG117" s="712"/>
    </row>
    <row r="118" spans="1:33" s="451" customFormat="1" ht="187.5" x14ac:dyDescent="0.35">
      <c r="A118" s="448" t="s">
        <v>31</v>
      </c>
      <c r="B118" s="449">
        <f>B119+B120</f>
        <v>600</v>
      </c>
      <c r="C118" s="449">
        <f>C119+C120</f>
        <v>600</v>
      </c>
      <c r="D118" s="449">
        <f>D119+D120</f>
        <v>600</v>
      </c>
      <c r="E118" s="449">
        <f>E119+E120</f>
        <v>600</v>
      </c>
      <c r="F118" s="449">
        <f>IFERROR(E118/B118*100,0)</f>
        <v>100</v>
      </c>
      <c r="G118" s="449">
        <f>IFERROR(E118/C118*100,0)</f>
        <v>100</v>
      </c>
      <c r="H118" s="497">
        <f>H119+H120</f>
        <v>0</v>
      </c>
      <c r="I118" s="497">
        <f t="shared" ref="I118:AE118" si="55">I119+I120</f>
        <v>0</v>
      </c>
      <c r="J118" s="497">
        <f t="shared" si="55"/>
        <v>0</v>
      </c>
      <c r="K118" s="497">
        <f t="shared" si="55"/>
        <v>0</v>
      </c>
      <c r="L118" s="497">
        <f t="shared" si="55"/>
        <v>0</v>
      </c>
      <c r="M118" s="497">
        <f t="shared" si="55"/>
        <v>0</v>
      </c>
      <c r="N118" s="497">
        <f t="shared" si="55"/>
        <v>0</v>
      </c>
      <c r="O118" s="497">
        <f t="shared" si="55"/>
        <v>0</v>
      </c>
      <c r="P118" s="497">
        <f t="shared" si="55"/>
        <v>0</v>
      </c>
      <c r="Q118" s="497">
        <f t="shared" si="55"/>
        <v>0</v>
      </c>
      <c r="R118" s="497">
        <f t="shared" si="55"/>
        <v>600</v>
      </c>
      <c r="S118" s="497">
        <f t="shared" si="55"/>
        <v>0</v>
      </c>
      <c r="T118" s="497">
        <f t="shared" si="55"/>
        <v>0</v>
      </c>
      <c r="U118" s="497">
        <f t="shared" si="55"/>
        <v>600</v>
      </c>
      <c r="V118" s="497">
        <f t="shared" si="55"/>
        <v>0</v>
      </c>
      <c r="W118" s="497">
        <f t="shared" si="55"/>
        <v>0</v>
      </c>
      <c r="X118" s="497">
        <f t="shared" si="55"/>
        <v>0</v>
      </c>
      <c r="Y118" s="497">
        <f t="shared" si="55"/>
        <v>0</v>
      </c>
      <c r="Z118" s="497">
        <f t="shared" si="55"/>
        <v>0</v>
      </c>
      <c r="AA118" s="497">
        <f t="shared" si="55"/>
        <v>0</v>
      </c>
      <c r="AB118" s="497">
        <f t="shared" si="55"/>
        <v>0</v>
      </c>
      <c r="AC118" s="497">
        <f t="shared" si="55"/>
        <v>0</v>
      </c>
      <c r="AD118" s="497">
        <f t="shared" si="55"/>
        <v>0</v>
      </c>
      <c r="AE118" s="497">
        <f t="shared" si="55"/>
        <v>0</v>
      </c>
      <c r="AF118" s="454" t="s">
        <v>644</v>
      </c>
      <c r="AG118" s="712"/>
    </row>
    <row r="119" spans="1:33" ht="21" x14ac:dyDescent="0.35">
      <c r="A119" s="452" t="s">
        <v>32</v>
      </c>
      <c r="B119" s="453">
        <f>SUM(H119,J119,L119,N119,P119,R119,T119,V119,X119,Z119,AB119,AD119)</f>
        <v>0</v>
      </c>
      <c r="C119" s="453">
        <f>H119+J119+L119+N119+P119+R119</f>
        <v>0</v>
      </c>
      <c r="D119" s="453">
        <f>E119</f>
        <v>0</v>
      </c>
      <c r="E119" s="453">
        <f>SUM(I119,K119,M119,O119,Q119,S119,U119,W119,Y119,AA119,AC119,AE119)</f>
        <v>0</v>
      </c>
      <c r="F119" s="453">
        <f>IFERROR(E119/B119*100,0)</f>
        <v>0</v>
      </c>
      <c r="G119" s="453">
        <f>IFERROR(E119/C119*100,0)</f>
        <v>0</v>
      </c>
      <c r="H119" s="498">
        <v>0</v>
      </c>
      <c r="I119" s="498">
        <v>0</v>
      </c>
      <c r="J119" s="498">
        <v>0</v>
      </c>
      <c r="K119" s="498">
        <v>0</v>
      </c>
      <c r="L119" s="498">
        <v>0</v>
      </c>
      <c r="M119" s="498">
        <v>0</v>
      </c>
      <c r="N119" s="498">
        <v>0</v>
      </c>
      <c r="O119" s="498">
        <v>0</v>
      </c>
      <c r="P119" s="498">
        <v>0</v>
      </c>
      <c r="Q119" s="498">
        <v>0</v>
      </c>
      <c r="R119" s="498">
        <v>0</v>
      </c>
      <c r="S119" s="498">
        <v>0</v>
      </c>
      <c r="T119" s="498">
        <v>0</v>
      </c>
      <c r="U119" s="498">
        <v>0</v>
      </c>
      <c r="V119" s="498">
        <v>0</v>
      </c>
      <c r="W119" s="498">
        <v>0</v>
      </c>
      <c r="X119" s="498">
        <v>0</v>
      </c>
      <c r="Y119" s="498">
        <v>0</v>
      </c>
      <c r="Z119" s="498">
        <v>0</v>
      </c>
      <c r="AA119" s="498">
        <v>0</v>
      </c>
      <c r="AB119" s="498">
        <v>0</v>
      </c>
      <c r="AC119" s="498">
        <v>0</v>
      </c>
      <c r="AD119" s="498">
        <v>0</v>
      </c>
      <c r="AE119" s="498">
        <v>0</v>
      </c>
      <c r="AF119" s="454"/>
      <c r="AG119" s="712"/>
    </row>
    <row r="120" spans="1:33" ht="21" x14ac:dyDescent="0.35">
      <c r="A120" s="452" t="s">
        <v>33</v>
      </c>
      <c r="B120" s="453">
        <f>SUM(H120,J120,L120,N120,P120,R120,T120,V120,X120,Z120,AB120,AD120)</f>
        <v>600</v>
      </c>
      <c r="C120" s="453">
        <f t="shared" ref="C120:C121" si="56">H120+J120+L120+N120+P120+R120</f>
        <v>600</v>
      </c>
      <c r="D120" s="453">
        <f>E120</f>
        <v>600</v>
      </c>
      <c r="E120" s="453">
        <f>SUM(I120,K120,M120,O120,Q120,S120,U120,W120,Y120,AA120,AC120,AE120)</f>
        <v>600</v>
      </c>
      <c r="F120" s="453">
        <f>IFERROR(E120/B120*100,0)</f>
        <v>100</v>
      </c>
      <c r="G120" s="453">
        <f>IFERROR(E120/C120*100,0)</f>
        <v>100</v>
      </c>
      <c r="H120" s="498">
        <v>0</v>
      </c>
      <c r="I120" s="498">
        <v>0</v>
      </c>
      <c r="J120" s="498">
        <v>0</v>
      </c>
      <c r="K120" s="498">
        <v>0</v>
      </c>
      <c r="L120" s="498">
        <v>0</v>
      </c>
      <c r="M120" s="498">
        <v>0</v>
      </c>
      <c r="N120" s="498">
        <v>0</v>
      </c>
      <c r="O120" s="498">
        <v>0</v>
      </c>
      <c r="P120" s="498">
        <v>0</v>
      </c>
      <c r="Q120" s="498">
        <v>0</v>
      </c>
      <c r="R120" s="498">
        <v>600</v>
      </c>
      <c r="S120" s="498">
        <v>0</v>
      </c>
      <c r="T120" s="498">
        <v>0</v>
      </c>
      <c r="U120" s="498">
        <v>600</v>
      </c>
      <c r="V120" s="498">
        <v>0</v>
      </c>
      <c r="W120" s="498">
        <v>0</v>
      </c>
      <c r="X120" s="498">
        <v>0</v>
      </c>
      <c r="Y120" s="498">
        <v>0</v>
      </c>
      <c r="Z120" s="498">
        <v>0</v>
      </c>
      <c r="AA120" s="498">
        <v>0</v>
      </c>
      <c r="AB120" s="498">
        <v>0</v>
      </c>
      <c r="AC120" s="498">
        <v>0</v>
      </c>
      <c r="AD120" s="498">
        <v>0</v>
      </c>
      <c r="AE120" s="498">
        <v>0</v>
      </c>
      <c r="AF120" s="454"/>
      <c r="AG120" s="712"/>
    </row>
    <row r="121" spans="1:33" ht="37.5" x14ac:dyDescent="0.35">
      <c r="A121" s="471" t="s">
        <v>174</v>
      </c>
      <c r="B121" s="453">
        <f>SUM(H121,J121,L121,N121,P121,R121,T121,V121,X121,Z121,AB121,AD121)</f>
        <v>0</v>
      </c>
      <c r="C121" s="453">
        <f t="shared" si="56"/>
        <v>0</v>
      </c>
      <c r="D121" s="453">
        <f>E121</f>
        <v>0</v>
      </c>
      <c r="E121" s="453">
        <f>SUM(I121,K121,M121,O121,Q121,S121,U121,W121,Y121,AA121,AC121,AE121)</f>
        <v>0</v>
      </c>
      <c r="F121" s="453">
        <f>IFERROR(E121/B121*100,0)</f>
        <v>0</v>
      </c>
      <c r="G121" s="453">
        <f>IFERROR(E121/C121*100,0)</f>
        <v>0</v>
      </c>
      <c r="H121" s="498">
        <v>0</v>
      </c>
      <c r="I121" s="498">
        <v>0</v>
      </c>
      <c r="J121" s="498">
        <v>0</v>
      </c>
      <c r="K121" s="498">
        <v>0</v>
      </c>
      <c r="L121" s="498">
        <v>0</v>
      </c>
      <c r="M121" s="498">
        <v>0</v>
      </c>
      <c r="N121" s="498">
        <v>0</v>
      </c>
      <c r="O121" s="498">
        <v>0</v>
      </c>
      <c r="P121" s="498">
        <v>0</v>
      </c>
      <c r="Q121" s="498">
        <v>0</v>
      </c>
      <c r="R121" s="498">
        <v>0</v>
      </c>
      <c r="S121" s="498">
        <v>0</v>
      </c>
      <c r="T121" s="498">
        <v>0</v>
      </c>
      <c r="U121" s="498">
        <v>0</v>
      </c>
      <c r="V121" s="498">
        <v>0</v>
      </c>
      <c r="W121" s="498">
        <v>0</v>
      </c>
      <c r="X121" s="498">
        <v>0</v>
      </c>
      <c r="Y121" s="498">
        <v>0</v>
      </c>
      <c r="Z121" s="498">
        <v>0</v>
      </c>
      <c r="AA121" s="498">
        <v>0</v>
      </c>
      <c r="AB121" s="498">
        <v>0</v>
      </c>
      <c r="AC121" s="498">
        <v>0</v>
      </c>
      <c r="AD121" s="498">
        <v>0</v>
      </c>
      <c r="AE121" s="498">
        <v>0</v>
      </c>
      <c r="AF121" s="454"/>
      <c r="AG121" s="712"/>
    </row>
    <row r="122" spans="1:33" ht="21" x14ac:dyDescent="0.35">
      <c r="A122" s="474" t="s">
        <v>360</v>
      </c>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c r="AA122" s="477"/>
      <c r="AB122" s="477"/>
      <c r="AC122" s="477"/>
      <c r="AD122" s="477"/>
      <c r="AE122" s="478"/>
      <c r="AF122" s="454"/>
      <c r="AG122" s="712"/>
    </row>
    <row r="123" spans="1:33" s="451" customFormat="1" ht="93.75" x14ac:dyDescent="0.35">
      <c r="A123" s="448" t="s">
        <v>31</v>
      </c>
      <c r="B123" s="449">
        <f>B124+B125</f>
        <v>100</v>
      </c>
      <c r="C123" s="449">
        <f>C124+C125</f>
        <v>100</v>
      </c>
      <c r="D123" s="449">
        <f>D124+D125</f>
        <v>14.4</v>
      </c>
      <c r="E123" s="449">
        <f>E124+E125</f>
        <v>14.4</v>
      </c>
      <c r="F123" s="449">
        <f>IFERROR(E123/B123*100,0)</f>
        <v>14.400000000000002</v>
      </c>
      <c r="G123" s="449">
        <f>IFERROR(E123/C123*100,0)</f>
        <v>14.400000000000002</v>
      </c>
      <c r="H123" s="497">
        <f>H124+H125</f>
        <v>0</v>
      </c>
      <c r="I123" s="497">
        <f t="shared" ref="I123:AE123" si="57">I124+I125</f>
        <v>0</v>
      </c>
      <c r="J123" s="497">
        <f t="shared" si="57"/>
        <v>0</v>
      </c>
      <c r="K123" s="497">
        <f t="shared" si="57"/>
        <v>0</v>
      </c>
      <c r="L123" s="497">
        <f t="shared" si="57"/>
        <v>0</v>
      </c>
      <c r="M123" s="497">
        <f t="shared" si="57"/>
        <v>0</v>
      </c>
      <c r="N123" s="497">
        <f t="shared" si="57"/>
        <v>0</v>
      </c>
      <c r="O123" s="497">
        <f t="shared" si="57"/>
        <v>0</v>
      </c>
      <c r="P123" s="497">
        <f t="shared" si="57"/>
        <v>0</v>
      </c>
      <c r="Q123" s="497">
        <f t="shared" si="57"/>
        <v>0</v>
      </c>
      <c r="R123" s="497">
        <f t="shared" si="57"/>
        <v>100</v>
      </c>
      <c r="S123" s="497">
        <f t="shared" si="57"/>
        <v>14.4</v>
      </c>
      <c r="T123" s="497">
        <f t="shared" si="57"/>
        <v>0</v>
      </c>
      <c r="U123" s="497">
        <f t="shared" si="57"/>
        <v>0</v>
      </c>
      <c r="V123" s="497">
        <f t="shared" si="57"/>
        <v>0</v>
      </c>
      <c r="W123" s="497">
        <f t="shared" si="57"/>
        <v>0</v>
      </c>
      <c r="X123" s="497">
        <f t="shared" si="57"/>
        <v>0</v>
      </c>
      <c r="Y123" s="497">
        <f t="shared" si="57"/>
        <v>0</v>
      </c>
      <c r="Z123" s="497">
        <f t="shared" si="57"/>
        <v>0</v>
      </c>
      <c r="AA123" s="497">
        <f t="shared" si="57"/>
        <v>0</v>
      </c>
      <c r="AB123" s="497">
        <f t="shared" si="57"/>
        <v>0</v>
      </c>
      <c r="AC123" s="497">
        <f t="shared" si="57"/>
        <v>0</v>
      </c>
      <c r="AD123" s="497">
        <f t="shared" si="57"/>
        <v>0</v>
      </c>
      <c r="AE123" s="497">
        <f t="shared" si="57"/>
        <v>0</v>
      </c>
      <c r="AF123" s="454" t="s">
        <v>645</v>
      </c>
      <c r="AG123" s="712">
        <f>C123-E123</f>
        <v>85.6</v>
      </c>
    </row>
    <row r="124" spans="1:33" ht="21" x14ac:dyDescent="0.35">
      <c r="A124" s="452" t="s">
        <v>32</v>
      </c>
      <c r="B124" s="453">
        <f>SUM(H124,J124,L124,N124,P124,R124,T124,V124,X124,Z124,AB124,AD124)</f>
        <v>95</v>
      </c>
      <c r="C124" s="453">
        <f>H124+J124+L124+N124+P124+R124</f>
        <v>95</v>
      </c>
      <c r="D124" s="453">
        <f>E124</f>
        <v>13.68</v>
      </c>
      <c r="E124" s="453">
        <f>SUM(I124,K124,M124,O124,Q124,S124,U124,W124,Y124,AA124,AC124,AE124)</f>
        <v>13.68</v>
      </c>
      <c r="F124" s="453">
        <f>IFERROR(E124/B124*100,0)</f>
        <v>14.399999999999999</v>
      </c>
      <c r="G124" s="453">
        <f>IFERROR(E124/C124*100,0)</f>
        <v>14.399999999999999</v>
      </c>
      <c r="H124" s="498">
        <v>0</v>
      </c>
      <c r="I124" s="498">
        <v>0</v>
      </c>
      <c r="J124" s="498">
        <v>0</v>
      </c>
      <c r="K124" s="498">
        <v>0</v>
      </c>
      <c r="L124" s="498">
        <v>0</v>
      </c>
      <c r="M124" s="498">
        <v>0</v>
      </c>
      <c r="N124" s="498">
        <v>0</v>
      </c>
      <c r="O124" s="498">
        <v>0</v>
      </c>
      <c r="P124" s="498">
        <v>0</v>
      </c>
      <c r="Q124" s="498">
        <v>0</v>
      </c>
      <c r="R124" s="498">
        <v>95</v>
      </c>
      <c r="S124" s="498">
        <v>13.68</v>
      </c>
      <c r="T124" s="498">
        <v>0</v>
      </c>
      <c r="U124" s="498">
        <v>0</v>
      </c>
      <c r="V124" s="498">
        <v>0</v>
      </c>
      <c r="W124" s="498">
        <v>0</v>
      </c>
      <c r="X124" s="498">
        <v>0</v>
      </c>
      <c r="Y124" s="498">
        <v>0</v>
      </c>
      <c r="Z124" s="498">
        <v>0</v>
      </c>
      <c r="AA124" s="498">
        <v>0</v>
      </c>
      <c r="AB124" s="498">
        <v>0</v>
      </c>
      <c r="AC124" s="498">
        <v>0</v>
      </c>
      <c r="AD124" s="498">
        <v>0</v>
      </c>
      <c r="AE124" s="498">
        <v>0</v>
      </c>
      <c r="AF124" s="454"/>
      <c r="AG124" s="712">
        <f t="shared" ref="AG124:AG126" si="58">C124-E124</f>
        <v>81.319999999999993</v>
      </c>
    </row>
    <row r="125" spans="1:33" ht="21" x14ac:dyDescent="0.35">
      <c r="A125" s="452" t="s">
        <v>33</v>
      </c>
      <c r="B125" s="453">
        <f>SUM(H125,J125,L125,N125,P125,R125,T125,V125,X125,Z125,AB125,AD125)</f>
        <v>5</v>
      </c>
      <c r="C125" s="453">
        <f t="shared" ref="C125:C126" si="59">H125+J125+L125+N125+P125+R125</f>
        <v>5</v>
      </c>
      <c r="D125" s="453">
        <f>E125</f>
        <v>0.72</v>
      </c>
      <c r="E125" s="453">
        <f>SUM(I125,K125,M125,O125,Q125,S125,U125,W125,Y125,AA125,AC125,AE125)</f>
        <v>0.72</v>
      </c>
      <c r="F125" s="453">
        <f>IFERROR(E125/B125*100,0)</f>
        <v>14.399999999999999</v>
      </c>
      <c r="G125" s="453">
        <f>IFERROR(E125/C125*100,0)</f>
        <v>14.399999999999999</v>
      </c>
      <c r="H125" s="498">
        <v>0</v>
      </c>
      <c r="I125" s="498">
        <v>0</v>
      </c>
      <c r="J125" s="498">
        <v>0</v>
      </c>
      <c r="K125" s="498">
        <v>0</v>
      </c>
      <c r="L125" s="498">
        <v>0</v>
      </c>
      <c r="M125" s="498">
        <v>0</v>
      </c>
      <c r="N125" s="498">
        <v>0</v>
      </c>
      <c r="O125" s="498">
        <v>0</v>
      </c>
      <c r="P125" s="498">
        <v>0</v>
      </c>
      <c r="Q125" s="498">
        <v>0</v>
      </c>
      <c r="R125" s="498">
        <v>5</v>
      </c>
      <c r="S125" s="498">
        <v>0.72</v>
      </c>
      <c r="T125" s="498">
        <v>0</v>
      </c>
      <c r="U125" s="498">
        <v>0</v>
      </c>
      <c r="V125" s="498">
        <v>0</v>
      </c>
      <c r="W125" s="498">
        <v>0</v>
      </c>
      <c r="X125" s="498">
        <v>0</v>
      </c>
      <c r="Y125" s="498">
        <v>0</v>
      </c>
      <c r="Z125" s="498">
        <v>0</v>
      </c>
      <c r="AA125" s="498">
        <v>0</v>
      </c>
      <c r="AB125" s="498">
        <v>0</v>
      </c>
      <c r="AC125" s="498">
        <v>0</v>
      </c>
      <c r="AD125" s="498">
        <v>0</v>
      </c>
      <c r="AE125" s="498">
        <v>0</v>
      </c>
      <c r="AF125" s="454"/>
      <c r="AG125" s="712">
        <f t="shared" si="58"/>
        <v>4.28</v>
      </c>
    </row>
    <row r="126" spans="1:33" ht="37.5" x14ac:dyDescent="0.35">
      <c r="A126" s="471" t="s">
        <v>174</v>
      </c>
      <c r="B126" s="453">
        <f>SUM(H126,J126,L126,N126,P126,R126,T126,V126,X126,Z126,AB126,AD126)</f>
        <v>5</v>
      </c>
      <c r="C126" s="453">
        <f t="shared" si="59"/>
        <v>5</v>
      </c>
      <c r="D126" s="453">
        <f>E126</f>
        <v>0.72</v>
      </c>
      <c r="E126" s="453">
        <f>SUM(I126,K126,M126,O126,Q126,S126,U126,W126,Y126,AA126,AC126,AE126)</f>
        <v>0.72</v>
      </c>
      <c r="F126" s="453">
        <f>IFERROR(E126/B126*100,0)</f>
        <v>14.399999999999999</v>
      </c>
      <c r="G126" s="453">
        <f>IFERROR(E126/C126*100,0)</f>
        <v>14.399999999999999</v>
      </c>
      <c r="H126" s="498">
        <v>0</v>
      </c>
      <c r="I126" s="498">
        <v>0</v>
      </c>
      <c r="J126" s="498">
        <v>0</v>
      </c>
      <c r="K126" s="498">
        <v>0</v>
      </c>
      <c r="L126" s="498">
        <v>0</v>
      </c>
      <c r="M126" s="498">
        <v>0</v>
      </c>
      <c r="N126" s="498">
        <v>0</v>
      </c>
      <c r="O126" s="498">
        <v>0</v>
      </c>
      <c r="P126" s="498">
        <v>0</v>
      </c>
      <c r="Q126" s="498">
        <v>0</v>
      </c>
      <c r="R126" s="498">
        <v>5</v>
      </c>
      <c r="S126" s="498">
        <v>0.72</v>
      </c>
      <c r="T126" s="498">
        <v>0</v>
      </c>
      <c r="U126" s="498">
        <v>0</v>
      </c>
      <c r="V126" s="498">
        <v>0</v>
      </c>
      <c r="W126" s="498">
        <v>0</v>
      </c>
      <c r="X126" s="498">
        <v>0</v>
      </c>
      <c r="Y126" s="498">
        <v>0</v>
      </c>
      <c r="Z126" s="498">
        <v>0</v>
      </c>
      <c r="AA126" s="498">
        <v>0</v>
      </c>
      <c r="AB126" s="498">
        <v>0</v>
      </c>
      <c r="AC126" s="498">
        <v>0</v>
      </c>
      <c r="AD126" s="498">
        <v>0</v>
      </c>
      <c r="AE126" s="498">
        <v>0</v>
      </c>
      <c r="AF126" s="454"/>
      <c r="AG126" s="712">
        <f t="shared" si="58"/>
        <v>4.28</v>
      </c>
    </row>
    <row r="127" spans="1:33" ht="21" x14ac:dyDescent="0.35">
      <c r="A127" s="465" t="s">
        <v>54</v>
      </c>
      <c r="B127" s="230"/>
      <c r="C127" s="479"/>
      <c r="D127" s="479"/>
      <c r="E127" s="230"/>
      <c r="F127" s="231"/>
      <c r="G127" s="231"/>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1"/>
      <c r="AF127" s="482"/>
      <c r="AG127" s="712"/>
    </row>
    <row r="128" spans="1:33" ht="21" x14ac:dyDescent="0.35">
      <c r="A128" s="1086" t="s">
        <v>361</v>
      </c>
      <c r="B128" s="1086"/>
      <c r="C128" s="1086"/>
      <c r="D128" s="1086"/>
      <c r="E128" s="1086"/>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7"/>
      <c r="AF128" s="454"/>
      <c r="AG128" s="712"/>
    </row>
    <row r="129" spans="1:33" s="451" customFormat="1" ht="21" x14ac:dyDescent="0.35">
      <c r="A129" s="483" t="s">
        <v>31</v>
      </c>
      <c r="B129" s="484">
        <f>B130</f>
        <v>0</v>
      </c>
      <c r="C129" s="484">
        <f>C130</f>
        <v>0</v>
      </c>
      <c r="D129" s="484">
        <f>D130</f>
        <v>0</v>
      </c>
      <c r="E129" s="484">
        <f>E130</f>
        <v>0</v>
      </c>
      <c r="F129" s="484">
        <f>IFERROR(E129/B129*100,0)</f>
        <v>0</v>
      </c>
      <c r="G129" s="484">
        <f>IFERROR(E129/C129*100,0)</f>
        <v>0</v>
      </c>
      <c r="H129" s="501">
        <f>H130</f>
        <v>0</v>
      </c>
      <c r="I129" s="501">
        <f t="shared" ref="I129:AE129" si="60">I130</f>
        <v>0</v>
      </c>
      <c r="J129" s="501">
        <f t="shared" si="60"/>
        <v>0</v>
      </c>
      <c r="K129" s="501">
        <f t="shared" si="60"/>
        <v>0</v>
      </c>
      <c r="L129" s="501">
        <f t="shared" si="60"/>
        <v>0</v>
      </c>
      <c r="M129" s="501">
        <f t="shared" si="60"/>
        <v>0</v>
      </c>
      <c r="N129" s="501">
        <f t="shared" si="60"/>
        <v>0</v>
      </c>
      <c r="O129" s="501">
        <f t="shared" si="60"/>
        <v>0</v>
      </c>
      <c r="P129" s="501">
        <f t="shared" si="60"/>
        <v>0</v>
      </c>
      <c r="Q129" s="501">
        <f t="shared" si="60"/>
        <v>0</v>
      </c>
      <c r="R129" s="501">
        <f t="shared" si="60"/>
        <v>0</v>
      </c>
      <c r="S129" s="501">
        <f t="shared" si="60"/>
        <v>0</v>
      </c>
      <c r="T129" s="501">
        <f t="shared" si="60"/>
        <v>0</v>
      </c>
      <c r="U129" s="501">
        <f t="shared" si="60"/>
        <v>0</v>
      </c>
      <c r="V129" s="501">
        <f t="shared" si="60"/>
        <v>0</v>
      </c>
      <c r="W129" s="501">
        <f t="shared" si="60"/>
        <v>0</v>
      </c>
      <c r="X129" s="501">
        <f t="shared" si="60"/>
        <v>0</v>
      </c>
      <c r="Y129" s="501">
        <f t="shared" si="60"/>
        <v>0</v>
      </c>
      <c r="Z129" s="501">
        <f t="shared" si="60"/>
        <v>0</v>
      </c>
      <c r="AA129" s="501">
        <f t="shared" si="60"/>
        <v>0</v>
      </c>
      <c r="AB129" s="501">
        <f t="shared" si="60"/>
        <v>0</v>
      </c>
      <c r="AC129" s="501">
        <f t="shared" si="60"/>
        <v>0</v>
      </c>
      <c r="AD129" s="501">
        <f t="shared" si="60"/>
        <v>0</v>
      </c>
      <c r="AE129" s="501">
        <f t="shared" si="60"/>
        <v>0</v>
      </c>
      <c r="AF129" s="484"/>
      <c r="AG129" s="712"/>
    </row>
    <row r="130" spans="1:33" ht="21" x14ac:dyDescent="0.35">
      <c r="A130" s="452" t="s">
        <v>33</v>
      </c>
      <c r="B130" s="463">
        <f>B133</f>
        <v>0</v>
      </c>
      <c r="C130" s="463">
        <f>C133</f>
        <v>0</v>
      </c>
      <c r="D130" s="463">
        <f>D133</f>
        <v>0</v>
      </c>
      <c r="E130" s="463">
        <f>E133</f>
        <v>0</v>
      </c>
      <c r="F130" s="463">
        <f>IFERROR(E130/B130*100,0)</f>
        <v>0</v>
      </c>
      <c r="G130" s="463">
        <f>IFERROR(E130/C130*100,0)</f>
        <v>0</v>
      </c>
      <c r="H130" s="500">
        <f t="shared" ref="H130:AE130" si="61">H133</f>
        <v>0</v>
      </c>
      <c r="I130" s="500">
        <f t="shared" si="61"/>
        <v>0</v>
      </c>
      <c r="J130" s="500">
        <f t="shared" si="61"/>
        <v>0</v>
      </c>
      <c r="K130" s="500">
        <f t="shared" si="61"/>
        <v>0</v>
      </c>
      <c r="L130" s="500">
        <f t="shared" si="61"/>
        <v>0</v>
      </c>
      <c r="M130" s="500">
        <f t="shared" si="61"/>
        <v>0</v>
      </c>
      <c r="N130" s="500">
        <f t="shared" si="61"/>
        <v>0</v>
      </c>
      <c r="O130" s="500">
        <f t="shared" si="61"/>
        <v>0</v>
      </c>
      <c r="P130" s="500">
        <f t="shared" si="61"/>
        <v>0</v>
      </c>
      <c r="Q130" s="500">
        <f t="shared" si="61"/>
        <v>0</v>
      </c>
      <c r="R130" s="500">
        <f t="shared" si="61"/>
        <v>0</v>
      </c>
      <c r="S130" s="500">
        <f t="shared" si="61"/>
        <v>0</v>
      </c>
      <c r="T130" s="500">
        <f t="shared" si="61"/>
        <v>0</v>
      </c>
      <c r="U130" s="500">
        <f t="shared" si="61"/>
        <v>0</v>
      </c>
      <c r="V130" s="500">
        <f t="shared" si="61"/>
        <v>0</v>
      </c>
      <c r="W130" s="500">
        <f t="shared" si="61"/>
        <v>0</v>
      </c>
      <c r="X130" s="500">
        <f t="shared" si="61"/>
        <v>0</v>
      </c>
      <c r="Y130" s="500">
        <f t="shared" si="61"/>
        <v>0</v>
      </c>
      <c r="Z130" s="500">
        <f t="shared" si="61"/>
        <v>0</v>
      </c>
      <c r="AA130" s="500">
        <f t="shared" si="61"/>
        <v>0</v>
      </c>
      <c r="AB130" s="500">
        <f t="shared" si="61"/>
        <v>0</v>
      </c>
      <c r="AC130" s="500">
        <f t="shared" si="61"/>
        <v>0</v>
      </c>
      <c r="AD130" s="500">
        <f t="shared" si="61"/>
        <v>0</v>
      </c>
      <c r="AE130" s="500">
        <f t="shared" si="61"/>
        <v>0</v>
      </c>
      <c r="AF130" s="463"/>
      <c r="AG130" s="712"/>
    </row>
    <row r="131" spans="1:33" ht="21" x14ac:dyDescent="0.35">
      <c r="A131" s="1088" t="s">
        <v>362</v>
      </c>
      <c r="B131" s="1086"/>
      <c r="C131" s="1086"/>
      <c r="D131" s="1086"/>
      <c r="E131" s="1086"/>
      <c r="F131" s="1086"/>
      <c r="G131" s="1086"/>
      <c r="H131" s="1086"/>
      <c r="I131" s="1086"/>
      <c r="J131" s="1086"/>
      <c r="K131" s="1086"/>
      <c r="L131" s="1086"/>
      <c r="M131" s="1086"/>
      <c r="N131" s="1086"/>
      <c r="O131" s="1086"/>
      <c r="P131" s="1086"/>
      <c r="Q131" s="1086"/>
      <c r="R131" s="1086"/>
      <c r="S131" s="1086"/>
      <c r="T131" s="1086"/>
      <c r="U131" s="1086"/>
      <c r="V131" s="1086"/>
      <c r="W131" s="1086"/>
      <c r="X131" s="1086"/>
      <c r="Y131" s="1086"/>
      <c r="Z131" s="1086"/>
      <c r="AA131" s="1086"/>
      <c r="AB131" s="1086"/>
      <c r="AC131" s="1086"/>
      <c r="AD131" s="1086"/>
      <c r="AE131" s="1087"/>
      <c r="AF131" s="454"/>
      <c r="AG131" s="712"/>
    </row>
    <row r="132" spans="1:33" s="451" customFormat="1" ht="21" x14ac:dyDescent="0.35">
      <c r="A132" s="448" t="s">
        <v>31</v>
      </c>
      <c r="B132" s="449">
        <f>B133</f>
        <v>0</v>
      </c>
      <c r="C132" s="449">
        <f>C133</f>
        <v>0</v>
      </c>
      <c r="D132" s="449">
        <f>D133</f>
        <v>0</v>
      </c>
      <c r="E132" s="449">
        <f>E133</f>
        <v>0</v>
      </c>
      <c r="F132" s="449">
        <f t="shared" ref="F132:F145" si="62">IFERROR(E132/B132*100,0)</f>
        <v>0</v>
      </c>
      <c r="G132" s="449">
        <f t="shared" ref="G132:G145" si="63">IFERROR(E132/C132*100,0)</f>
        <v>0</v>
      </c>
      <c r="H132" s="497">
        <f>H133</f>
        <v>0</v>
      </c>
      <c r="I132" s="497">
        <f t="shared" ref="I132:AE132" si="64">I133</f>
        <v>0</v>
      </c>
      <c r="J132" s="497">
        <f t="shared" si="64"/>
        <v>0</v>
      </c>
      <c r="K132" s="497">
        <f t="shared" si="64"/>
        <v>0</v>
      </c>
      <c r="L132" s="497">
        <f t="shared" si="64"/>
        <v>0</v>
      </c>
      <c r="M132" s="497">
        <f t="shared" si="64"/>
        <v>0</v>
      </c>
      <c r="N132" s="497">
        <f t="shared" si="64"/>
        <v>0</v>
      </c>
      <c r="O132" s="497">
        <f t="shared" si="64"/>
        <v>0</v>
      </c>
      <c r="P132" s="497">
        <f t="shared" si="64"/>
        <v>0</v>
      </c>
      <c r="Q132" s="497">
        <f t="shared" si="64"/>
        <v>0</v>
      </c>
      <c r="R132" s="497">
        <f t="shared" si="64"/>
        <v>0</v>
      </c>
      <c r="S132" s="497">
        <f t="shared" si="64"/>
        <v>0</v>
      </c>
      <c r="T132" s="497">
        <f t="shared" si="64"/>
        <v>0</v>
      </c>
      <c r="U132" s="497">
        <f t="shared" si="64"/>
        <v>0</v>
      </c>
      <c r="V132" s="497">
        <f t="shared" si="64"/>
        <v>0</v>
      </c>
      <c r="W132" s="497">
        <f t="shared" si="64"/>
        <v>0</v>
      </c>
      <c r="X132" s="497">
        <f t="shared" si="64"/>
        <v>0</v>
      </c>
      <c r="Y132" s="497">
        <f t="shared" si="64"/>
        <v>0</v>
      </c>
      <c r="Z132" s="497">
        <f t="shared" si="64"/>
        <v>0</v>
      </c>
      <c r="AA132" s="497">
        <f t="shared" si="64"/>
        <v>0</v>
      </c>
      <c r="AB132" s="497">
        <f t="shared" si="64"/>
        <v>0</v>
      </c>
      <c r="AC132" s="497">
        <f t="shared" si="64"/>
        <v>0</v>
      </c>
      <c r="AD132" s="497">
        <f t="shared" si="64"/>
        <v>0</v>
      </c>
      <c r="AE132" s="497">
        <f t="shared" si="64"/>
        <v>0</v>
      </c>
      <c r="AF132" s="455"/>
      <c r="AG132" s="712"/>
    </row>
    <row r="133" spans="1:33" ht="21" x14ac:dyDescent="0.35">
      <c r="A133" s="452" t="s">
        <v>33</v>
      </c>
      <c r="B133" s="453">
        <f>SUM(H133,J133,L133,N133,P133,R133,T133,V133,X133,Z133,AB133,AD133)</f>
        <v>0</v>
      </c>
      <c r="C133" s="453">
        <f>H133+J133+L133+N133+P133+R133</f>
        <v>0</v>
      </c>
      <c r="D133" s="453">
        <f>E133</f>
        <v>0</v>
      </c>
      <c r="E133" s="453">
        <f>SUM(I133,K133,M133,O133,Q133,S133,U133,W133,Y133,AA133,AC133,AE133)</f>
        <v>0</v>
      </c>
      <c r="F133" s="453">
        <f t="shared" si="62"/>
        <v>0</v>
      </c>
      <c r="G133" s="453">
        <f t="shared" si="63"/>
        <v>0</v>
      </c>
      <c r="H133" s="498">
        <v>0</v>
      </c>
      <c r="I133" s="498">
        <v>0</v>
      </c>
      <c r="J133" s="498">
        <v>0</v>
      </c>
      <c r="K133" s="498">
        <v>0</v>
      </c>
      <c r="L133" s="498">
        <v>0</v>
      </c>
      <c r="M133" s="498">
        <v>0</v>
      </c>
      <c r="N133" s="498">
        <v>0</v>
      </c>
      <c r="O133" s="498">
        <v>0</v>
      </c>
      <c r="P133" s="498">
        <v>0</v>
      </c>
      <c r="Q133" s="498">
        <v>0</v>
      </c>
      <c r="R133" s="498">
        <v>0</v>
      </c>
      <c r="S133" s="498">
        <v>0</v>
      </c>
      <c r="T133" s="498">
        <v>0</v>
      </c>
      <c r="U133" s="498">
        <v>0</v>
      </c>
      <c r="V133" s="498">
        <v>0</v>
      </c>
      <c r="W133" s="498">
        <v>0</v>
      </c>
      <c r="X133" s="498">
        <v>0</v>
      </c>
      <c r="Y133" s="498">
        <v>0</v>
      </c>
      <c r="Z133" s="498">
        <v>0</v>
      </c>
      <c r="AA133" s="498">
        <v>0</v>
      </c>
      <c r="AB133" s="498">
        <v>0</v>
      </c>
      <c r="AC133" s="498">
        <v>0</v>
      </c>
      <c r="AD133" s="498">
        <v>0</v>
      </c>
      <c r="AE133" s="498">
        <v>0</v>
      </c>
      <c r="AF133" s="454"/>
      <c r="AG133" s="712"/>
    </row>
    <row r="134" spans="1:33" ht="21" x14ac:dyDescent="0.35">
      <c r="A134" s="457" t="s">
        <v>363</v>
      </c>
      <c r="B134" s="232"/>
      <c r="C134" s="485"/>
      <c r="D134" s="485"/>
      <c r="E134" s="485"/>
      <c r="F134" s="233"/>
      <c r="G134" s="233"/>
      <c r="H134" s="502"/>
      <c r="I134" s="502"/>
      <c r="J134" s="502"/>
      <c r="K134" s="502"/>
      <c r="L134" s="502"/>
      <c r="M134" s="502"/>
      <c r="N134" s="502"/>
      <c r="O134" s="502"/>
      <c r="P134" s="502"/>
      <c r="Q134" s="502"/>
      <c r="R134" s="502"/>
      <c r="S134" s="502"/>
      <c r="T134" s="502"/>
      <c r="U134" s="502"/>
      <c r="V134" s="502"/>
      <c r="W134" s="502"/>
      <c r="X134" s="502"/>
      <c r="Y134" s="502"/>
      <c r="Z134" s="502"/>
      <c r="AA134" s="502"/>
      <c r="AB134" s="502"/>
      <c r="AC134" s="502"/>
      <c r="AD134" s="502"/>
      <c r="AE134" s="502"/>
      <c r="AF134" s="486"/>
      <c r="AG134" s="712"/>
    </row>
    <row r="135" spans="1:33" s="451" customFormat="1" ht="21" x14ac:dyDescent="0.35">
      <c r="A135" s="459" t="s">
        <v>31</v>
      </c>
      <c r="B135" s="460">
        <f>B136+B137</f>
        <v>9173.3100000000013</v>
      </c>
      <c r="C135" s="460">
        <f>C136+C137</f>
        <v>9030.2099999999991</v>
      </c>
      <c r="D135" s="460">
        <f>D136+D137</f>
        <v>8532.9860000000008</v>
      </c>
      <c r="E135" s="460">
        <f>E136+E137</f>
        <v>8532.9860000000008</v>
      </c>
      <c r="F135" s="460">
        <f t="shared" si="62"/>
        <v>93.019706082101223</v>
      </c>
      <c r="G135" s="460">
        <f t="shared" si="63"/>
        <v>94.493771462679177</v>
      </c>
      <c r="H135" s="499">
        <f>H136+H137</f>
        <v>0</v>
      </c>
      <c r="I135" s="499">
        <f t="shared" ref="I135:AE135" si="65">I136+I137</f>
        <v>0</v>
      </c>
      <c r="J135" s="499">
        <f t="shared" si="65"/>
        <v>0</v>
      </c>
      <c r="K135" s="499">
        <f t="shared" si="65"/>
        <v>0</v>
      </c>
      <c r="L135" s="499">
        <f t="shared" si="65"/>
        <v>0</v>
      </c>
      <c r="M135" s="499">
        <f t="shared" si="65"/>
        <v>0</v>
      </c>
      <c r="N135" s="499">
        <f t="shared" si="65"/>
        <v>0</v>
      </c>
      <c r="O135" s="499">
        <f t="shared" si="65"/>
        <v>0</v>
      </c>
      <c r="P135" s="499">
        <f t="shared" si="65"/>
        <v>0</v>
      </c>
      <c r="Q135" s="499">
        <f t="shared" si="65"/>
        <v>0</v>
      </c>
      <c r="R135" s="499">
        <f t="shared" si="65"/>
        <v>9030.2099999999991</v>
      </c>
      <c r="S135" s="499">
        <f t="shared" si="65"/>
        <v>6332.9859999999999</v>
      </c>
      <c r="T135" s="499">
        <f t="shared" si="65"/>
        <v>0</v>
      </c>
      <c r="U135" s="499">
        <f t="shared" si="65"/>
        <v>2200</v>
      </c>
      <c r="V135" s="499">
        <f t="shared" si="65"/>
        <v>0</v>
      </c>
      <c r="W135" s="499">
        <f t="shared" si="65"/>
        <v>0</v>
      </c>
      <c r="X135" s="499">
        <f t="shared" si="65"/>
        <v>143.1</v>
      </c>
      <c r="Y135" s="499">
        <f t="shared" si="65"/>
        <v>0</v>
      </c>
      <c r="Z135" s="499">
        <f t="shared" si="65"/>
        <v>0</v>
      </c>
      <c r="AA135" s="499">
        <f t="shared" si="65"/>
        <v>0</v>
      </c>
      <c r="AB135" s="499">
        <f t="shared" si="65"/>
        <v>0</v>
      </c>
      <c r="AC135" s="499">
        <f t="shared" si="65"/>
        <v>0</v>
      </c>
      <c r="AD135" s="499">
        <f t="shared" si="65"/>
        <v>0</v>
      </c>
      <c r="AE135" s="499">
        <f t="shared" si="65"/>
        <v>0</v>
      </c>
      <c r="AF135" s="460"/>
      <c r="AG135" s="712"/>
    </row>
    <row r="136" spans="1:33" ht="21" x14ac:dyDescent="0.35">
      <c r="A136" s="462" t="s">
        <v>32</v>
      </c>
      <c r="B136" s="453">
        <f>B141</f>
        <v>4297.6000000000004</v>
      </c>
      <c r="C136" s="453">
        <f>C141</f>
        <v>4250.1000000000004</v>
      </c>
      <c r="D136" s="453">
        <f>D141</f>
        <v>4168.78</v>
      </c>
      <c r="E136" s="453">
        <f>E141</f>
        <v>4168.78</v>
      </c>
      <c r="F136" s="463">
        <f t="shared" si="62"/>
        <v>97.002513030528647</v>
      </c>
      <c r="G136" s="463">
        <f t="shared" si="63"/>
        <v>98.086633255688085</v>
      </c>
      <c r="H136" s="498">
        <f>H141</f>
        <v>0</v>
      </c>
      <c r="I136" s="498">
        <f t="shared" ref="I136:AE136" si="66">I141</f>
        <v>0</v>
      </c>
      <c r="J136" s="498">
        <f t="shared" si="66"/>
        <v>0</v>
      </c>
      <c r="K136" s="498">
        <f t="shared" si="66"/>
        <v>0</v>
      </c>
      <c r="L136" s="498">
        <f t="shared" si="66"/>
        <v>0</v>
      </c>
      <c r="M136" s="498">
        <f t="shared" si="66"/>
        <v>0</v>
      </c>
      <c r="N136" s="498">
        <f t="shared" si="66"/>
        <v>0</v>
      </c>
      <c r="O136" s="498">
        <f t="shared" si="66"/>
        <v>0</v>
      </c>
      <c r="P136" s="498">
        <f t="shared" si="66"/>
        <v>0</v>
      </c>
      <c r="Q136" s="498">
        <f t="shared" si="66"/>
        <v>0</v>
      </c>
      <c r="R136" s="498">
        <f t="shared" si="66"/>
        <v>4250.1000000000004</v>
      </c>
      <c r="S136" s="498">
        <f t="shared" si="66"/>
        <v>4168.78</v>
      </c>
      <c r="T136" s="498">
        <f t="shared" si="66"/>
        <v>0</v>
      </c>
      <c r="U136" s="498">
        <f t="shared" si="66"/>
        <v>0</v>
      </c>
      <c r="V136" s="498">
        <f t="shared" si="66"/>
        <v>0</v>
      </c>
      <c r="W136" s="498">
        <f t="shared" si="66"/>
        <v>0</v>
      </c>
      <c r="X136" s="498">
        <f t="shared" si="66"/>
        <v>47.5</v>
      </c>
      <c r="Y136" s="498">
        <f t="shared" si="66"/>
        <v>0</v>
      </c>
      <c r="Z136" s="498">
        <f t="shared" si="66"/>
        <v>0</v>
      </c>
      <c r="AA136" s="498">
        <f t="shared" si="66"/>
        <v>0</v>
      </c>
      <c r="AB136" s="498">
        <f t="shared" si="66"/>
        <v>0</v>
      </c>
      <c r="AC136" s="498">
        <f t="shared" si="66"/>
        <v>0</v>
      </c>
      <c r="AD136" s="498">
        <f t="shared" si="66"/>
        <v>0</v>
      </c>
      <c r="AE136" s="498">
        <f t="shared" si="66"/>
        <v>0</v>
      </c>
      <c r="AF136" s="454"/>
      <c r="AG136" s="712"/>
    </row>
    <row r="137" spans="1:33" ht="21" x14ac:dyDescent="0.35">
      <c r="A137" s="462" t="s">
        <v>33</v>
      </c>
      <c r="B137" s="453">
        <f>B142+B146</f>
        <v>4875.71</v>
      </c>
      <c r="C137" s="453">
        <f>C40+C65+C130</f>
        <v>4780.1099999999997</v>
      </c>
      <c r="D137" s="453">
        <f>D40+D65+D130</f>
        <v>4364.2060000000001</v>
      </c>
      <c r="E137" s="453">
        <f>E40+E65+E130</f>
        <v>4364.2060000000001</v>
      </c>
      <c r="F137" s="463">
        <f t="shared" si="62"/>
        <v>89.50913815628904</v>
      </c>
      <c r="G137" s="463">
        <f t="shared" si="63"/>
        <v>91.299279723688372</v>
      </c>
      <c r="H137" s="498">
        <f t="shared" ref="H137:AE137" si="67">H40+H65+H130</f>
        <v>0</v>
      </c>
      <c r="I137" s="498">
        <f t="shared" si="67"/>
        <v>0</v>
      </c>
      <c r="J137" s="498">
        <f t="shared" si="67"/>
        <v>0</v>
      </c>
      <c r="K137" s="498">
        <f t="shared" si="67"/>
        <v>0</v>
      </c>
      <c r="L137" s="498">
        <f t="shared" si="67"/>
        <v>0</v>
      </c>
      <c r="M137" s="498">
        <f t="shared" si="67"/>
        <v>0</v>
      </c>
      <c r="N137" s="498">
        <f t="shared" si="67"/>
        <v>0</v>
      </c>
      <c r="O137" s="498">
        <f t="shared" si="67"/>
        <v>0</v>
      </c>
      <c r="P137" s="498">
        <f t="shared" si="67"/>
        <v>0</v>
      </c>
      <c r="Q137" s="498">
        <f t="shared" si="67"/>
        <v>0</v>
      </c>
      <c r="R137" s="498">
        <f t="shared" si="67"/>
        <v>4780.1099999999997</v>
      </c>
      <c r="S137" s="498">
        <f t="shared" si="67"/>
        <v>2164.2060000000001</v>
      </c>
      <c r="T137" s="498">
        <f t="shared" si="67"/>
        <v>0</v>
      </c>
      <c r="U137" s="498">
        <f t="shared" si="67"/>
        <v>2200</v>
      </c>
      <c r="V137" s="498">
        <f t="shared" si="67"/>
        <v>0</v>
      </c>
      <c r="W137" s="498">
        <f t="shared" si="67"/>
        <v>0</v>
      </c>
      <c r="X137" s="498">
        <f t="shared" si="67"/>
        <v>95.6</v>
      </c>
      <c r="Y137" s="498">
        <f t="shared" si="67"/>
        <v>0</v>
      </c>
      <c r="Z137" s="498">
        <f t="shared" si="67"/>
        <v>0</v>
      </c>
      <c r="AA137" s="498">
        <f t="shared" si="67"/>
        <v>0</v>
      </c>
      <c r="AB137" s="498">
        <f t="shared" si="67"/>
        <v>0</v>
      </c>
      <c r="AC137" s="498">
        <f t="shared" si="67"/>
        <v>0</v>
      </c>
      <c r="AD137" s="498">
        <f t="shared" si="67"/>
        <v>0</v>
      </c>
      <c r="AE137" s="498">
        <f t="shared" si="67"/>
        <v>0</v>
      </c>
      <c r="AF137" s="454"/>
      <c r="AG137" s="712"/>
    </row>
    <row r="138" spans="1:33" ht="37.5" x14ac:dyDescent="0.35">
      <c r="A138" s="487" t="s">
        <v>174</v>
      </c>
      <c r="B138" s="453">
        <f>B143</f>
        <v>226.20999999999998</v>
      </c>
      <c r="C138" s="453">
        <f t="shared" ref="C138:AE138" si="68">C143</f>
        <v>223.70999999999998</v>
      </c>
      <c r="D138" s="453">
        <f t="shared" si="68"/>
        <v>219.43</v>
      </c>
      <c r="E138" s="453">
        <f t="shared" si="68"/>
        <v>219.43</v>
      </c>
      <c r="F138" s="463">
        <f t="shared" si="62"/>
        <v>97.002785022766474</v>
      </c>
      <c r="G138" s="463">
        <f t="shared" si="63"/>
        <v>98.086808814983698</v>
      </c>
      <c r="H138" s="498">
        <f t="shared" si="68"/>
        <v>0</v>
      </c>
      <c r="I138" s="498">
        <f t="shared" si="68"/>
        <v>0</v>
      </c>
      <c r="J138" s="498">
        <f t="shared" si="68"/>
        <v>0</v>
      </c>
      <c r="K138" s="498">
        <f t="shared" si="68"/>
        <v>0</v>
      </c>
      <c r="L138" s="498">
        <f t="shared" si="68"/>
        <v>0</v>
      </c>
      <c r="M138" s="498">
        <f t="shared" si="68"/>
        <v>0</v>
      </c>
      <c r="N138" s="498">
        <f t="shared" si="68"/>
        <v>0</v>
      </c>
      <c r="O138" s="498">
        <f t="shared" si="68"/>
        <v>0</v>
      </c>
      <c r="P138" s="498">
        <f t="shared" si="68"/>
        <v>0</v>
      </c>
      <c r="Q138" s="498">
        <f t="shared" si="68"/>
        <v>0</v>
      </c>
      <c r="R138" s="498">
        <f t="shared" si="68"/>
        <v>223.70999999999998</v>
      </c>
      <c r="S138" s="498">
        <f t="shared" si="68"/>
        <v>219.43</v>
      </c>
      <c r="T138" s="498">
        <f t="shared" si="68"/>
        <v>0</v>
      </c>
      <c r="U138" s="498">
        <f t="shared" si="68"/>
        <v>0</v>
      </c>
      <c r="V138" s="498">
        <f t="shared" si="68"/>
        <v>0</v>
      </c>
      <c r="W138" s="498">
        <f t="shared" si="68"/>
        <v>0</v>
      </c>
      <c r="X138" s="498">
        <f t="shared" si="68"/>
        <v>2.5</v>
      </c>
      <c r="Y138" s="498">
        <f t="shared" si="68"/>
        <v>0</v>
      </c>
      <c r="Z138" s="498">
        <f t="shared" si="68"/>
        <v>0</v>
      </c>
      <c r="AA138" s="498">
        <f t="shared" si="68"/>
        <v>0</v>
      </c>
      <c r="AB138" s="498">
        <f t="shared" si="68"/>
        <v>0</v>
      </c>
      <c r="AC138" s="498">
        <f t="shared" si="68"/>
        <v>0</v>
      </c>
      <c r="AD138" s="498">
        <f t="shared" si="68"/>
        <v>0</v>
      </c>
      <c r="AE138" s="498">
        <f t="shared" si="68"/>
        <v>0</v>
      </c>
      <c r="AF138" s="454"/>
      <c r="AG138" s="712"/>
    </row>
    <row r="139" spans="1:33" ht="21" x14ac:dyDescent="0.35">
      <c r="A139" s="488" t="s">
        <v>364</v>
      </c>
      <c r="B139" s="489"/>
      <c r="C139" s="489"/>
      <c r="D139" s="489"/>
      <c r="E139" s="489"/>
      <c r="F139" s="234"/>
      <c r="G139" s="234"/>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90"/>
      <c r="AE139" s="491"/>
      <c r="AF139" s="492"/>
      <c r="AG139" s="712"/>
    </row>
    <row r="140" spans="1:33" s="451" customFormat="1" ht="21" x14ac:dyDescent="0.35">
      <c r="A140" s="448" t="s">
        <v>31</v>
      </c>
      <c r="B140" s="460">
        <f>B141+B142</f>
        <v>9173.3100000000013</v>
      </c>
      <c r="C140" s="460">
        <f>C141+C142</f>
        <v>9030.2099999999991</v>
      </c>
      <c r="D140" s="460">
        <f>D141+D142</f>
        <v>8532.9860000000008</v>
      </c>
      <c r="E140" s="460">
        <f>E141+E142</f>
        <v>8532.9860000000008</v>
      </c>
      <c r="F140" s="460">
        <f t="shared" si="62"/>
        <v>93.019706082101223</v>
      </c>
      <c r="G140" s="460">
        <f t="shared" si="63"/>
        <v>94.493771462679177</v>
      </c>
      <c r="H140" s="499">
        <f>H141+H142</f>
        <v>0</v>
      </c>
      <c r="I140" s="499">
        <f t="shared" ref="I140:AE140" si="69">I141+I142</f>
        <v>0</v>
      </c>
      <c r="J140" s="499">
        <f t="shared" si="69"/>
        <v>0</v>
      </c>
      <c r="K140" s="499">
        <f t="shared" si="69"/>
        <v>0</v>
      </c>
      <c r="L140" s="499">
        <f t="shared" si="69"/>
        <v>0</v>
      </c>
      <c r="M140" s="499">
        <f t="shared" si="69"/>
        <v>0</v>
      </c>
      <c r="N140" s="499">
        <f t="shared" si="69"/>
        <v>0</v>
      </c>
      <c r="O140" s="499">
        <f t="shared" si="69"/>
        <v>0</v>
      </c>
      <c r="P140" s="499">
        <f t="shared" si="69"/>
        <v>0</v>
      </c>
      <c r="Q140" s="499">
        <f t="shared" si="69"/>
        <v>0</v>
      </c>
      <c r="R140" s="499">
        <f t="shared" si="69"/>
        <v>9030.2099999999991</v>
      </c>
      <c r="S140" s="499">
        <f t="shared" si="69"/>
        <v>6332.9859999999999</v>
      </c>
      <c r="T140" s="499">
        <f t="shared" si="69"/>
        <v>0</v>
      </c>
      <c r="U140" s="499">
        <f t="shared" si="69"/>
        <v>2200</v>
      </c>
      <c r="V140" s="499">
        <f t="shared" si="69"/>
        <v>0</v>
      </c>
      <c r="W140" s="499">
        <f t="shared" si="69"/>
        <v>0</v>
      </c>
      <c r="X140" s="499">
        <f t="shared" si="69"/>
        <v>143.1</v>
      </c>
      <c r="Y140" s="499">
        <f t="shared" si="69"/>
        <v>0</v>
      </c>
      <c r="Z140" s="499">
        <f t="shared" si="69"/>
        <v>0</v>
      </c>
      <c r="AA140" s="499">
        <f t="shared" si="69"/>
        <v>0</v>
      </c>
      <c r="AB140" s="499">
        <f t="shared" si="69"/>
        <v>0</v>
      </c>
      <c r="AC140" s="499">
        <f t="shared" si="69"/>
        <v>0</v>
      </c>
      <c r="AD140" s="499">
        <f t="shared" si="69"/>
        <v>0</v>
      </c>
      <c r="AE140" s="499">
        <f t="shared" si="69"/>
        <v>0</v>
      </c>
      <c r="AF140" s="460"/>
      <c r="AG140" s="712"/>
    </row>
    <row r="141" spans="1:33" ht="21" x14ac:dyDescent="0.35">
      <c r="A141" s="452" t="s">
        <v>32</v>
      </c>
      <c r="B141" s="453">
        <f t="shared" ref="B141:E143" si="70">B39+B64</f>
        <v>4297.6000000000004</v>
      </c>
      <c r="C141" s="453">
        <f t="shared" si="70"/>
        <v>4250.1000000000004</v>
      </c>
      <c r="D141" s="453">
        <f t="shared" si="70"/>
        <v>4168.78</v>
      </c>
      <c r="E141" s="453">
        <f t="shared" si="70"/>
        <v>4168.78</v>
      </c>
      <c r="F141" s="463">
        <f t="shared" si="62"/>
        <v>97.002513030528647</v>
      </c>
      <c r="G141" s="463">
        <f t="shared" si="63"/>
        <v>98.086633255688085</v>
      </c>
      <c r="H141" s="498">
        <f>H39+H64</f>
        <v>0</v>
      </c>
      <c r="I141" s="498">
        <f t="shared" ref="I141:AE143" si="71">I39+I64</f>
        <v>0</v>
      </c>
      <c r="J141" s="498">
        <f t="shared" si="71"/>
        <v>0</v>
      </c>
      <c r="K141" s="498">
        <f t="shared" si="71"/>
        <v>0</v>
      </c>
      <c r="L141" s="498">
        <f t="shared" si="71"/>
        <v>0</v>
      </c>
      <c r="M141" s="498">
        <f t="shared" si="71"/>
        <v>0</v>
      </c>
      <c r="N141" s="498">
        <f t="shared" si="71"/>
        <v>0</v>
      </c>
      <c r="O141" s="498">
        <f t="shared" si="71"/>
        <v>0</v>
      </c>
      <c r="P141" s="498">
        <f t="shared" si="71"/>
        <v>0</v>
      </c>
      <c r="Q141" s="498">
        <f t="shared" si="71"/>
        <v>0</v>
      </c>
      <c r="R141" s="498">
        <f t="shared" si="71"/>
        <v>4250.1000000000004</v>
      </c>
      <c r="S141" s="498">
        <f t="shared" si="71"/>
        <v>4168.78</v>
      </c>
      <c r="T141" s="498">
        <f t="shared" si="71"/>
        <v>0</v>
      </c>
      <c r="U141" s="498">
        <f t="shared" si="71"/>
        <v>0</v>
      </c>
      <c r="V141" s="498">
        <f t="shared" si="71"/>
        <v>0</v>
      </c>
      <c r="W141" s="498">
        <f t="shared" si="71"/>
        <v>0</v>
      </c>
      <c r="X141" s="498">
        <f t="shared" si="71"/>
        <v>47.5</v>
      </c>
      <c r="Y141" s="498">
        <f t="shared" si="71"/>
        <v>0</v>
      </c>
      <c r="Z141" s="498">
        <f t="shared" si="71"/>
        <v>0</v>
      </c>
      <c r="AA141" s="498">
        <f t="shared" si="71"/>
        <v>0</v>
      </c>
      <c r="AB141" s="498">
        <f t="shared" si="71"/>
        <v>0</v>
      </c>
      <c r="AC141" s="498">
        <f t="shared" si="71"/>
        <v>0</v>
      </c>
      <c r="AD141" s="498">
        <f t="shared" si="71"/>
        <v>0</v>
      </c>
      <c r="AE141" s="498">
        <f t="shared" si="71"/>
        <v>0</v>
      </c>
      <c r="AF141" s="454"/>
      <c r="AG141" s="712"/>
    </row>
    <row r="142" spans="1:33" ht="21" x14ac:dyDescent="0.35">
      <c r="A142" s="452" t="s">
        <v>33</v>
      </c>
      <c r="B142" s="453">
        <f t="shared" si="70"/>
        <v>4875.71</v>
      </c>
      <c r="C142" s="453">
        <f>C40+C65</f>
        <v>4780.1099999999997</v>
      </c>
      <c r="D142" s="453">
        <f t="shared" si="70"/>
        <v>4364.2060000000001</v>
      </c>
      <c r="E142" s="453">
        <f t="shared" si="70"/>
        <v>4364.2060000000001</v>
      </c>
      <c r="F142" s="463">
        <f t="shared" si="62"/>
        <v>89.50913815628904</v>
      </c>
      <c r="G142" s="463">
        <f t="shared" si="63"/>
        <v>91.299279723688372</v>
      </c>
      <c r="H142" s="498">
        <f t="shared" ref="H142:W143" si="72">H40+H65</f>
        <v>0</v>
      </c>
      <c r="I142" s="498">
        <f t="shared" si="72"/>
        <v>0</v>
      </c>
      <c r="J142" s="498">
        <f t="shared" si="72"/>
        <v>0</v>
      </c>
      <c r="K142" s="498">
        <f t="shared" si="72"/>
        <v>0</v>
      </c>
      <c r="L142" s="498">
        <f t="shared" si="72"/>
        <v>0</v>
      </c>
      <c r="M142" s="498">
        <f t="shared" si="72"/>
        <v>0</v>
      </c>
      <c r="N142" s="498">
        <f t="shared" si="72"/>
        <v>0</v>
      </c>
      <c r="O142" s="498">
        <f t="shared" si="72"/>
        <v>0</v>
      </c>
      <c r="P142" s="498">
        <f t="shared" si="72"/>
        <v>0</v>
      </c>
      <c r="Q142" s="498">
        <f t="shared" si="72"/>
        <v>0</v>
      </c>
      <c r="R142" s="498">
        <f t="shared" si="72"/>
        <v>4780.1099999999997</v>
      </c>
      <c r="S142" s="498">
        <f t="shared" si="72"/>
        <v>2164.2060000000001</v>
      </c>
      <c r="T142" s="498">
        <f t="shared" si="72"/>
        <v>0</v>
      </c>
      <c r="U142" s="498">
        <f t="shared" si="72"/>
        <v>2200</v>
      </c>
      <c r="V142" s="498">
        <f t="shared" si="72"/>
        <v>0</v>
      </c>
      <c r="W142" s="498">
        <f t="shared" si="72"/>
        <v>0</v>
      </c>
      <c r="X142" s="498">
        <f t="shared" si="71"/>
        <v>95.6</v>
      </c>
      <c r="Y142" s="498">
        <f t="shared" si="71"/>
        <v>0</v>
      </c>
      <c r="Z142" s="498">
        <f t="shared" si="71"/>
        <v>0</v>
      </c>
      <c r="AA142" s="498">
        <f t="shared" si="71"/>
        <v>0</v>
      </c>
      <c r="AB142" s="498">
        <f t="shared" si="71"/>
        <v>0</v>
      </c>
      <c r="AC142" s="498">
        <f t="shared" si="71"/>
        <v>0</v>
      </c>
      <c r="AD142" s="498">
        <f t="shared" si="71"/>
        <v>0</v>
      </c>
      <c r="AE142" s="498">
        <f t="shared" si="71"/>
        <v>0</v>
      </c>
      <c r="AF142" s="454"/>
      <c r="AG142" s="712"/>
    </row>
    <row r="143" spans="1:33" ht="37.5" x14ac:dyDescent="0.35">
      <c r="A143" s="471" t="s">
        <v>174</v>
      </c>
      <c r="B143" s="453">
        <f t="shared" si="70"/>
        <v>226.20999999999998</v>
      </c>
      <c r="C143" s="453">
        <f t="shared" si="70"/>
        <v>223.70999999999998</v>
      </c>
      <c r="D143" s="453">
        <f t="shared" si="70"/>
        <v>219.43</v>
      </c>
      <c r="E143" s="453">
        <f t="shared" si="70"/>
        <v>219.43</v>
      </c>
      <c r="F143" s="463">
        <f t="shared" si="62"/>
        <v>97.002785022766474</v>
      </c>
      <c r="G143" s="463">
        <f t="shared" si="63"/>
        <v>98.086808814983698</v>
      </c>
      <c r="H143" s="498">
        <f t="shared" si="72"/>
        <v>0</v>
      </c>
      <c r="I143" s="498">
        <f t="shared" si="72"/>
        <v>0</v>
      </c>
      <c r="J143" s="498">
        <f t="shared" si="72"/>
        <v>0</v>
      </c>
      <c r="K143" s="498">
        <f t="shared" si="72"/>
        <v>0</v>
      </c>
      <c r="L143" s="498">
        <f t="shared" si="72"/>
        <v>0</v>
      </c>
      <c r="M143" s="498">
        <f t="shared" si="72"/>
        <v>0</v>
      </c>
      <c r="N143" s="498">
        <f t="shared" si="72"/>
        <v>0</v>
      </c>
      <c r="O143" s="498">
        <f t="shared" si="72"/>
        <v>0</v>
      </c>
      <c r="P143" s="498">
        <f t="shared" si="72"/>
        <v>0</v>
      </c>
      <c r="Q143" s="498">
        <f t="shared" si="72"/>
        <v>0</v>
      </c>
      <c r="R143" s="498">
        <f t="shared" si="72"/>
        <v>223.70999999999998</v>
      </c>
      <c r="S143" s="498">
        <f t="shared" si="72"/>
        <v>219.43</v>
      </c>
      <c r="T143" s="498">
        <f t="shared" si="72"/>
        <v>0</v>
      </c>
      <c r="U143" s="498">
        <f t="shared" si="72"/>
        <v>0</v>
      </c>
      <c r="V143" s="498">
        <f t="shared" si="72"/>
        <v>0</v>
      </c>
      <c r="W143" s="498">
        <f t="shared" si="72"/>
        <v>0</v>
      </c>
      <c r="X143" s="498">
        <f t="shared" si="71"/>
        <v>2.5</v>
      </c>
      <c r="Y143" s="498">
        <f t="shared" si="71"/>
        <v>0</v>
      </c>
      <c r="Z143" s="498">
        <f t="shared" si="71"/>
        <v>0</v>
      </c>
      <c r="AA143" s="498">
        <f t="shared" si="71"/>
        <v>0</v>
      </c>
      <c r="AB143" s="498">
        <f t="shared" si="71"/>
        <v>0</v>
      </c>
      <c r="AC143" s="498">
        <f t="shared" si="71"/>
        <v>0</v>
      </c>
      <c r="AD143" s="498">
        <f t="shared" si="71"/>
        <v>0</v>
      </c>
      <c r="AE143" s="498">
        <f t="shared" si="71"/>
        <v>0</v>
      </c>
      <c r="AF143" s="454"/>
      <c r="AG143" s="712"/>
    </row>
    <row r="144" spans="1:33" ht="21" x14ac:dyDescent="0.35">
      <c r="A144" s="488" t="s">
        <v>365</v>
      </c>
      <c r="B144" s="489"/>
      <c r="C144" s="489"/>
      <c r="D144" s="489"/>
      <c r="E144" s="489"/>
      <c r="F144" s="234"/>
      <c r="G144" s="234"/>
      <c r="H144" s="489"/>
      <c r="I144" s="489"/>
      <c r="J144" s="489"/>
      <c r="K144" s="489"/>
      <c r="L144" s="489"/>
      <c r="M144" s="489"/>
      <c r="N144" s="489"/>
      <c r="O144" s="489"/>
      <c r="P144" s="489"/>
      <c r="Q144" s="489"/>
      <c r="R144" s="489"/>
      <c r="S144" s="489"/>
      <c r="T144" s="489"/>
      <c r="U144" s="489"/>
      <c r="V144" s="489"/>
      <c r="W144" s="489"/>
      <c r="X144" s="489"/>
      <c r="Y144" s="489"/>
      <c r="Z144" s="489"/>
      <c r="AA144" s="489"/>
      <c r="AB144" s="489"/>
      <c r="AC144" s="489"/>
      <c r="AD144" s="490"/>
      <c r="AE144" s="491"/>
      <c r="AF144" s="492"/>
      <c r="AG144" s="712"/>
    </row>
    <row r="145" spans="1:33" s="451" customFormat="1" ht="21" x14ac:dyDescent="0.35">
      <c r="A145" s="448" t="s">
        <v>31</v>
      </c>
      <c r="B145" s="460">
        <f>B146</f>
        <v>0</v>
      </c>
      <c r="C145" s="460">
        <f>C146</f>
        <v>0</v>
      </c>
      <c r="D145" s="460">
        <f>D146</f>
        <v>0</v>
      </c>
      <c r="E145" s="460">
        <f>E146</f>
        <v>0</v>
      </c>
      <c r="F145" s="460">
        <f t="shared" si="62"/>
        <v>0</v>
      </c>
      <c r="G145" s="460">
        <f t="shared" si="63"/>
        <v>0</v>
      </c>
      <c r="H145" s="499">
        <f>H146</f>
        <v>0</v>
      </c>
      <c r="I145" s="499">
        <f t="shared" ref="I145:AE145" si="73">I146</f>
        <v>0</v>
      </c>
      <c r="J145" s="499">
        <f t="shared" si="73"/>
        <v>0</v>
      </c>
      <c r="K145" s="499">
        <f t="shared" si="73"/>
        <v>0</v>
      </c>
      <c r="L145" s="499">
        <f t="shared" si="73"/>
        <v>0</v>
      </c>
      <c r="M145" s="499">
        <f t="shared" si="73"/>
        <v>0</v>
      </c>
      <c r="N145" s="499">
        <f t="shared" si="73"/>
        <v>0</v>
      </c>
      <c r="O145" s="499">
        <f t="shared" si="73"/>
        <v>0</v>
      </c>
      <c r="P145" s="499">
        <f t="shared" si="73"/>
        <v>0</v>
      </c>
      <c r="Q145" s="499">
        <f t="shared" si="73"/>
        <v>0</v>
      </c>
      <c r="R145" s="499">
        <f t="shared" si="73"/>
        <v>0</v>
      </c>
      <c r="S145" s="499">
        <f t="shared" si="73"/>
        <v>0</v>
      </c>
      <c r="T145" s="499">
        <f t="shared" si="73"/>
        <v>0</v>
      </c>
      <c r="U145" s="499">
        <f t="shared" si="73"/>
        <v>0</v>
      </c>
      <c r="V145" s="499">
        <f t="shared" si="73"/>
        <v>0</v>
      </c>
      <c r="W145" s="499">
        <f t="shared" si="73"/>
        <v>0</v>
      </c>
      <c r="X145" s="499">
        <f t="shared" si="73"/>
        <v>0</v>
      </c>
      <c r="Y145" s="499">
        <f t="shared" si="73"/>
        <v>0</v>
      </c>
      <c r="Z145" s="499">
        <f t="shared" si="73"/>
        <v>0</v>
      </c>
      <c r="AA145" s="499">
        <f t="shared" si="73"/>
        <v>0</v>
      </c>
      <c r="AB145" s="499">
        <f t="shared" si="73"/>
        <v>0</v>
      </c>
      <c r="AC145" s="499">
        <f t="shared" si="73"/>
        <v>0</v>
      </c>
      <c r="AD145" s="499">
        <f t="shared" si="73"/>
        <v>0</v>
      </c>
      <c r="AE145" s="499">
        <f t="shared" si="73"/>
        <v>0</v>
      </c>
      <c r="AF145" s="460"/>
      <c r="AG145" s="712"/>
    </row>
    <row r="146" spans="1:33" ht="21" x14ac:dyDescent="0.35">
      <c r="A146" s="452" t="s">
        <v>33</v>
      </c>
      <c r="B146" s="453">
        <f>B130</f>
        <v>0</v>
      </c>
      <c r="C146" s="453">
        <f>C130</f>
        <v>0</v>
      </c>
      <c r="D146" s="453">
        <f>D130</f>
        <v>0</v>
      </c>
      <c r="E146" s="453">
        <f>E130</f>
        <v>0</v>
      </c>
      <c r="F146" s="463">
        <f>F253</f>
        <v>0</v>
      </c>
      <c r="G146" s="463">
        <f>G253</f>
        <v>0</v>
      </c>
      <c r="H146" s="498">
        <f t="shared" ref="H146:AE146" si="74">H130</f>
        <v>0</v>
      </c>
      <c r="I146" s="498">
        <f t="shared" si="74"/>
        <v>0</v>
      </c>
      <c r="J146" s="498">
        <f t="shared" si="74"/>
        <v>0</v>
      </c>
      <c r="K146" s="498">
        <f t="shared" si="74"/>
        <v>0</v>
      </c>
      <c r="L146" s="498">
        <f t="shared" si="74"/>
        <v>0</v>
      </c>
      <c r="M146" s="498">
        <f t="shared" si="74"/>
        <v>0</v>
      </c>
      <c r="N146" s="498">
        <f t="shared" si="74"/>
        <v>0</v>
      </c>
      <c r="O146" s="498">
        <f t="shared" si="74"/>
        <v>0</v>
      </c>
      <c r="P146" s="498">
        <f t="shared" si="74"/>
        <v>0</v>
      </c>
      <c r="Q146" s="498">
        <f t="shared" si="74"/>
        <v>0</v>
      </c>
      <c r="R146" s="498">
        <f t="shared" si="74"/>
        <v>0</v>
      </c>
      <c r="S146" s="498">
        <f t="shared" si="74"/>
        <v>0</v>
      </c>
      <c r="T146" s="498">
        <f t="shared" si="74"/>
        <v>0</v>
      </c>
      <c r="U146" s="498">
        <f t="shared" si="74"/>
        <v>0</v>
      </c>
      <c r="V146" s="498">
        <f t="shared" si="74"/>
        <v>0</v>
      </c>
      <c r="W146" s="498">
        <f t="shared" si="74"/>
        <v>0</v>
      </c>
      <c r="X146" s="498">
        <f t="shared" si="74"/>
        <v>0</v>
      </c>
      <c r="Y146" s="498">
        <f t="shared" si="74"/>
        <v>0</v>
      </c>
      <c r="Z146" s="498">
        <f t="shared" si="74"/>
        <v>0</v>
      </c>
      <c r="AA146" s="498">
        <f t="shared" si="74"/>
        <v>0</v>
      </c>
      <c r="AB146" s="498">
        <f t="shared" si="74"/>
        <v>0</v>
      </c>
      <c r="AC146" s="498">
        <f t="shared" si="74"/>
        <v>0</v>
      </c>
      <c r="AD146" s="498">
        <f t="shared" si="74"/>
        <v>0</v>
      </c>
      <c r="AE146" s="498">
        <f t="shared" si="74"/>
        <v>0</v>
      </c>
      <c r="AF146" s="454"/>
      <c r="AG146" s="712"/>
    </row>
    <row r="147" spans="1:33" ht="36.75" customHeight="1" x14ac:dyDescent="0.35">
      <c r="A147" s="493" t="s">
        <v>66</v>
      </c>
      <c r="B147" s="598">
        <f>B148+B149</f>
        <v>64974.935999999994</v>
      </c>
      <c r="C147" s="598">
        <f>C148+C149</f>
        <v>44041.081999999995</v>
      </c>
      <c r="D147" s="598">
        <f>D148+D149</f>
        <v>39629.226000000002</v>
      </c>
      <c r="E147" s="598">
        <f>E148+E149</f>
        <v>39629.226000000002</v>
      </c>
      <c r="F147" s="598">
        <f t="shared" ref="F147:F157" si="75">IFERROR(E147/B147*100,0)</f>
        <v>60.991558344897797</v>
      </c>
      <c r="G147" s="598">
        <f t="shared" ref="G147:G157" si="76">IFERROR(E147/C147*100,0)</f>
        <v>89.982407789163773</v>
      </c>
      <c r="H147" s="599">
        <f>H148+H149</f>
        <v>7237.6039999999994</v>
      </c>
      <c r="I147" s="599">
        <f t="shared" ref="I147:AE147" si="77">I148+I149</f>
        <v>4175.2790000000005</v>
      </c>
      <c r="J147" s="599">
        <f t="shared" si="77"/>
        <v>4703.8770000000004</v>
      </c>
      <c r="K147" s="599">
        <f t="shared" si="77"/>
        <v>5381.9040000000005</v>
      </c>
      <c r="L147" s="599">
        <f t="shared" si="77"/>
        <v>3760.3250000000003</v>
      </c>
      <c r="M147" s="599">
        <f t="shared" si="77"/>
        <v>3679.2779999999998</v>
      </c>
      <c r="N147" s="599">
        <f t="shared" si="77"/>
        <v>5461.0149999999994</v>
      </c>
      <c r="O147" s="599">
        <f t="shared" si="77"/>
        <v>3373.585</v>
      </c>
      <c r="P147" s="599">
        <f t="shared" si="77"/>
        <v>4632.6670000000004</v>
      </c>
      <c r="Q147" s="599">
        <f t="shared" si="77"/>
        <v>4083.6669999999999</v>
      </c>
      <c r="R147" s="599">
        <f t="shared" si="77"/>
        <v>12770.093999999999</v>
      </c>
      <c r="S147" s="599">
        <f t="shared" si="77"/>
        <v>11457.358</v>
      </c>
      <c r="T147" s="599">
        <f t="shared" si="77"/>
        <v>5475.5</v>
      </c>
      <c r="U147" s="599">
        <f t="shared" si="77"/>
        <v>7478.1549999999997</v>
      </c>
      <c r="V147" s="599">
        <f t="shared" si="77"/>
        <v>4302.0499999999993</v>
      </c>
      <c r="W147" s="599">
        <f t="shared" si="77"/>
        <v>0</v>
      </c>
      <c r="X147" s="599">
        <f t="shared" si="77"/>
        <v>3884.86</v>
      </c>
      <c r="Y147" s="599">
        <f t="shared" si="77"/>
        <v>0</v>
      </c>
      <c r="Z147" s="599">
        <f t="shared" si="77"/>
        <v>5458.6509999999998</v>
      </c>
      <c r="AA147" s="599">
        <f t="shared" si="77"/>
        <v>0</v>
      </c>
      <c r="AB147" s="599">
        <f t="shared" si="77"/>
        <v>4262.7449999999999</v>
      </c>
      <c r="AC147" s="599">
        <f t="shared" si="77"/>
        <v>0</v>
      </c>
      <c r="AD147" s="599">
        <f t="shared" si="77"/>
        <v>3025.5479999999998</v>
      </c>
      <c r="AE147" s="599">
        <f t="shared" si="77"/>
        <v>0</v>
      </c>
      <c r="AF147" s="453"/>
      <c r="AG147" s="712"/>
    </row>
    <row r="148" spans="1:33" ht="21" x14ac:dyDescent="0.35">
      <c r="A148" s="452" t="s">
        <v>32</v>
      </c>
      <c r="B148" s="463">
        <f>B152+B156</f>
        <v>4668.933</v>
      </c>
      <c r="C148" s="463">
        <f>C152+C156</f>
        <v>4621.433</v>
      </c>
      <c r="D148" s="463">
        <f t="shared" ref="D148:AE148" si="78">D152+D156</f>
        <v>4540.1139999999996</v>
      </c>
      <c r="E148" s="463">
        <f t="shared" si="78"/>
        <v>4540.1139999999996</v>
      </c>
      <c r="F148" s="598">
        <f t="shared" si="75"/>
        <v>97.240932778431372</v>
      </c>
      <c r="G148" s="598">
        <f t="shared" si="76"/>
        <v>98.240394267319246</v>
      </c>
      <c r="H148" s="463">
        <f t="shared" si="78"/>
        <v>0</v>
      </c>
      <c r="I148" s="463">
        <f t="shared" si="78"/>
        <v>0</v>
      </c>
      <c r="J148" s="463">
        <f t="shared" si="78"/>
        <v>0</v>
      </c>
      <c r="K148" s="463">
        <f t="shared" si="78"/>
        <v>0</v>
      </c>
      <c r="L148" s="463">
        <f t="shared" si="78"/>
        <v>0</v>
      </c>
      <c r="M148" s="463">
        <f t="shared" si="78"/>
        <v>0</v>
      </c>
      <c r="N148" s="463">
        <f t="shared" si="78"/>
        <v>0</v>
      </c>
      <c r="O148" s="463">
        <f t="shared" si="78"/>
        <v>0</v>
      </c>
      <c r="P148" s="463">
        <f t="shared" si="78"/>
        <v>371.33300000000003</v>
      </c>
      <c r="Q148" s="463">
        <f t="shared" si="78"/>
        <v>371.334</v>
      </c>
      <c r="R148" s="463">
        <f t="shared" si="78"/>
        <v>4250.1000000000004</v>
      </c>
      <c r="S148" s="463">
        <f t="shared" si="78"/>
        <v>4168.78</v>
      </c>
      <c r="T148" s="463">
        <f t="shared" si="78"/>
        <v>0</v>
      </c>
      <c r="U148" s="463">
        <f t="shared" si="78"/>
        <v>0</v>
      </c>
      <c r="V148" s="463">
        <f t="shared" si="78"/>
        <v>0</v>
      </c>
      <c r="W148" s="463">
        <f t="shared" si="78"/>
        <v>0</v>
      </c>
      <c r="X148" s="463">
        <f t="shared" si="78"/>
        <v>47.5</v>
      </c>
      <c r="Y148" s="463">
        <f t="shared" si="78"/>
        <v>0</v>
      </c>
      <c r="Z148" s="463">
        <f t="shared" si="78"/>
        <v>0</v>
      </c>
      <c r="AA148" s="463">
        <f t="shared" si="78"/>
        <v>0</v>
      </c>
      <c r="AB148" s="463">
        <f t="shared" si="78"/>
        <v>0</v>
      </c>
      <c r="AC148" s="463">
        <f t="shared" si="78"/>
        <v>0</v>
      </c>
      <c r="AD148" s="463">
        <f t="shared" si="78"/>
        <v>0</v>
      </c>
      <c r="AE148" s="463">
        <f t="shared" si="78"/>
        <v>0</v>
      </c>
      <c r="AF148" s="453"/>
      <c r="AG148" s="712"/>
    </row>
    <row r="149" spans="1:33" ht="21" x14ac:dyDescent="0.35">
      <c r="A149" s="452" t="s">
        <v>33</v>
      </c>
      <c r="B149" s="463">
        <f>B153+B157</f>
        <v>60306.002999999997</v>
      </c>
      <c r="C149" s="463">
        <f>C153+C157</f>
        <v>39419.648999999998</v>
      </c>
      <c r="D149" s="463">
        <f>D153+D157</f>
        <v>35089.112000000001</v>
      </c>
      <c r="E149" s="463">
        <f>E153+E157</f>
        <v>35089.112000000001</v>
      </c>
      <c r="F149" s="453">
        <f t="shared" si="75"/>
        <v>58.185106381532201</v>
      </c>
      <c r="G149" s="453">
        <f t="shared" si="76"/>
        <v>89.014267985998558</v>
      </c>
      <c r="H149" s="500">
        <f t="shared" ref="H149:AE149" si="79">H34+H137</f>
        <v>7237.6039999999994</v>
      </c>
      <c r="I149" s="500">
        <f t="shared" si="79"/>
        <v>4175.2790000000005</v>
      </c>
      <c r="J149" s="500">
        <f t="shared" si="79"/>
        <v>4703.8770000000004</v>
      </c>
      <c r="K149" s="500">
        <f t="shared" si="79"/>
        <v>5381.9040000000005</v>
      </c>
      <c r="L149" s="500">
        <f t="shared" si="79"/>
        <v>3760.3250000000003</v>
      </c>
      <c r="M149" s="500">
        <f t="shared" si="79"/>
        <v>3679.2779999999998</v>
      </c>
      <c r="N149" s="500">
        <f t="shared" si="79"/>
        <v>5461.0149999999994</v>
      </c>
      <c r="O149" s="500">
        <f t="shared" si="79"/>
        <v>3373.585</v>
      </c>
      <c r="P149" s="500">
        <f t="shared" si="79"/>
        <v>4261.3340000000007</v>
      </c>
      <c r="Q149" s="500">
        <f t="shared" si="79"/>
        <v>3712.3330000000001</v>
      </c>
      <c r="R149" s="500">
        <f t="shared" si="79"/>
        <v>8519.9939999999988</v>
      </c>
      <c r="S149" s="500">
        <f t="shared" si="79"/>
        <v>7288.5779999999995</v>
      </c>
      <c r="T149" s="500">
        <f t="shared" si="79"/>
        <v>5475.5</v>
      </c>
      <c r="U149" s="500">
        <f t="shared" si="79"/>
        <v>7478.1549999999997</v>
      </c>
      <c r="V149" s="500">
        <f t="shared" si="79"/>
        <v>4302.0499999999993</v>
      </c>
      <c r="W149" s="500">
        <f t="shared" si="79"/>
        <v>0</v>
      </c>
      <c r="X149" s="500">
        <f t="shared" si="79"/>
        <v>3837.36</v>
      </c>
      <c r="Y149" s="500">
        <f t="shared" si="79"/>
        <v>0</v>
      </c>
      <c r="Z149" s="500">
        <f t="shared" si="79"/>
        <v>5458.6509999999998</v>
      </c>
      <c r="AA149" s="500">
        <f t="shared" si="79"/>
        <v>0</v>
      </c>
      <c r="AB149" s="500">
        <f t="shared" si="79"/>
        <v>4262.7449999999999</v>
      </c>
      <c r="AC149" s="500">
        <f t="shared" si="79"/>
        <v>0</v>
      </c>
      <c r="AD149" s="500">
        <f t="shared" si="79"/>
        <v>3025.5479999999998</v>
      </c>
      <c r="AE149" s="500">
        <f t="shared" si="79"/>
        <v>0</v>
      </c>
      <c r="AF149" s="453"/>
      <c r="AG149" s="712"/>
    </row>
    <row r="150" spans="1:33" ht="37.5" x14ac:dyDescent="0.35">
      <c r="A150" s="471" t="s">
        <v>174</v>
      </c>
      <c r="B150" s="463">
        <f>B154</f>
        <v>226.20999999999998</v>
      </c>
      <c r="C150" s="463">
        <f t="shared" ref="C150:AE150" si="80">C154</f>
        <v>223.70999999999998</v>
      </c>
      <c r="D150" s="463">
        <f t="shared" si="80"/>
        <v>219.43</v>
      </c>
      <c r="E150" s="463">
        <f t="shared" si="80"/>
        <v>219.43</v>
      </c>
      <c r="F150" s="453">
        <f t="shared" si="75"/>
        <v>97.002785022766474</v>
      </c>
      <c r="G150" s="453">
        <f t="shared" si="76"/>
        <v>98.086808814983698</v>
      </c>
      <c r="H150" s="500">
        <f t="shared" si="80"/>
        <v>0</v>
      </c>
      <c r="I150" s="500">
        <f t="shared" si="80"/>
        <v>0</v>
      </c>
      <c r="J150" s="500">
        <f t="shared" si="80"/>
        <v>0</v>
      </c>
      <c r="K150" s="500">
        <f t="shared" si="80"/>
        <v>0</v>
      </c>
      <c r="L150" s="500">
        <f t="shared" si="80"/>
        <v>0</v>
      </c>
      <c r="M150" s="500">
        <f t="shared" si="80"/>
        <v>0</v>
      </c>
      <c r="N150" s="500">
        <f t="shared" si="80"/>
        <v>0</v>
      </c>
      <c r="O150" s="500">
        <f t="shared" si="80"/>
        <v>0</v>
      </c>
      <c r="P150" s="500">
        <f t="shared" si="80"/>
        <v>0</v>
      </c>
      <c r="Q150" s="500">
        <f t="shared" si="80"/>
        <v>0</v>
      </c>
      <c r="R150" s="500">
        <f t="shared" si="80"/>
        <v>223.70999999999998</v>
      </c>
      <c r="S150" s="500">
        <f t="shared" si="80"/>
        <v>219.43</v>
      </c>
      <c r="T150" s="500">
        <f t="shared" si="80"/>
        <v>0</v>
      </c>
      <c r="U150" s="500">
        <f t="shared" si="80"/>
        <v>0</v>
      </c>
      <c r="V150" s="500">
        <f t="shared" si="80"/>
        <v>0</v>
      </c>
      <c r="W150" s="500">
        <f t="shared" si="80"/>
        <v>0</v>
      </c>
      <c r="X150" s="500">
        <f t="shared" si="80"/>
        <v>2.5</v>
      </c>
      <c r="Y150" s="500">
        <f t="shared" si="80"/>
        <v>0</v>
      </c>
      <c r="Z150" s="500">
        <f t="shared" si="80"/>
        <v>0</v>
      </c>
      <c r="AA150" s="500">
        <f t="shared" si="80"/>
        <v>0</v>
      </c>
      <c r="AB150" s="500">
        <f t="shared" si="80"/>
        <v>0</v>
      </c>
      <c r="AC150" s="500">
        <f t="shared" si="80"/>
        <v>0</v>
      </c>
      <c r="AD150" s="500">
        <f t="shared" si="80"/>
        <v>0</v>
      </c>
      <c r="AE150" s="500">
        <f t="shared" si="80"/>
        <v>0</v>
      </c>
      <c r="AF150" s="453"/>
      <c r="AG150" s="712"/>
    </row>
    <row r="151" spans="1:33" ht="37.5" x14ac:dyDescent="0.35">
      <c r="A151" s="494" t="s">
        <v>366</v>
      </c>
      <c r="B151" s="453">
        <f>B152+B153</f>
        <v>9173.3100000000013</v>
      </c>
      <c r="C151" s="453">
        <f>C152+C153</f>
        <v>9030.2099999999991</v>
      </c>
      <c r="D151" s="453">
        <f>D152+D153</f>
        <v>8532.9860000000008</v>
      </c>
      <c r="E151" s="453">
        <f>E152+E153</f>
        <v>8532.9860000000008</v>
      </c>
      <c r="F151" s="453">
        <f t="shared" si="75"/>
        <v>93.019706082101223</v>
      </c>
      <c r="G151" s="453">
        <f t="shared" si="76"/>
        <v>94.493771462679177</v>
      </c>
      <c r="H151" s="498">
        <f>H152+H153</f>
        <v>0</v>
      </c>
      <c r="I151" s="498">
        <f t="shared" ref="I151:AE151" si="81">I152+I153</f>
        <v>0</v>
      </c>
      <c r="J151" s="498">
        <f t="shared" si="81"/>
        <v>0</v>
      </c>
      <c r="K151" s="498">
        <f t="shared" si="81"/>
        <v>0</v>
      </c>
      <c r="L151" s="498">
        <f t="shared" si="81"/>
        <v>0</v>
      </c>
      <c r="M151" s="498">
        <f t="shared" si="81"/>
        <v>0</v>
      </c>
      <c r="N151" s="498">
        <f t="shared" si="81"/>
        <v>0</v>
      </c>
      <c r="O151" s="498">
        <f t="shared" si="81"/>
        <v>0</v>
      </c>
      <c r="P151" s="498">
        <f t="shared" si="81"/>
        <v>0</v>
      </c>
      <c r="Q151" s="498">
        <f t="shared" si="81"/>
        <v>0</v>
      </c>
      <c r="R151" s="498">
        <f t="shared" si="81"/>
        <v>9030.2099999999991</v>
      </c>
      <c r="S151" s="498">
        <f t="shared" si="81"/>
        <v>6332.9859999999999</v>
      </c>
      <c r="T151" s="498">
        <f t="shared" si="81"/>
        <v>0</v>
      </c>
      <c r="U151" s="498">
        <f t="shared" si="81"/>
        <v>2200</v>
      </c>
      <c r="V151" s="498">
        <f t="shared" si="81"/>
        <v>0</v>
      </c>
      <c r="W151" s="498">
        <f t="shared" si="81"/>
        <v>0</v>
      </c>
      <c r="X151" s="498">
        <f t="shared" si="81"/>
        <v>143.1</v>
      </c>
      <c r="Y151" s="498">
        <f t="shared" si="81"/>
        <v>0</v>
      </c>
      <c r="Z151" s="498">
        <f t="shared" si="81"/>
        <v>0</v>
      </c>
      <c r="AA151" s="498">
        <f t="shared" si="81"/>
        <v>0</v>
      </c>
      <c r="AB151" s="498">
        <f t="shared" si="81"/>
        <v>0</v>
      </c>
      <c r="AC151" s="498">
        <f t="shared" si="81"/>
        <v>0</v>
      </c>
      <c r="AD151" s="498">
        <f t="shared" si="81"/>
        <v>0</v>
      </c>
      <c r="AE151" s="498">
        <f t="shared" si="81"/>
        <v>0</v>
      </c>
      <c r="AF151" s="453"/>
      <c r="AG151" s="712"/>
    </row>
    <row r="152" spans="1:33" ht="21" x14ac:dyDescent="0.35">
      <c r="A152" s="452" t="s">
        <v>32</v>
      </c>
      <c r="B152" s="463">
        <f>B141</f>
        <v>4297.6000000000004</v>
      </c>
      <c r="C152" s="463">
        <f t="shared" ref="B152:E154" si="82">C141</f>
        <v>4250.1000000000004</v>
      </c>
      <c r="D152" s="463">
        <f t="shared" si="82"/>
        <v>4168.78</v>
      </c>
      <c r="E152" s="463">
        <f t="shared" si="82"/>
        <v>4168.78</v>
      </c>
      <c r="F152" s="453">
        <f t="shared" si="75"/>
        <v>97.002513030528647</v>
      </c>
      <c r="G152" s="453">
        <f t="shared" si="76"/>
        <v>98.086633255688085</v>
      </c>
      <c r="H152" s="500">
        <f t="shared" ref="H152:AE154" si="83">H141</f>
        <v>0</v>
      </c>
      <c r="I152" s="500">
        <f t="shared" si="83"/>
        <v>0</v>
      </c>
      <c r="J152" s="500">
        <f t="shared" si="83"/>
        <v>0</v>
      </c>
      <c r="K152" s="500">
        <f t="shared" si="83"/>
        <v>0</v>
      </c>
      <c r="L152" s="500">
        <f t="shared" si="83"/>
        <v>0</v>
      </c>
      <c r="M152" s="500">
        <f t="shared" si="83"/>
        <v>0</v>
      </c>
      <c r="N152" s="500">
        <f t="shared" si="83"/>
        <v>0</v>
      </c>
      <c r="O152" s="500">
        <f t="shared" si="83"/>
        <v>0</v>
      </c>
      <c r="P152" s="500">
        <f t="shared" si="83"/>
        <v>0</v>
      </c>
      <c r="Q152" s="500">
        <f t="shared" si="83"/>
        <v>0</v>
      </c>
      <c r="R152" s="500">
        <f t="shared" si="83"/>
        <v>4250.1000000000004</v>
      </c>
      <c r="S152" s="500">
        <f t="shared" si="83"/>
        <v>4168.78</v>
      </c>
      <c r="T152" s="500">
        <f t="shared" si="83"/>
        <v>0</v>
      </c>
      <c r="U152" s="500">
        <f t="shared" si="83"/>
        <v>0</v>
      </c>
      <c r="V152" s="500">
        <f t="shared" si="83"/>
        <v>0</v>
      </c>
      <c r="W152" s="500">
        <f t="shared" si="83"/>
        <v>0</v>
      </c>
      <c r="X152" s="500">
        <f t="shared" si="83"/>
        <v>47.5</v>
      </c>
      <c r="Y152" s="500">
        <f t="shared" si="83"/>
        <v>0</v>
      </c>
      <c r="Z152" s="500">
        <f t="shared" si="83"/>
        <v>0</v>
      </c>
      <c r="AA152" s="500">
        <f t="shared" si="83"/>
        <v>0</v>
      </c>
      <c r="AB152" s="500">
        <f t="shared" si="83"/>
        <v>0</v>
      </c>
      <c r="AC152" s="500">
        <f t="shared" si="83"/>
        <v>0</v>
      </c>
      <c r="AD152" s="500">
        <f t="shared" si="83"/>
        <v>0</v>
      </c>
      <c r="AE152" s="500">
        <f t="shared" si="83"/>
        <v>0</v>
      </c>
      <c r="AF152" s="453"/>
      <c r="AG152" s="712"/>
    </row>
    <row r="153" spans="1:33" ht="21" x14ac:dyDescent="0.35">
      <c r="A153" s="452" t="s">
        <v>33</v>
      </c>
      <c r="B153" s="463">
        <f t="shared" si="82"/>
        <v>4875.71</v>
      </c>
      <c r="C153" s="463">
        <f t="shared" si="82"/>
        <v>4780.1099999999997</v>
      </c>
      <c r="D153" s="463">
        <f t="shared" si="82"/>
        <v>4364.2060000000001</v>
      </c>
      <c r="E153" s="463">
        <f t="shared" si="82"/>
        <v>4364.2060000000001</v>
      </c>
      <c r="F153" s="453">
        <f t="shared" si="75"/>
        <v>89.50913815628904</v>
      </c>
      <c r="G153" s="453">
        <f t="shared" si="76"/>
        <v>91.299279723688372</v>
      </c>
      <c r="H153" s="500">
        <f t="shared" si="83"/>
        <v>0</v>
      </c>
      <c r="I153" s="500">
        <f t="shared" si="83"/>
        <v>0</v>
      </c>
      <c r="J153" s="500">
        <f t="shared" si="83"/>
        <v>0</v>
      </c>
      <c r="K153" s="500">
        <f t="shared" si="83"/>
        <v>0</v>
      </c>
      <c r="L153" s="500">
        <f t="shared" si="83"/>
        <v>0</v>
      </c>
      <c r="M153" s="500">
        <f t="shared" si="83"/>
        <v>0</v>
      </c>
      <c r="N153" s="500">
        <f t="shared" si="83"/>
        <v>0</v>
      </c>
      <c r="O153" s="500">
        <f t="shared" si="83"/>
        <v>0</v>
      </c>
      <c r="P153" s="500">
        <f t="shared" si="83"/>
        <v>0</v>
      </c>
      <c r="Q153" s="500">
        <f t="shared" si="83"/>
        <v>0</v>
      </c>
      <c r="R153" s="500">
        <f t="shared" si="83"/>
        <v>4780.1099999999997</v>
      </c>
      <c r="S153" s="500">
        <f t="shared" si="83"/>
        <v>2164.2060000000001</v>
      </c>
      <c r="T153" s="500">
        <f t="shared" si="83"/>
        <v>0</v>
      </c>
      <c r="U153" s="500">
        <f t="shared" si="83"/>
        <v>2200</v>
      </c>
      <c r="V153" s="500">
        <f t="shared" si="83"/>
        <v>0</v>
      </c>
      <c r="W153" s="500">
        <f t="shared" si="83"/>
        <v>0</v>
      </c>
      <c r="X153" s="500">
        <f t="shared" si="83"/>
        <v>95.6</v>
      </c>
      <c r="Y153" s="500">
        <f t="shared" si="83"/>
        <v>0</v>
      </c>
      <c r="Z153" s="500">
        <f t="shared" si="83"/>
        <v>0</v>
      </c>
      <c r="AA153" s="500">
        <f t="shared" si="83"/>
        <v>0</v>
      </c>
      <c r="AB153" s="500">
        <f t="shared" si="83"/>
        <v>0</v>
      </c>
      <c r="AC153" s="500">
        <f t="shared" si="83"/>
        <v>0</v>
      </c>
      <c r="AD153" s="500">
        <f t="shared" si="83"/>
        <v>0</v>
      </c>
      <c r="AE153" s="500">
        <f t="shared" si="83"/>
        <v>0</v>
      </c>
      <c r="AF153" s="453"/>
      <c r="AG153" s="712"/>
    </row>
    <row r="154" spans="1:33" ht="37.5" x14ac:dyDescent="0.35">
      <c r="A154" s="471" t="s">
        <v>174</v>
      </c>
      <c r="B154" s="463">
        <f t="shared" si="82"/>
        <v>226.20999999999998</v>
      </c>
      <c r="C154" s="463">
        <f t="shared" si="82"/>
        <v>223.70999999999998</v>
      </c>
      <c r="D154" s="463">
        <f t="shared" si="82"/>
        <v>219.43</v>
      </c>
      <c r="E154" s="463">
        <f t="shared" si="82"/>
        <v>219.43</v>
      </c>
      <c r="F154" s="453">
        <f t="shared" si="75"/>
        <v>97.002785022766474</v>
      </c>
      <c r="G154" s="453">
        <f t="shared" si="76"/>
        <v>98.086808814983698</v>
      </c>
      <c r="H154" s="500">
        <f t="shared" si="83"/>
        <v>0</v>
      </c>
      <c r="I154" s="500">
        <f t="shared" si="83"/>
        <v>0</v>
      </c>
      <c r="J154" s="500">
        <f t="shared" si="83"/>
        <v>0</v>
      </c>
      <c r="K154" s="500">
        <f t="shared" si="83"/>
        <v>0</v>
      </c>
      <c r="L154" s="500">
        <f t="shared" si="83"/>
        <v>0</v>
      </c>
      <c r="M154" s="500">
        <f t="shared" si="83"/>
        <v>0</v>
      </c>
      <c r="N154" s="500">
        <f t="shared" si="83"/>
        <v>0</v>
      </c>
      <c r="O154" s="500">
        <f t="shared" si="83"/>
        <v>0</v>
      </c>
      <c r="P154" s="500">
        <f t="shared" si="83"/>
        <v>0</v>
      </c>
      <c r="Q154" s="500">
        <f t="shared" si="83"/>
        <v>0</v>
      </c>
      <c r="R154" s="500">
        <f t="shared" si="83"/>
        <v>223.70999999999998</v>
      </c>
      <c r="S154" s="500">
        <f t="shared" si="83"/>
        <v>219.43</v>
      </c>
      <c r="T154" s="500">
        <f t="shared" si="83"/>
        <v>0</v>
      </c>
      <c r="U154" s="500">
        <f t="shared" si="83"/>
        <v>0</v>
      </c>
      <c r="V154" s="500">
        <f t="shared" si="83"/>
        <v>0</v>
      </c>
      <c r="W154" s="500">
        <f t="shared" si="83"/>
        <v>0</v>
      </c>
      <c r="X154" s="500">
        <f t="shared" si="83"/>
        <v>2.5</v>
      </c>
      <c r="Y154" s="500">
        <f t="shared" si="83"/>
        <v>0</v>
      </c>
      <c r="Z154" s="500">
        <f t="shared" si="83"/>
        <v>0</v>
      </c>
      <c r="AA154" s="500">
        <f t="shared" si="83"/>
        <v>0</v>
      </c>
      <c r="AB154" s="500">
        <f t="shared" si="83"/>
        <v>0</v>
      </c>
      <c r="AC154" s="500">
        <f t="shared" si="83"/>
        <v>0</v>
      </c>
      <c r="AD154" s="500">
        <f t="shared" si="83"/>
        <v>0</v>
      </c>
      <c r="AE154" s="500">
        <f t="shared" si="83"/>
        <v>0</v>
      </c>
      <c r="AF154" s="453"/>
      <c r="AG154" s="712"/>
    </row>
    <row r="155" spans="1:33" ht="37.5" x14ac:dyDescent="0.35">
      <c r="A155" s="494" t="s">
        <v>100</v>
      </c>
      <c r="B155" s="453">
        <f>B157+B156</f>
        <v>55801.625999999997</v>
      </c>
      <c r="C155" s="453">
        <f t="shared" ref="C155:AE155" si="84">C157+C156</f>
        <v>35010.871999999996</v>
      </c>
      <c r="D155" s="453">
        <f t="shared" si="84"/>
        <v>31096.240000000002</v>
      </c>
      <c r="E155" s="453">
        <f t="shared" si="84"/>
        <v>31096.240000000002</v>
      </c>
      <c r="F155" s="453">
        <f t="shared" si="75"/>
        <v>55.726404818382903</v>
      </c>
      <c r="G155" s="453">
        <f t="shared" si="76"/>
        <v>88.818810339828175</v>
      </c>
      <c r="H155" s="453">
        <f t="shared" si="84"/>
        <v>7237.6039999999994</v>
      </c>
      <c r="I155" s="453">
        <f t="shared" si="84"/>
        <v>4175.2790000000005</v>
      </c>
      <c r="J155" s="453">
        <f t="shared" si="84"/>
        <v>4703.8770000000004</v>
      </c>
      <c r="K155" s="453">
        <f t="shared" si="84"/>
        <v>5381.9040000000005</v>
      </c>
      <c r="L155" s="453">
        <f t="shared" si="84"/>
        <v>3760.3250000000003</v>
      </c>
      <c r="M155" s="453">
        <f t="shared" si="84"/>
        <v>3679.2779999999998</v>
      </c>
      <c r="N155" s="453">
        <f t="shared" si="84"/>
        <v>5461.0149999999994</v>
      </c>
      <c r="O155" s="453">
        <f t="shared" si="84"/>
        <v>3373.585</v>
      </c>
      <c r="P155" s="453">
        <f t="shared" si="84"/>
        <v>4632.6670000000004</v>
      </c>
      <c r="Q155" s="453">
        <f t="shared" si="84"/>
        <v>4083.6669999999999</v>
      </c>
      <c r="R155" s="453">
        <f t="shared" si="84"/>
        <v>3739.884</v>
      </c>
      <c r="S155" s="453">
        <f t="shared" si="84"/>
        <v>5124.3719999999994</v>
      </c>
      <c r="T155" s="453">
        <f t="shared" si="84"/>
        <v>5475.5</v>
      </c>
      <c r="U155" s="453">
        <f t="shared" si="84"/>
        <v>5278.1549999999997</v>
      </c>
      <c r="V155" s="453">
        <f t="shared" si="84"/>
        <v>4302.0499999999993</v>
      </c>
      <c r="W155" s="453">
        <f t="shared" si="84"/>
        <v>0</v>
      </c>
      <c r="X155" s="453">
        <f t="shared" si="84"/>
        <v>3741.76</v>
      </c>
      <c r="Y155" s="453">
        <f t="shared" si="84"/>
        <v>0</v>
      </c>
      <c r="Z155" s="453">
        <f t="shared" si="84"/>
        <v>5458.6509999999998</v>
      </c>
      <c r="AA155" s="453">
        <f t="shared" si="84"/>
        <v>0</v>
      </c>
      <c r="AB155" s="453">
        <f t="shared" si="84"/>
        <v>4262.7449999999999</v>
      </c>
      <c r="AC155" s="453">
        <f t="shared" si="84"/>
        <v>0</v>
      </c>
      <c r="AD155" s="453">
        <f t="shared" si="84"/>
        <v>3025.5479999999998</v>
      </c>
      <c r="AE155" s="453">
        <f t="shared" si="84"/>
        <v>0</v>
      </c>
      <c r="AF155" s="453"/>
      <c r="AG155" s="712"/>
    </row>
    <row r="156" spans="1:33" ht="21" x14ac:dyDescent="0.35">
      <c r="A156" s="452" t="s">
        <v>32</v>
      </c>
      <c r="B156" s="453">
        <f>B33</f>
        <v>371.33300000000003</v>
      </c>
      <c r="C156" s="453">
        <f t="shared" ref="C156:AE156" si="85">C33</f>
        <v>371.33300000000003</v>
      </c>
      <c r="D156" s="453">
        <f t="shared" si="85"/>
        <v>371.334</v>
      </c>
      <c r="E156" s="453">
        <f t="shared" si="85"/>
        <v>371.334</v>
      </c>
      <c r="F156" s="453">
        <f t="shared" si="75"/>
        <v>100.0002693000622</v>
      </c>
      <c r="G156" s="453">
        <f t="shared" si="76"/>
        <v>100.0002693000622</v>
      </c>
      <c r="H156" s="453">
        <f t="shared" si="85"/>
        <v>0</v>
      </c>
      <c r="I156" s="453">
        <f t="shared" si="85"/>
        <v>0</v>
      </c>
      <c r="J156" s="453">
        <f t="shared" si="85"/>
        <v>0</v>
      </c>
      <c r="K156" s="453">
        <f t="shared" si="85"/>
        <v>0</v>
      </c>
      <c r="L156" s="453">
        <f t="shared" si="85"/>
        <v>0</v>
      </c>
      <c r="M156" s="453">
        <f t="shared" si="85"/>
        <v>0</v>
      </c>
      <c r="N156" s="453">
        <f t="shared" si="85"/>
        <v>0</v>
      </c>
      <c r="O156" s="453">
        <f t="shared" si="85"/>
        <v>0</v>
      </c>
      <c r="P156" s="453">
        <f t="shared" si="85"/>
        <v>371.33300000000003</v>
      </c>
      <c r="Q156" s="453">
        <f t="shared" si="85"/>
        <v>371.334</v>
      </c>
      <c r="R156" s="453">
        <f t="shared" si="85"/>
        <v>0</v>
      </c>
      <c r="S156" s="453">
        <f t="shared" si="85"/>
        <v>0</v>
      </c>
      <c r="T156" s="453">
        <f t="shared" si="85"/>
        <v>0</v>
      </c>
      <c r="U156" s="453">
        <f t="shared" si="85"/>
        <v>0</v>
      </c>
      <c r="V156" s="453">
        <f t="shared" si="85"/>
        <v>0</v>
      </c>
      <c r="W156" s="453">
        <f t="shared" si="85"/>
        <v>0</v>
      </c>
      <c r="X156" s="453">
        <f t="shared" si="85"/>
        <v>0</v>
      </c>
      <c r="Y156" s="453">
        <f t="shared" si="85"/>
        <v>0</v>
      </c>
      <c r="Z156" s="453">
        <f t="shared" si="85"/>
        <v>0</v>
      </c>
      <c r="AA156" s="453">
        <f t="shared" si="85"/>
        <v>0</v>
      </c>
      <c r="AB156" s="453">
        <f t="shared" si="85"/>
        <v>0</v>
      </c>
      <c r="AC156" s="453">
        <f t="shared" si="85"/>
        <v>0</v>
      </c>
      <c r="AD156" s="453">
        <f t="shared" si="85"/>
        <v>0</v>
      </c>
      <c r="AE156" s="453">
        <f t="shared" si="85"/>
        <v>0</v>
      </c>
      <c r="AF156" s="453"/>
      <c r="AG156" s="712"/>
    </row>
    <row r="157" spans="1:33" ht="21" x14ac:dyDescent="0.35">
      <c r="A157" s="452" t="s">
        <v>33</v>
      </c>
      <c r="B157" s="463">
        <f>B12+B130</f>
        <v>55430.292999999998</v>
      </c>
      <c r="C157" s="463">
        <f>C12+C130</f>
        <v>34639.538999999997</v>
      </c>
      <c r="D157" s="463">
        <f>D12+D130</f>
        <v>30724.906000000003</v>
      </c>
      <c r="E157" s="463">
        <f>E12+E130</f>
        <v>30724.906000000003</v>
      </c>
      <c r="F157" s="453">
        <f t="shared" si="75"/>
        <v>55.429809833406438</v>
      </c>
      <c r="G157" s="453">
        <f t="shared" si="76"/>
        <v>88.698946022347485</v>
      </c>
      <c r="H157" s="500">
        <f t="shared" ref="H157:AE157" si="86">H12+H130</f>
        <v>7237.6039999999994</v>
      </c>
      <c r="I157" s="500">
        <f t="shared" si="86"/>
        <v>4175.2790000000005</v>
      </c>
      <c r="J157" s="500">
        <f t="shared" si="86"/>
        <v>4703.8770000000004</v>
      </c>
      <c r="K157" s="500">
        <f t="shared" si="86"/>
        <v>5381.9040000000005</v>
      </c>
      <c r="L157" s="500">
        <f t="shared" si="86"/>
        <v>3760.3250000000003</v>
      </c>
      <c r="M157" s="500">
        <f t="shared" si="86"/>
        <v>3679.2779999999998</v>
      </c>
      <c r="N157" s="500">
        <f t="shared" si="86"/>
        <v>5461.0149999999994</v>
      </c>
      <c r="O157" s="500">
        <f t="shared" si="86"/>
        <v>3373.585</v>
      </c>
      <c r="P157" s="500">
        <f t="shared" si="86"/>
        <v>4261.3340000000007</v>
      </c>
      <c r="Q157" s="500">
        <f t="shared" si="86"/>
        <v>3712.3330000000001</v>
      </c>
      <c r="R157" s="500">
        <f t="shared" si="86"/>
        <v>3739.884</v>
      </c>
      <c r="S157" s="500">
        <f t="shared" si="86"/>
        <v>5124.3719999999994</v>
      </c>
      <c r="T157" s="500">
        <f t="shared" si="86"/>
        <v>5475.5</v>
      </c>
      <c r="U157" s="500">
        <f t="shared" si="86"/>
        <v>5278.1549999999997</v>
      </c>
      <c r="V157" s="500">
        <f t="shared" si="86"/>
        <v>4302.0499999999993</v>
      </c>
      <c r="W157" s="500">
        <f t="shared" si="86"/>
        <v>0</v>
      </c>
      <c r="X157" s="500">
        <f t="shared" si="86"/>
        <v>3741.76</v>
      </c>
      <c r="Y157" s="500">
        <f t="shared" si="86"/>
        <v>0</v>
      </c>
      <c r="Z157" s="500">
        <f t="shared" si="86"/>
        <v>5458.6509999999998</v>
      </c>
      <c r="AA157" s="500">
        <f t="shared" si="86"/>
        <v>0</v>
      </c>
      <c r="AB157" s="500">
        <f t="shared" si="86"/>
        <v>4262.7449999999999</v>
      </c>
      <c r="AC157" s="500">
        <f t="shared" si="86"/>
        <v>0</v>
      </c>
      <c r="AD157" s="500">
        <f t="shared" si="86"/>
        <v>3025.5479999999998</v>
      </c>
      <c r="AE157" s="500">
        <f t="shared" si="86"/>
        <v>0</v>
      </c>
      <c r="AF157" s="453"/>
      <c r="AG157" s="712"/>
    </row>
  </sheetData>
  <customSheetViews>
    <customSheetView guid="{7C130984-112A-4861-AA43-E2940708E3DC}" scale="70" state="hidden">
      <pane xSplit="4" ySplit="10" topLeftCell="E11" activePane="bottomRight" state="frozen"/>
      <selection pane="bottomRight" activeCell="AK127" sqref="AK127:AK128"/>
      <pageMargins left="0.7" right="0.7" top="0.75" bottom="0.75" header="0.3" footer="0.3"/>
    </customSheetView>
    <customSheetView guid="{3C3F523F-5F34-4CF7-831E-F1ABC4278CEB}" scale="70">
      <pane xSplit="4" ySplit="10" topLeftCell="E11" activePane="bottomRight" state="frozen"/>
      <selection pane="bottomRight" activeCell="AK127" sqref="AK127:AK128"/>
      <pageMargins left="0.7" right="0.7" top="0.75" bottom="0.75" header="0.3" footer="0.3"/>
    </customSheetView>
    <customSheetView guid="{D01FA037-9AEC-4167-ADB8-2F327C01ECE6}" scale="70">
      <pane xSplit="4" ySplit="10" topLeftCell="E11" activePane="bottomRight" state="frozen"/>
      <selection pane="bottomRight" activeCell="AK127" sqref="AK127:AK128"/>
      <pageMargins left="0.7" right="0.7" top="0.75" bottom="0.75" header="0.3" footer="0.3"/>
    </customSheetView>
    <customSheetView guid="{602C8EDB-B9EF-4C85-B0D5-0558C3A0ABAB}" scale="70">
      <pane xSplit="4" ySplit="10" topLeftCell="E140" activePane="bottomRight" state="frozen"/>
      <selection pane="bottomRight" activeCell="I108" sqref="I108"/>
      <pageMargins left="0.7" right="0.7" top="0.75" bottom="0.75" header="0.3" footer="0.3"/>
    </customSheetView>
    <customSheetView guid="{69DABE6F-6182-4403-A4A2-969F10F1C13A}" scale="70">
      <pane xSplit="4" ySplit="10" topLeftCell="AD116" activePane="bottomRight" state="frozen"/>
      <selection pane="bottomRight" activeCell="AF118" sqref="AF118"/>
      <pageMargins left="0.7" right="0.7" top="0.75" bottom="0.75" header="0.3" footer="0.3"/>
    </customSheetView>
    <customSheetView guid="{E508E171-4ED9-4B07-84DF-DA28C60E1969}" scale="70">
      <pane xSplit="4" ySplit="10" topLeftCell="AD116" activePane="bottomRight" state="frozen"/>
      <selection pane="bottomRight" activeCell="AF118" sqref="AF118"/>
      <pageMargins left="0.7" right="0.7" top="0.75" bottom="0.75" header="0.3" footer="0.3"/>
    </customSheetView>
    <customSheetView guid="{AC2D5927-4079-4C74-AF69-1BFAC505648F}" scale="70">
      <pane xSplit="4" ySplit="10" topLeftCell="E11" activePane="bottomRight" state="frozen"/>
      <selection pane="bottomRight" activeCell="C15" sqref="C15"/>
      <pageMargins left="0.7" right="0.7" top="0.75" bottom="0.75" header="0.3" footer="0.3"/>
    </customSheetView>
    <customSheetView guid="{442F2C94-DD1B-4A01-8694-513D4D6F3BD9}" scale="70">
      <pane xSplit="4" ySplit="10" topLeftCell="E11" activePane="bottomRight" state="frozen"/>
      <selection pane="bottomRight" activeCell="C15" sqref="C15"/>
      <pageMargins left="0.7" right="0.7" top="0.75" bottom="0.75" header="0.3" footer="0.3"/>
    </customSheetView>
    <customSheetView guid="{CE1CCA00-200D-4EAA-9FBE-F8EE7C5F82FE}" scale="70">
      <pane xSplit="4" ySplit="10" topLeftCell="E11" activePane="bottomRight" state="frozen"/>
      <selection pane="bottomRight" activeCell="C15" sqref="C15"/>
      <pageMargins left="0.7" right="0.7" top="0.75" bottom="0.75" header="0.3" footer="0.3"/>
    </customSheetView>
    <customSheetView guid="{4D0DFB57-2CBA-42F2-9A97-C453A6851FBA}" scale="70">
      <pane xSplit="4" ySplit="10" topLeftCell="E11" activePane="bottomRight" state="frozen"/>
      <selection pane="bottomRight" activeCell="C15" sqref="C15"/>
      <pageMargins left="0.7" right="0.7" top="0.75" bottom="0.75" header="0.3" footer="0.3"/>
    </customSheetView>
    <customSheetView guid="{85F4575B-DBC5-482A-9916-255D8F0BC94E}" scale="70">
      <pane xSplit="1" ySplit="10" topLeftCell="J11" activePane="bottomRight" state="frozen"/>
      <selection pane="bottomRight" activeCell="R120" sqref="R120:R121"/>
      <pageMargins left="0.7" right="0.7" top="0.75" bottom="0.75" header="0.3" footer="0.3"/>
    </customSheetView>
    <customSheetView guid="{B1BF08D1-D416-4B47-ADD0-4F59132DC9E8}" scale="70">
      <pane xSplit="1" ySplit="10" topLeftCell="J11" activePane="bottomRight" state="frozen"/>
      <selection pane="bottomRight" activeCell="R120" sqref="R120:R121"/>
      <pageMargins left="0.7" right="0.7" top="0.75" bottom="0.75" header="0.3" footer="0.3"/>
    </customSheetView>
    <customSheetView guid="{BCD82A82-B724-4763-8580-D765356E09BA}" scale="70">
      <pane xSplit="1" ySplit="10" topLeftCell="B11" activePane="bottomRight" state="frozen"/>
      <selection pane="bottomRight" activeCell="A3" sqref="A3:Q3"/>
      <pageMargins left="0.7" right="0.7" top="0.75" bottom="0.75" header="0.3" footer="0.3"/>
    </customSheetView>
    <customSheetView guid="{C236B307-BD63-48C4-A75F-B3F3717BF55C}" scale="70">
      <pane xSplit="1" ySplit="10" topLeftCell="B146" activePane="bottomRight" state="frozen"/>
      <selection pane="bottomRight" activeCell="A3" sqref="A3:Q3"/>
      <pageMargins left="0.7" right="0.7" top="0.75" bottom="0.75" header="0.3" footer="0.3"/>
    </customSheetView>
    <customSheetView guid="{874882D1-E741-4CCA-BF0D-E72FA60B771D}" scale="70">
      <pane xSplit="1" ySplit="10" topLeftCell="B146" activePane="bottomRight" state="frozen"/>
      <selection pane="bottomRight" activeCell="A3" sqref="A3:Q3"/>
      <pageMargins left="0.7" right="0.7" top="0.75" bottom="0.75" header="0.3" footer="0.3"/>
    </customSheetView>
    <customSheetView guid="{B82BA08A-1A30-4F4D-A478-74A6BD09EA97}" scale="70">
      <pane xSplit="1" ySplit="10" topLeftCell="B146" activePane="bottomRight" state="frozen"/>
      <selection pane="bottomRight" activeCell="A3" sqref="A3:Q3"/>
      <pageMargins left="0.7" right="0.7" top="0.75" bottom="0.75" header="0.3" footer="0.3"/>
    </customSheetView>
    <customSheetView guid="{770624BF-07F3-44B6-94C3-4CC447CDD45C}" scale="70">
      <pane xSplit="1" ySplit="10" topLeftCell="B26" activePane="bottomRight" state="frozen"/>
      <selection pane="bottomRight" activeCell="A37" sqref="A37"/>
      <pageMargins left="0.7" right="0.7" top="0.75" bottom="0.75" header="0.3" footer="0.3"/>
    </customSheetView>
    <customSheetView guid="{009B3074-D8EC-4952-BF50-43CD64449612}" scale="70">
      <pane xSplit="1" ySplit="10" topLeftCell="J11" activePane="bottomRight" state="frozen"/>
      <selection pane="bottomRight" activeCell="R120" sqref="R120:R121"/>
      <pageMargins left="0.7" right="0.7" top="0.75" bottom="0.75" header="0.3" footer="0.3"/>
    </customSheetView>
    <customSheetView guid="{F679EF4A-C5FD-4B86-B87B-D85968E0F2CA}" scale="70">
      <pane xSplit="1" ySplit="10" topLeftCell="J11" activePane="bottomRight" state="frozen"/>
      <selection pane="bottomRight" activeCell="R120" sqref="R120:R121"/>
      <pageMargins left="0.7" right="0.7" top="0.75" bottom="0.75" header="0.3" footer="0.3"/>
    </customSheetView>
    <customSheetView guid="{959E901C-5DDE-42EE-AE94-AB8976B5E00B}" scale="70">
      <pane xSplit="1" ySplit="10" topLeftCell="J11" activePane="bottomRight" state="frozen"/>
      <selection pane="bottomRight" activeCell="R120" sqref="R120:R121"/>
      <pageMargins left="0.7" right="0.7" top="0.75" bottom="0.75" header="0.3" footer="0.3"/>
    </customSheetView>
    <customSheetView guid="{533DC55B-6AD4-4674-9488-685EF2039F3E}" scale="70">
      <pane xSplit="4" ySplit="10" topLeftCell="E98" activePane="bottomRight" state="frozen"/>
      <selection pane="bottomRight" activeCell="C70" sqref="C70"/>
      <pageMargins left="0.7" right="0.7" top="0.75" bottom="0.75" header="0.3" footer="0.3"/>
    </customSheetView>
    <customSheetView guid="{87218168-6C8E-4D5B-A5E5-DCCC26803AA3}" scale="70">
      <pane xSplit="4" ySplit="10" topLeftCell="E98" activePane="bottomRight" state="frozen"/>
      <selection pane="bottomRight" activeCell="C70" sqref="C70"/>
      <pageMargins left="0.7" right="0.7" top="0.75" bottom="0.75" header="0.3" footer="0.3"/>
    </customSheetView>
    <customSheetView guid="{DAA8A688-7558-4B5B-8DBD-E2629BD9E9A8}" scale="70">
      <pane xSplit="4" ySplit="10" topLeftCell="E11" activePane="bottomRight" state="frozen"/>
      <selection pane="bottomRight" activeCell="C15" sqref="C15"/>
      <pageMargins left="0.7" right="0.7" top="0.75" bottom="0.75" header="0.3" footer="0.3"/>
    </customSheetView>
    <customSheetView guid="{391AB76E-B386-49C1-800F-016A48AA1A46}" scale="70">
      <pane xSplit="4" ySplit="10" topLeftCell="E11" activePane="bottomRight" state="frozen"/>
      <selection pane="bottomRight" activeCell="C15" sqref="C15"/>
      <pageMargins left="0.7" right="0.7" top="0.75" bottom="0.75" header="0.3" footer="0.3"/>
    </customSheetView>
    <customSheetView guid="{09C3E205-981E-4A4E-BE89-8B7044192060}" scale="70">
      <pane xSplit="4" ySplit="10" topLeftCell="AD119" activePane="bottomRight" state="frozen"/>
      <selection pane="bottomRight" activeCell="AF123" sqref="AF123"/>
      <pageMargins left="0.7" right="0.7" top="0.75" bottom="0.75" header="0.3" footer="0.3"/>
    </customSheetView>
    <customSheetView guid="{84867370-1F3E-4368-AF79-FBCE46FFFE92}" scale="70">
      <pane xSplit="4" ySplit="10" topLeftCell="AD116" activePane="bottomRight" state="frozen"/>
      <selection pane="bottomRight" activeCell="AF118" sqref="AF118"/>
      <pageMargins left="0.7" right="0.7" top="0.75" bottom="0.75" header="0.3" footer="0.3"/>
    </customSheetView>
    <customSheetView guid="{0C2B9C2A-7B94-41EF-A2E6-F8AC9A67DE25}" scale="70">
      <pane xSplit="4" ySplit="10" topLeftCell="AD116" activePane="bottomRight" state="frozen"/>
      <selection pane="bottomRight" activeCell="AF118" sqref="AF118"/>
      <pageMargins left="0.7" right="0.7" top="0.75" bottom="0.75" header="0.3" footer="0.3"/>
    </customSheetView>
    <customSheetView guid="{CB4792DB-A624-4844-AEB6-A6ADA80946BB}" scale="70">
      <pane xSplit="4" ySplit="10" topLeftCell="AD116" activePane="bottomRight" state="frozen"/>
      <selection pane="bottomRight" activeCell="AF118" sqref="AF118"/>
      <pageMargins left="0.7" right="0.7" top="0.75" bottom="0.75" header="0.3" footer="0.3"/>
    </customSheetView>
    <customSheetView guid="{74870EE6-26B9-40F7-9DC9-260EF16D8959}" scale="70">
      <pane xSplit="4" ySplit="10" topLeftCell="AD116" activePane="bottomRight" state="frozen"/>
      <selection pane="bottomRight" activeCell="AF118" sqref="AF118"/>
      <pageMargins left="0.7" right="0.7" top="0.75" bottom="0.75" header="0.3" footer="0.3"/>
    </customSheetView>
    <customSheetView guid="{6A602CB8-B24C-4ED4-B378-B27354BE0A1A}" scale="70">
      <pane xSplit="4" ySplit="10" topLeftCell="AD116" activePane="bottomRight" state="frozen"/>
      <selection pane="bottomRight" activeCell="AF118" sqref="AF118"/>
      <pageMargins left="0.7" right="0.7" top="0.75" bottom="0.75" header="0.3" footer="0.3"/>
    </customSheetView>
    <customSheetView guid="{4F41B9CC-959D-442C-80B0-1F0DB2C76D27}" scale="70">
      <pane xSplit="4" ySplit="9" topLeftCell="E11" activePane="bottomRight" state="frozen"/>
      <selection pane="bottomRight" activeCell="AK127" sqref="AK127:AK128"/>
      <pageMargins left="0.7" right="0.7" top="0.75" bottom="0.75" header="0.3" footer="0.3"/>
    </customSheetView>
    <customSheetView guid="{47B983AB-FE5F-4725-860C-A2F29420596D}" scale="70">
      <pane xSplit="4" ySplit="10" topLeftCell="E11" activePane="bottomRight" state="frozen"/>
      <selection pane="bottomRight" activeCell="AK127" sqref="AK127:AK128"/>
      <pageMargins left="0.7" right="0.7" top="0.75" bottom="0.75" header="0.3" footer="0.3"/>
    </customSheetView>
  </customSheetViews>
  <mergeCells count="42">
    <mergeCell ref="A2:Q2"/>
    <mergeCell ref="A3:Q3"/>
    <mergeCell ref="A4:A6"/>
    <mergeCell ref="B4:B5"/>
    <mergeCell ref="C4:C5"/>
    <mergeCell ref="D4:D5"/>
    <mergeCell ref="E4:E5"/>
    <mergeCell ref="F4:G5"/>
    <mergeCell ref="H4:I5"/>
    <mergeCell ref="J4:K5"/>
    <mergeCell ref="P4:Q5"/>
    <mergeCell ref="L4:M5"/>
    <mergeCell ref="N4:O5"/>
    <mergeCell ref="AF4:AF6"/>
    <mergeCell ref="A57:AE57"/>
    <mergeCell ref="A10:AE10"/>
    <mergeCell ref="A13:AE13"/>
    <mergeCell ref="A16:AE16"/>
    <mergeCell ref="A19:AE19"/>
    <mergeCell ref="A23:AE23"/>
    <mergeCell ref="A27:AE27"/>
    <mergeCell ref="A35:AE35"/>
    <mergeCell ref="A37:AE37"/>
    <mergeCell ref="A42:AE42"/>
    <mergeCell ref="A47:AE47"/>
    <mergeCell ref="A52:AE52"/>
    <mergeCell ref="A8:AE8"/>
    <mergeCell ref="Z4:AA5"/>
    <mergeCell ref="AB4:AC5"/>
    <mergeCell ref="A128:AE128"/>
    <mergeCell ref="A131:AE131"/>
    <mergeCell ref="A62:AE62"/>
    <mergeCell ref="A67:AE67"/>
    <mergeCell ref="A72:AE72"/>
    <mergeCell ref="A77:AE77"/>
    <mergeCell ref="A82:AE82"/>
    <mergeCell ref="A87:AE87"/>
    <mergeCell ref="V4:W5"/>
    <mergeCell ref="X4:Y5"/>
    <mergeCell ref="AD4:AE5"/>
    <mergeCell ref="R4:S5"/>
    <mergeCell ref="T4:U5"/>
  </mergeCells>
  <hyperlinks>
    <hyperlink ref="A3:Q3" location="Оглавление!A1" display=" &quot;Социально - экономическое развитие и инвестиции муниципального образования город Когалым&quot; "/>
  </hyperlink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Оглавление!$B$22:$B$33</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zoomScale="80" zoomScaleNormal="80" workbookViewId="0">
      <pane ySplit="5" topLeftCell="A6" activePane="bottomLeft" state="frozen"/>
      <selection pane="bottomLeft" sqref="A1:XFD1048576"/>
    </sheetView>
  </sheetViews>
  <sheetFormatPr defaultColWidth="9.140625" defaultRowHeight="15" x14ac:dyDescent="0.25"/>
  <cols>
    <col min="1" max="1" width="43.140625" style="226" customWidth="1"/>
    <col min="2" max="7" width="12.42578125" style="226" customWidth="1"/>
    <col min="8" max="20" width="11.5703125" style="226" customWidth="1"/>
    <col min="21" max="31" width="11.85546875" style="226" customWidth="1"/>
    <col min="32" max="32" width="53.85546875" style="226" customWidth="1"/>
    <col min="33" max="16384" width="9.140625" style="226"/>
  </cols>
  <sheetData>
    <row r="1" spans="1:32" ht="25.5" x14ac:dyDescent="0.25">
      <c r="A1" s="1134" t="s">
        <v>0</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235"/>
      <c r="AF1" s="235"/>
    </row>
    <row r="2" spans="1:32" ht="18.75" x14ac:dyDescent="0.25">
      <c r="A2" s="1136" t="s">
        <v>367</v>
      </c>
      <c r="B2" s="1137"/>
      <c r="C2" s="1137"/>
      <c r="D2" s="1137"/>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235"/>
      <c r="AF2" s="235" t="s">
        <v>368</v>
      </c>
    </row>
    <row r="3" spans="1:32" ht="22.5" x14ac:dyDescent="0.25">
      <c r="A3" s="236"/>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5"/>
      <c r="AF3" s="235"/>
    </row>
    <row r="4" spans="1:32" ht="37.5" x14ac:dyDescent="0.25">
      <c r="A4" s="1138" t="s">
        <v>369</v>
      </c>
      <c r="B4" s="1138" t="s">
        <v>370</v>
      </c>
      <c r="C4" s="1140" t="s">
        <v>657</v>
      </c>
      <c r="D4" s="1140" t="s">
        <v>658</v>
      </c>
      <c r="E4" s="1140" t="s">
        <v>659</v>
      </c>
      <c r="F4" s="1130" t="s">
        <v>371</v>
      </c>
      <c r="G4" s="1130"/>
      <c r="H4" s="1130" t="s">
        <v>7</v>
      </c>
      <c r="I4" s="1130"/>
      <c r="J4" s="1130" t="s">
        <v>8</v>
      </c>
      <c r="K4" s="1130"/>
      <c r="L4" s="1130" t="s">
        <v>9</v>
      </c>
      <c r="M4" s="1130"/>
      <c r="N4" s="1130" t="s">
        <v>10</v>
      </c>
      <c r="O4" s="1130"/>
      <c r="P4" s="1130" t="s">
        <v>11</v>
      </c>
      <c r="Q4" s="1130"/>
      <c r="R4" s="1130" t="s">
        <v>12</v>
      </c>
      <c r="S4" s="1130"/>
      <c r="T4" s="1130" t="s">
        <v>13</v>
      </c>
      <c r="U4" s="1130"/>
      <c r="V4" s="1130" t="s">
        <v>14</v>
      </c>
      <c r="W4" s="1130"/>
      <c r="X4" s="1130" t="s">
        <v>15</v>
      </c>
      <c r="Y4" s="1130"/>
      <c r="Z4" s="1130" t="s">
        <v>16</v>
      </c>
      <c r="AA4" s="1130"/>
      <c r="AB4" s="1130" t="s">
        <v>17</v>
      </c>
      <c r="AC4" s="1130"/>
      <c r="AD4" s="1130" t="s">
        <v>18</v>
      </c>
      <c r="AE4" s="1130"/>
      <c r="AF4" s="238" t="s">
        <v>19</v>
      </c>
    </row>
    <row r="5" spans="1:32" ht="56.25" x14ac:dyDescent="0.25">
      <c r="A5" s="1139"/>
      <c r="B5" s="1139"/>
      <c r="C5" s="1141"/>
      <c r="D5" s="1141"/>
      <c r="E5" s="1141"/>
      <c r="F5" s="239" t="s">
        <v>20</v>
      </c>
      <c r="G5" s="239" t="s">
        <v>21</v>
      </c>
      <c r="H5" s="239" t="s">
        <v>165</v>
      </c>
      <c r="I5" s="239" t="s">
        <v>23</v>
      </c>
      <c r="J5" s="239" t="s">
        <v>165</v>
      </c>
      <c r="K5" s="239" t="s">
        <v>23</v>
      </c>
      <c r="L5" s="239" t="s">
        <v>165</v>
      </c>
      <c r="M5" s="239" t="s">
        <v>23</v>
      </c>
      <c r="N5" s="239" t="s">
        <v>165</v>
      </c>
      <c r="O5" s="239" t="s">
        <v>23</v>
      </c>
      <c r="P5" s="239" t="s">
        <v>165</v>
      </c>
      <c r="Q5" s="239" t="s">
        <v>23</v>
      </c>
      <c r="R5" s="239" t="s">
        <v>165</v>
      </c>
      <c r="S5" s="239" t="s">
        <v>23</v>
      </c>
      <c r="T5" s="239" t="s">
        <v>165</v>
      </c>
      <c r="U5" s="239" t="s">
        <v>23</v>
      </c>
      <c r="V5" s="239" t="s">
        <v>165</v>
      </c>
      <c r="W5" s="239" t="s">
        <v>23</v>
      </c>
      <c r="X5" s="239" t="s">
        <v>165</v>
      </c>
      <c r="Y5" s="239" t="s">
        <v>23</v>
      </c>
      <c r="Z5" s="239" t="s">
        <v>165</v>
      </c>
      <c r="AA5" s="239" t="s">
        <v>23</v>
      </c>
      <c r="AB5" s="239" t="s">
        <v>165</v>
      </c>
      <c r="AC5" s="239" t="s">
        <v>23</v>
      </c>
      <c r="AD5" s="239" t="s">
        <v>165</v>
      </c>
      <c r="AE5" s="239" t="s">
        <v>23</v>
      </c>
      <c r="AF5" s="238"/>
    </row>
    <row r="6" spans="1:32" ht="18.75" x14ac:dyDescent="0.25">
      <c r="A6" s="1131" t="s">
        <v>372</v>
      </c>
      <c r="B6" s="1132"/>
      <c r="C6" s="1132"/>
      <c r="D6" s="1132"/>
      <c r="E6" s="1132"/>
      <c r="F6" s="1132"/>
      <c r="G6" s="1132"/>
      <c r="H6" s="1132"/>
      <c r="I6" s="1132"/>
      <c r="J6" s="1132"/>
      <c r="K6" s="1132"/>
      <c r="L6" s="1132"/>
      <c r="M6" s="1132"/>
      <c r="N6" s="1132"/>
      <c r="O6" s="1132"/>
      <c r="P6" s="1132"/>
      <c r="Q6" s="1132"/>
      <c r="R6" s="1132"/>
      <c r="S6" s="1132"/>
      <c r="T6" s="1132"/>
      <c r="U6" s="1132"/>
      <c r="V6" s="1132"/>
      <c r="W6" s="1132"/>
      <c r="X6" s="1132"/>
      <c r="Y6" s="1132"/>
      <c r="Z6" s="1132"/>
      <c r="AA6" s="1132"/>
      <c r="AB6" s="1132"/>
      <c r="AC6" s="1132"/>
      <c r="AD6" s="1132"/>
      <c r="AE6" s="1132"/>
      <c r="AF6" s="1133"/>
    </row>
    <row r="7" spans="1:32" ht="18.75" x14ac:dyDescent="0.25">
      <c r="A7" s="1121" t="s">
        <v>167</v>
      </c>
      <c r="B7" s="1122"/>
      <c r="C7" s="1122"/>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9"/>
    </row>
    <row r="8" spans="1:32" ht="16.5" x14ac:dyDescent="0.25">
      <c r="A8" s="1114" t="s">
        <v>373</v>
      </c>
      <c r="B8" s="1115"/>
      <c r="C8" s="1115"/>
      <c r="D8" s="1115"/>
      <c r="E8" s="1115"/>
      <c r="F8" s="1115"/>
      <c r="G8" s="1115"/>
      <c r="H8" s="1115"/>
      <c r="I8" s="1115"/>
      <c r="J8" s="1115"/>
      <c r="K8" s="1115"/>
      <c r="L8" s="1115"/>
      <c r="M8" s="1115"/>
      <c r="N8" s="1115"/>
      <c r="O8" s="1115"/>
      <c r="P8" s="1115"/>
      <c r="Q8" s="1115"/>
      <c r="R8" s="1115"/>
      <c r="S8" s="1115"/>
      <c r="T8" s="1115"/>
      <c r="U8" s="1115"/>
      <c r="V8" s="1115"/>
      <c r="W8" s="1115"/>
      <c r="X8" s="1115"/>
      <c r="Y8" s="1115"/>
      <c r="Z8" s="1115"/>
      <c r="AA8" s="1115"/>
      <c r="AB8" s="1115"/>
      <c r="AC8" s="1115"/>
      <c r="AD8" s="1115"/>
      <c r="AE8" s="1115"/>
      <c r="AF8" s="1116"/>
    </row>
    <row r="9" spans="1:32" ht="16.5" x14ac:dyDescent="0.25">
      <c r="A9" s="240" t="s">
        <v>31</v>
      </c>
      <c r="B9" s="241">
        <f>B10+B11+B12+B14</f>
        <v>0</v>
      </c>
      <c r="C9" s="241">
        <f>C10+C11+C12+C14</f>
        <v>0</v>
      </c>
      <c r="D9" s="241">
        <f>D10+D11+D12+D14</f>
        <v>0</v>
      </c>
      <c r="E9" s="241">
        <f>E10+E11+E12+E14</f>
        <v>0</v>
      </c>
      <c r="F9" s="241">
        <f>IFERROR(E9/B9*100,0)</f>
        <v>0</v>
      </c>
      <c r="G9" s="241">
        <f>IFERROR(E9/C9*100,0)</f>
        <v>0</v>
      </c>
      <c r="H9" s="241"/>
      <c r="I9" s="241"/>
      <c r="J9" s="241"/>
      <c r="K9" s="241"/>
      <c r="L9" s="241"/>
      <c r="M9" s="241"/>
      <c r="N9" s="241"/>
      <c r="O9" s="241"/>
      <c r="P9" s="241"/>
      <c r="Q9" s="241"/>
      <c r="R9" s="241"/>
      <c r="S9" s="241"/>
      <c r="T9" s="241"/>
      <c r="U9" s="241"/>
      <c r="V9" s="241"/>
      <c r="W9" s="241"/>
      <c r="X9" s="241"/>
      <c r="Y9" s="241"/>
      <c r="Z9" s="241"/>
      <c r="AA9" s="241"/>
      <c r="AB9" s="241"/>
      <c r="AC9" s="241"/>
      <c r="AD9" s="241"/>
      <c r="AE9" s="241"/>
      <c r="AF9" s="1117"/>
    </row>
    <row r="10" spans="1:32" ht="16.5" x14ac:dyDescent="0.25">
      <c r="A10" s="242" t="s">
        <v>169</v>
      </c>
      <c r="B10" s="243"/>
      <c r="C10" s="244"/>
      <c r="D10" s="244"/>
      <c r="E10" s="244"/>
      <c r="F10" s="243"/>
      <c r="G10" s="243"/>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1118"/>
    </row>
    <row r="11" spans="1:32" ht="16.5" x14ac:dyDescent="0.25">
      <c r="A11" s="242" t="s">
        <v>32</v>
      </c>
      <c r="B11" s="243"/>
      <c r="C11" s="244"/>
      <c r="D11" s="244"/>
      <c r="E11" s="244"/>
      <c r="F11" s="243"/>
      <c r="G11" s="243"/>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1118"/>
    </row>
    <row r="12" spans="1:32" ht="16.5" x14ac:dyDescent="0.25">
      <c r="A12" s="242" t="s">
        <v>33</v>
      </c>
      <c r="B12" s="243"/>
      <c r="C12" s="244"/>
      <c r="D12" s="244"/>
      <c r="E12" s="244"/>
      <c r="F12" s="243"/>
      <c r="G12" s="243"/>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1118"/>
    </row>
    <row r="13" spans="1:32" ht="33" x14ac:dyDescent="0.25">
      <c r="A13" s="245" t="s">
        <v>174</v>
      </c>
      <c r="B13" s="246"/>
      <c r="C13" s="247"/>
      <c r="D13" s="247"/>
      <c r="E13" s="247"/>
      <c r="F13" s="246"/>
      <c r="G13" s="246"/>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1118"/>
    </row>
    <row r="14" spans="1:32" ht="16.5" x14ac:dyDescent="0.25">
      <c r="A14" s="248" t="s">
        <v>374</v>
      </c>
      <c r="B14" s="243"/>
      <c r="C14" s="244"/>
      <c r="D14" s="244"/>
      <c r="E14" s="244"/>
      <c r="F14" s="243"/>
      <c r="G14" s="243"/>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1119"/>
    </row>
    <row r="15" spans="1:32" ht="16.5" x14ac:dyDescent="0.25">
      <c r="A15" s="1114" t="s">
        <v>375</v>
      </c>
      <c r="B15" s="1115"/>
      <c r="C15" s="1115"/>
      <c r="D15" s="1115"/>
      <c r="E15" s="1115"/>
      <c r="F15" s="1115"/>
      <c r="G15" s="1115"/>
      <c r="H15" s="1115"/>
      <c r="I15" s="1115"/>
      <c r="J15" s="1115"/>
      <c r="K15" s="1115"/>
      <c r="L15" s="1115"/>
      <c r="M15" s="1115"/>
      <c r="N15" s="1115"/>
      <c r="O15" s="1115"/>
      <c r="P15" s="1115"/>
      <c r="Q15" s="1115"/>
      <c r="R15" s="1115"/>
      <c r="S15" s="1115"/>
      <c r="T15" s="1115"/>
      <c r="U15" s="1115"/>
      <c r="V15" s="1115"/>
      <c r="W15" s="1115"/>
      <c r="X15" s="1115"/>
      <c r="Y15" s="1115"/>
      <c r="Z15" s="1115"/>
      <c r="AA15" s="1115"/>
      <c r="AB15" s="1115"/>
      <c r="AC15" s="1115"/>
      <c r="AD15" s="1115"/>
      <c r="AE15" s="1115"/>
      <c r="AF15" s="1116"/>
    </row>
    <row r="16" spans="1:32" ht="16.5" x14ac:dyDescent="0.25">
      <c r="A16" s="240" t="s">
        <v>31</v>
      </c>
      <c r="B16" s="241">
        <f>B17+B18+B19+B21</f>
        <v>0</v>
      </c>
      <c r="C16" s="241">
        <f>C17+C18+C19+C21</f>
        <v>0</v>
      </c>
      <c r="D16" s="241">
        <f>D17+D18+D19+D21</f>
        <v>0</v>
      </c>
      <c r="E16" s="241">
        <f>E17+E18+E19+E21</f>
        <v>0</v>
      </c>
      <c r="F16" s="241">
        <f>IFERROR(E16/B16*100,0)</f>
        <v>0</v>
      </c>
      <c r="G16" s="241">
        <f>IFERROR(E16/C16*100,0)</f>
        <v>0</v>
      </c>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1120"/>
    </row>
    <row r="17" spans="1:32" ht="16.5" x14ac:dyDescent="0.25">
      <c r="A17" s="242" t="s">
        <v>169</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1120"/>
    </row>
    <row r="18" spans="1:32" ht="16.5" x14ac:dyDescent="0.25">
      <c r="A18" s="242" t="s">
        <v>32</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1120"/>
    </row>
    <row r="19" spans="1:32" ht="16.5" x14ac:dyDescent="0.25">
      <c r="A19" s="250" t="s">
        <v>33</v>
      </c>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1120"/>
    </row>
    <row r="20" spans="1:32" ht="33" x14ac:dyDescent="0.25">
      <c r="A20" s="245" t="s">
        <v>174</v>
      </c>
      <c r="B20" s="246"/>
      <c r="C20" s="243"/>
      <c r="D20" s="246"/>
      <c r="E20" s="246"/>
      <c r="F20" s="246"/>
      <c r="G20" s="246"/>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1120"/>
    </row>
    <row r="21" spans="1:32" ht="16.5" x14ac:dyDescent="0.25">
      <c r="A21" s="248" t="s">
        <v>374</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1120"/>
    </row>
    <row r="22" spans="1:32" ht="18.75" x14ac:dyDescent="0.25">
      <c r="A22" s="1121" t="s">
        <v>54</v>
      </c>
      <c r="B22" s="1122"/>
      <c r="C22" s="1122"/>
      <c r="D22" s="1122"/>
      <c r="E22" s="1122"/>
      <c r="F22" s="1122"/>
      <c r="G22" s="1122"/>
      <c r="H22" s="1122"/>
      <c r="I22" s="1122"/>
      <c r="J22" s="1122"/>
      <c r="K22" s="1122"/>
      <c r="L22" s="1122"/>
      <c r="M22" s="1122"/>
      <c r="N22" s="1122"/>
      <c r="O22" s="1122"/>
      <c r="P22" s="1122"/>
      <c r="Q22" s="1122"/>
      <c r="R22" s="1122"/>
      <c r="S22" s="1122"/>
      <c r="T22" s="1122"/>
      <c r="U22" s="1122"/>
      <c r="V22" s="1122"/>
      <c r="W22" s="1122"/>
      <c r="X22" s="1122"/>
      <c r="Y22" s="1122"/>
      <c r="Z22" s="1122"/>
      <c r="AA22" s="1122"/>
      <c r="AB22" s="1122"/>
      <c r="AC22" s="1122"/>
      <c r="AD22" s="1122"/>
      <c r="AE22" s="1122"/>
      <c r="AF22" s="251"/>
    </row>
    <row r="23" spans="1:32" ht="16.5" x14ac:dyDescent="0.25">
      <c r="A23" s="1114" t="s">
        <v>376</v>
      </c>
      <c r="B23" s="1115"/>
      <c r="C23" s="1115"/>
      <c r="D23" s="1115"/>
      <c r="E23" s="1115"/>
      <c r="F23" s="1115"/>
      <c r="G23" s="1115"/>
      <c r="H23" s="1115"/>
      <c r="I23" s="1115"/>
      <c r="J23" s="1115"/>
      <c r="K23" s="1115"/>
      <c r="L23" s="1115"/>
      <c r="M23" s="1115"/>
      <c r="N23" s="1115"/>
      <c r="O23" s="1115"/>
      <c r="P23" s="1115"/>
      <c r="Q23" s="1115"/>
      <c r="R23" s="1115"/>
      <c r="S23" s="1115"/>
      <c r="T23" s="1115"/>
      <c r="U23" s="1115"/>
      <c r="V23" s="1115"/>
      <c r="W23" s="1115"/>
      <c r="X23" s="1115"/>
      <c r="Y23" s="1115"/>
      <c r="Z23" s="1115"/>
      <c r="AA23" s="1115"/>
      <c r="AB23" s="1115"/>
      <c r="AC23" s="1115"/>
      <c r="AD23" s="1115"/>
      <c r="AE23" s="1115"/>
      <c r="AF23" s="1116"/>
    </row>
    <row r="24" spans="1:32" ht="16.5" x14ac:dyDescent="0.25">
      <c r="A24" s="252" t="s">
        <v>31</v>
      </c>
      <c r="B24" s="253">
        <f t="shared" ref="B24:AE24" si="0">B25+B26+B27+B29</f>
        <v>10.800000000000002</v>
      </c>
      <c r="C24" s="253">
        <f t="shared" si="0"/>
        <v>5.4</v>
      </c>
      <c r="D24" s="253">
        <f t="shared" si="0"/>
        <v>0.52</v>
      </c>
      <c r="E24" s="253">
        <f t="shared" si="0"/>
        <v>0.52</v>
      </c>
      <c r="F24" s="241">
        <f>IFERROR(E24/B24*100,0)</f>
        <v>4.814814814814814</v>
      </c>
      <c r="G24" s="241">
        <f>IFERROR(E24/C24*100,0)</f>
        <v>9.6296296296296298</v>
      </c>
      <c r="H24" s="253">
        <f t="shared" si="0"/>
        <v>0</v>
      </c>
      <c r="I24" s="253">
        <f t="shared" si="0"/>
        <v>0</v>
      </c>
      <c r="J24" s="253">
        <f t="shared" si="0"/>
        <v>0.9</v>
      </c>
      <c r="K24" s="253">
        <f t="shared" si="0"/>
        <v>0</v>
      </c>
      <c r="L24" s="253">
        <f t="shared" si="0"/>
        <v>0.9</v>
      </c>
      <c r="M24" s="253">
        <f t="shared" si="0"/>
        <v>0</v>
      </c>
      <c r="N24" s="253">
        <f t="shared" si="0"/>
        <v>0.9</v>
      </c>
      <c r="O24" s="253">
        <f t="shared" si="0"/>
        <v>0</v>
      </c>
      <c r="P24" s="253">
        <f t="shared" si="0"/>
        <v>0.9</v>
      </c>
      <c r="Q24" s="253">
        <f t="shared" si="0"/>
        <v>0</v>
      </c>
      <c r="R24" s="253">
        <f t="shared" si="0"/>
        <v>0.9</v>
      </c>
      <c r="S24" s="253">
        <f t="shared" si="0"/>
        <v>0.25</v>
      </c>
      <c r="T24" s="253">
        <f t="shared" si="0"/>
        <v>0.9</v>
      </c>
      <c r="U24" s="253">
        <f t="shared" si="0"/>
        <v>0.27</v>
      </c>
      <c r="V24" s="253">
        <f t="shared" si="0"/>
        <v>0.9</v>
      </c>
      <c r="W24" s="253">
        <f t="shared" si="0"/>
        <v>0</v>
      </c>
      <c r="X24" s="253">
        <f t="shared" si="0"/>
        <v>0.9</v>
      </c>
      <c r="Y24" s="253">
        <f t="shared" si="0"/>
        <v>0</v>
      </c>
      <c r="Z24" s="253">
        <f t="shared" si="0"/>
        <v>0.9</v>
      </c>
      <c r="AA24" s="253">
        <f t="shared" si="0"/>
        <v>0</v>
      </c>
      <c r="AB24" s="253">
        <f t="shared" si="0"/>
        <v>0.9</v>
      </c>
      <c r="AC24" s="253">
        <f t="shared" si="0"/>
        <v>0</v>
      </c>
      <c r="AD24" s="253">
        <f t="shared" si="0"/>
        <v>1.8</v>
      </c>
      <c r="AE24" s="253">
        <f t="shared" si="0"/>
        <v>0</v>
      </c>
      <c r="AF24" s="1123" t="s">
        <v>656</v>
      </c>
    </row>
    <row r="25" spans="1:32" ht="16.5" x14ac:dyDescent="0.25">
      <c r="A25" s="250" t="s">
        <v>169</v>
      </c>
      <c r="B25" s="243"/>
      <c r="C25" s="243"/>
      <c r="D25" s="243"/>
      <c r="E25" s="243"/>
      <c r="F25" s="241"/>
      <c r="G25" s="241"/>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1124"/>
    </row>
    <row r="26" spans="1:32" ht="16.5" x14ac:dyDescent="0.25">
      <c r="A26" s="250" t="s">
        <v>32</v>
      </c>
      <c r="B26" s="243"/>
      <c r="C26" s="243"/>
      <c r="D26" s="243"/>
      <c r="E26" s="243"/>
      <c r="F26" s="241"/>
      <c r="G26" s="241"/>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1124"/>
    </row>
    <row r="27" spans="1:32" ht="16.5" x14ac:dyDescent="0.25">
      <c r="A27" s="250" t="s">
        <v>33</v>
      </c>
      <c r="B27" s="243">
        <f>H27+J27+L27+N27+P27+R27+T27+V27+X27+Z27+AB27+AD27</f>
        <v>10.800000000000002</v>
      </c>
      <c r="C27" s="243">
        <f>H27+J27+L27+N27+P27+R27+T27</f>
        <v>5.4</v>
      </c>
      <c r="D27" s="243">
        <f>E27</f>
        <v>0.52</v>
      </c>
      <c r="E27" s="243">
        <f>I27+K27+M27+O27+Q27+S27+U27+W27+Y27+AA27+AC27+AE27</f>
        <v>0.52</v>
      </c>
      <c r="F27" s="243">
        <f t="shared" ref="F27" si="1">IFERROR(E27/B27*100,0)</f>
        <v>4.814814814814814</v>
      </c>
      <c r="G27" s="243">
        <f t="shared" ref="G27" si="2">IFERROR(E27/C27*100,0)</f>
        <v>9.6296296296296298</v>
      </c>
      <c r="H27" s="243"/>
      <c r="I27" s="243"/>
      <c r="J27" s="243">
        <v>0.9</v>
      </c>
      <c r="K27" s="243"/>
      <c r="L27" s="243">
        <v>0.9</v>
      </c>
      <c r="M27" s="243"/>
      <c r="N27" s="243">
        <v>0.9</v>
      </c>
      <c r="O27" s="243"/>
      <c r="P27" s="243">
        <v>0.9</v>
      </c>
      <c r="Q27" s="243"/>
      <c r="R27" s="243">
        <v>0.9</v>
      </c>
      <c r="S27" s="243">
        <v>0.25</v>
      </c>
      <c r="T27" s="243">
        <v>0.9</v>
      </c>
      <c r="U27" s="243">
        <v>0.27</v>
      </c>
      <c r="V27" s="243">
        <v>0.9</v>
      </c>
      <c r="W27" s="243"/>
      <c r="X27" s="243">
        <v>0.9</v>
      </c>
      <c r="Y27" s="243"/>
      <c r="Z27" s="243">
        <v>0.9</v>
      </c>
      <c r="AA27" s="243"/>
      <c r="AB27" s="243">
        <v>0.9</v>
      </c>
      <c r="AC27" s="243"/>
      <c r="AD27" s="243">
        <v>1.8</v>
      </c>
      <c r="AE27" s="243"/>
      <c r="AF27" s="1124"/>
    </row>
    <row r="28" spans="1:32" ht="33" x14ac:dyDescent="0.25">
      <c r="A28" s="245" t="s">
        <v>174</v>
      </c>
      <c r="B28" s="246"/>
      <c r="C28" s="243"/>
      <c r="D28" s="243"/>
      <c r="E28" s="243"/>
      <c r="F28" s="243"/>
      <c r="G28" s="243"/>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1124"/>
    </row>
    <row r="29" spans="1:32" ht="16.5" x14ac:dyDescent="0.25">
      <c r="A29" s="248" t="s">
        <v>374</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1125"/>
    </row>
    <row r="30" spans="1:32" ht="16.5" x14ac:dyDescent="0.25">
      <c r="A30" s="1114" t="s">
        <v>377</v>
      </c>
      <c r="B30" s="1115"/>
      <c r="C30" s="1115"/>
      <c r="D30" s="1115"/>
      <c r="E30" s="1115"/>
      <c r="F30" s="1115"/>
      <c r="G30" s="1115"/>
      <c r="H30" s="1115"/>
      <c r="I30" s="1115"/>
      <c r="J30" s="1115"/>
      <c r="K30" s="1115"/>
      <c r="L30" s="1115"/>
      <c r="M30" s="1115"/>
      <c r="N30" s="1115"/>
      <c r="O30" s="1115"/>
      <c r="P30" s="1115"/>
      <c r="Q30" s="1115"/>
      <c r="R30" s="1115"/>
      <c r="S30" s="1115"/>
      <c r="T30" s="1115"/>
      <c r="U30" s="1115"/>
      <c r="V30" s="1115"/>
      <c r="W30" s="1115"/>
      <c r="X30" s="1115"/>
      <c r="Y30" s="1115"/>
      <c r="Z30" s="1115"/>
      <c r="AA30" s="1115"/>
      <c r="AB30" s="1115"/>
      <c r="AC30" s="1115"/>
      <c r="AD30" s="1115"/>
      <c r="AE30" s="1115"/>
      <c r="AF30" s="1116"/>
    </row>
    <row r="31" spans="1:32" ht="16.5" x14ac:dyDescent="0.25">
      <c r="A31" s="255" t="s">
        <v>31</v>
      </c>
      <c r="B31" s="253">
        <f>B32+B33+B34+B36</f>
        <v>0</v>
      </c>
      <c r="C31" s="253">
        <f>C32+C33+C34+C36</f>
        <v>0</v>
      </c>
      <c r="D31" s="253">
        <f>D32+D33+D34+D36</f>
        <v>0</v>
      </c>
      <c r="E31" s="253">
        <f>E32+E33+E34+E36</f>
        <v>0</v>
      </c>
      <c r="F31" s="241">
        <f>IFERROR(E31/B31*100,0)</f>
        <v>0</v>
      </c>
      <c r="G31" s="241">
        <f>IFERROR(E31/C31*100,0)</f>
        <v>0</v>
      </c>
      <c r="H31" s="253">
        <f>H32+H33+H34+H36</f>
        <v>0</v>
      </c>
      <c r="I31" s="253">
        <f t="shared" ref="I31:AE31" si="3">I32+I33+I34+I36</f>
        <v>0</v>
      </c>
      <c r="J31" s="253">
        <f t="shared" si="3"/>
        <v>0</v>
      </c>
      <c r="K31" s="253">
        <f t="shared" si="3"/>
        <v>0</v>
      </c>
      <c r="L31" s="253">
        <f t="shared" si="3"/>
        <v>0</v>
      </c>
      <c r="M31" s="253">
        <f t="shared" si="3"/>
        <v>0</v>
      </c>
      <c r="N31" s="253">
        <f t="shared" si="3"/>
        <v>0</v>
      </c>
      <c r="O31" s="253">
        <f t="shared" si="3"/>
        <v>0</v>
      </c>
      <c r="P31" s="253">
        <f t="shared" si="3"/>
        <v>0</v>
      </c>
      <c r="Q31" s="253">
        <f t="shared" si="3"/>
        <v>0</v>
      </c>
      <c r="R31" s="253">
        <f t="shared" si="3"/>
        <v>0</v>
      </c>
      <c r="S31" s="253">
        <f t="shared" si="3"/>
        <v>0</v>
      </c>
      <c r="T31" s="253">
        <f t="shared" si="3"/>
        <v>0</v>
      </c>
      <c r="U31" s="253">
        <f t="shared" si="3"/>
        <v>0</v>
      </c>
      <c r="V31" s="253">
        <f t="shared" si="3"/>
        <v>0</v>
      </c>
      <c r="W31" s="253">
        <f t="shared" si="3"/>
        <v>0</v>
      </c>
      <c r="X31" s="253">
        <f t="shared" si="3"/>
        <v>0</v>
      </c>
      <c r="Y31" s="253">
        <f t="shared" si="3"/>
        <v>0</v>
      </c>
      <c r="Z31" s="253">
        <f t="shared" si="3"/>
        <v>0</v>
      </c>
      <c r="AA31" s="253">
        <f t="shared" si="3"/>
        <v>0</v>
      </c>
      <c r="AB31" s="253">
        <f t="shared" si="3"/>
        <v>0</v>
      </c>
      <c r="AC31" s="253">
        <f t="shared" si="3"/>
        <v>0</v>
      </c>
      <c r="AD31" s="253">
        <f t="shared" si="3"/>
        <v>0</v>
      </c>
      <c r="AE31" s="253">
        <f t="shared" si="3"/>
        <v>0</v>
      </c>
      <c r="AF31" s="254"/>
    </row>
    <row r="32" spans="1:32" ht="16.5" x14ac:dyDescent="0.25">
      <c r="A32" s="250" t="s">
        <v>169</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54"/>
    </row>
    <row r="33" spans="1:32" ht="16.5" x14ac:dyDescent="0.25">
      <c r="A33" s="250" t="s">
        <v>32</v>
      </c>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54"/>
    </row>
    <row r="34" spans="1:32" ht="16.5" x14ac:dyDescent="0.25">
      <c r="A34" s="250" t="s">
        <v>33</v>
      </c>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54"/>
    </row>
    <row r="35" spans="1:32" ht="33" x14ac:dyDescent="0.25">
      <c r="A35" s="245" t="s">
        <v>174</v>
      </c>
      <c r="B35" s="246"/>
      <c r="C35" s="243"/>
      <c r="D35" s="246"/>
      <c r="E35" s="246"/>
      <c r="F35" s="243"/>
      <c r="G35" s="243"/>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54"/>
    </row>
    <row r="36" spans="1:32" ht="16.5" x14ac:dyDescent="0.25">
      <c r="A36" s="248" t="s">
        <v>374</v>
      </c>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54"/>
    </row>
    <row r="37" spans="1:32" ht="16.5" x14ac:dyDescent="0.25">
      <c r="A37" s="256" t="s">
        <v>53</v>
      </c>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54"/>
    </row>
    <row r="38" spans="1:32" ht="16.5" x14ac:dyDescent="0.25">
      <c r="A38" s="257" t="s">
        <v>31</v>
      </c>
      <c r="B38" s="253">
        <f>B39+B40+B41+B43</f>
        <v>10.800000000000002</v>
      </c>
      <c r="C38" s="253">
        <f>C39+C40+C41+C43</f>
        <v>5.4</v>
      </c>
      <c r="D38" s="253">
        <f>D39+D40+D41+D43</f>
        <v>0.52</v>
      </c>
      <c r="E38" s="253">
        <f>E39+E40+E41+E43</f>
        <v>0.52</v>
      </c>
      <c r="F38" s="241">
        <f>IFERROR(E38/B38*100,0)</f>
        <v>4.814814814814814</v>
      </c>
      <c r="G38" s="241">
        <f>IFERROR(E38/C38*100,0)</f>
        <v>9.6296296296296298</v>
      </c>
      <c r="H38" s="253">
        <f t="shared" ref="H38:AE38" si="4">H39+H40+H41+H43</f>
        <v>0</v>
      </c>
      <c r="I38" s="253">
        <f t="shared" si="4"/>
        <v>0</v>
      </c>
      <c r="J38" s="253">
        <f t="shared" si="4"/>
        <v>0.9</v>
      </c>
      <c r="K38" s="253">
        <f t="shared" si="4"/>
        <v>0</v>
      </c>
      <c r="L38" s="253">
        <f t="shared" si="4"/>
        <v>0.9</v>
      </c>
      <c r="M38" s="253">
        <f t="shared" si="4"/>
        <v>0</v>
      </c>
      <c r="N38" s="253">
        <f t="shared" si="4"/>
        <v>0.9</v>
      </c>
      <c r="O38" s="253">
        <f t="shared" si="4"/>
        <v>0</v>
      </c>
      <c r="P38" s="253">
        <f t="shared" si="4"/>
        <v>0.9</v>
      </c>
      <c r="Q38" s="253">
        <f t="shared" si="4"/>
        <v>0</v>
      </c>
      <c r="R38" s="253">
        <f t="shared" si="4"/>
        <v>0.9</v>
      </c>
      <c r="S38" s="253">
        <f t="shared" si="4"/>
        <v>0.25</v>
      </c>
      <c r="T38" s="253">
        <f t="shared" si="4"/>
        <v>0.9</v>
      </c>
      <c r="U38" s="253">
        <f t="shared" si="4"/>
        <v>0.27</v>
      </c>
      <c r="V38" s="253">
        <f t="shared" si="4"/>
        <v>0.9</v>
      </c>
      <c r="W38" s="253">
        <f t="shared" si="4"/>
        <v>0</v>
      </c>
      <c r="X38" s="253">
        <f t="shared" si="4"/>
        <v>0.9</v>
      </c>
      <c r="Y38" s="253">
        <f t="shared" si="4"/>
        <v>0</v>
      </c>
      <c r="Z38" s="253">
        <f t="shared" si="4"/>
        <v>0.9</v>
      </c>
      <c r="AA38" s="253">
        <f t="shared" si="4"/>
        <v>0</v>
      </c>
      <c r="AB38" s="253">
        <f t="shared" si="4"/>
        <v>0.9</v>
      </c>
      <c r="AC38" s="253">
        <f t="shared" si="4"/>
        <v>0</v>
      </c>
      <c r="AD38" s="253">
        <f t="shared" si="4"/>
        <v>1.8</v>
      </c>
      <c r="AE38" s="253">
        <f t="shared" si="4"/>
        <v>0</v>
      </c>
      <c r="AF38" s="1111"/>
    </row>
    <row r="39" spans="1:32" ht="16.5" x14ac:dyDescent="0.25">
      <c r="A39" s="259" t="s">
        <v>169</v>
      </c>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1111"/>
    </row>
    <row r="40" spans="1:32" ht="16.5" x14ac:dyDescent="0.25">
      <c r="A40" s="259" t="s">
        <v>32</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1111"/>
    </row>
    <row r="41" spans="1:32" ht="16.5" x14ac:dyDescent="0.25">
      <c r="A41" s="259" t="s">
        <v>33</v>
      </c>
      <c r="B41" s="243">
        <f>H41+J41+L41+N41+P41+R41+T41+V41+X41+Z41+AB41+AD41</f>
        <v>10.800000000000002</v>
      </c>
      <c r="C41" s="243">
        <f>C27+C12+C34</f>
        <v>5.4</v>
      </c>
      <c r="D41" s="243">
        <f>D27+D12+D34</f>
        <v>0.52</v>
      </c>
      <c r="E41" s="243">
        <f>E27+E12+E34</f>
        <v>0.52</v>
      </c>
      <c r="F41" s="243">
        <f>IFERROR(E41/B41*100,0)</f>
        <v>4.814814814814814</v>
      </c>
      <c r="G41" s="243">
        <f>IFERROR(E41/C41*100,0)</f>
        <v>9.6296296296296298</v>
      </c>
      <c r="H41" s="243">
        <f t="shared" ref="H41:AE41" si="5">H27+H12+H34</f>
        <v>0</v>
      </c>
      <c r="I41" s="243">
        <f t="shared" si="5"/>
        <v>0</v>
      </c>
      <c r="J41" s="243">
        <f t="shared" si="5"/>
        <v>0.9</v>
      </c>
      <c r="K41" s="243">
        <f t="shared" si="5"/>
        <v>0</v>
      </c>
      <c r="L41" s="243">
        <f t="shared" si="5"/>
        <v>0.9</v>
      </c>
      <c r="M41" s="243">
        <f t="shared" si="5"/>
        <v>0</v>
      </c>
      <c r="N41" s="243">
        <f t="shared" si="5"/>
        <v>0.9</v>
      </c>
      <c r="O41" s="243">
        <f t="shared" si="5"/>
        <v>0</v>
      </c>
      <c r="P41" s="243">
        <f t="shared" si="5"/>
        <v>0.9</v>
      </c>
      <c r="Q41" s="243">
        <f t="shared" si="5"/>
        <v>0</v>
      </c>
      <c r="R41" s="243">
        <f t="shared" si="5"/>
        <v>0.9</v>
      </c>
      <c r="S41" s="243">
        <f t="shared" si="5"/>
        <v>0.25</v>
      </c>
      <c r="T41" s="243">
        <f t="shared" si="5"/>
        <v>0.9</v>
      </c>
      <c r="U41" s="243">
        <f t="shared" si="5"/>
        <v>0.27</v>
      </c>
      <c r="V41" s="243">
        <f t="shared" si="5"/>
        <v>0.9</v>
      </c>
      <c r="W41" s="243">
        <f t="shared" si="5"/>
        <v>0</v>
      </c>
      <c r="X41" s="243">
        <f t="shared" si="5"/>
        <v>0.9</v>
      </c>
      <c r="Y41" s="243">
        <f t="shared" si="5"/>
        <v>0</v>
      </c>
      <c r="Z41" s="243">
        <f t="shared" si="5"/>
        <v>0.9</v>
      </c>
      <c r="AA41" s="243">
        <f t="shared" si="5"/>
        <v>0</v>
      </c>
      <c r="AB41" s="243">
        <f t="shared" si="5"/>
        <v>0.9</v>
      </c>
      <c r="AC41" s="243">
        <f t="shared" si="5"/>
        <v>0</v>
      </c>
      <c r="AD41" s="243">
        <f t="shared" si="5"/>
        <v>1.8</v>
      </c>
      <c r="AE41" s="243">
        <f t="shared" si="5"/>
        <v>0</v>
      </c>
      <c r="AF41" s="1111"/>
    </row>
    <row r="42" spans="1:32" ht="33" x14ac:dyDescent="0.25">
      <c r="A42" s="260" t="s">
        <v>174</v>
      </c>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1111"/>
    </row>
    <row r="43" spans="1:32" ht="16.5" x14ac:dyDescent="0.25">
      <c r="A43" s="261" t="s">
        <v>374</v>
      </c>
      <c r="B43" s="243"/>
      <c r="C43" s="243"/>
      <c r="D43" s="243"/>
      <c r="E43" s="243"/>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1111"/>
    </row>
    <row r="44" spans="1:32" ht="18.75" x14ac:dyDescent="0.25">
      <c r="A44" s="1126" t="s">
        <v>378</v>
      </c>
      <c r="B44" s="1127"/>
      <c r="C44" s="1127"/>
      <c r="D44" s="1127"/>
      <c r="E44" s="1127"/>
      <c r="F44" s="1127"/>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8"/>
    </row>
    <row r="45" spans="1:32" ht="18.75" x14ac:dyDescent="0.25">
      <c r="A45" s="1112" t="s">
        <v>54</v>
      </c>
      <c r="B45" s="1113"/>
      <c r="C45" s="1113"/>
      <c r="D45" s="1113"/>
      <c r="E45" s="1113"/>
      <c r="F45" s="1113"/>
      <c r="G45" s="1113"/>
      <c r="H45" s="1113"/>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262"/>
    </row>
    <row r="46" spans="1:32" ht="16.5" x14ac:dyDescent="0.25">
      <c r="A46" s="1114" t="s">
        <v>379</v>
      </c>
      <c r="B46" s="1115"/>
      <c r="C46" s="1115"/>
      <c r="D46" s="1115"/>
      <c r="E46" s="1115"/>
      <c r="F46" s="1115"/>
      <c r="G46" s="1115"/>
      <c r="H46" s="1115"/>
      <c r="I46" s="1115"/>
      <c r="J46" s="1115"/>
      <c r="K46" s="1115"/>
      <c r="L46" s="1115"/>
      <c r="M46" s="1115"/>
      <c r="N46" s="1115"/>
      <c r="O46" s="1115"/>
      <c r="P46" s="1115"/>
      <c r="Q46" s="1115"/>
      <c r="R46" s="1115"/>
      <c r="S46" s="1115"/>
      <c r="T46" s="1115"/>
      <c r="U46" s="1115"/>
      <c r="V46" s="1115"/>
      <c r="W46" s="1115"/>
      <c r="X46" s="1115"/>
      <c r="Y46" s="1115"/>
      <c r="Z46" s="1115"/>
      <c r="AA46" s="1115"/>
      <c r="AB46" s="1115"/>
      <c r="AC46" s="1115"/>
      <c r="AD46" s="1115"/>
      <c r="AE46" s="1115"/>
      <c r="AF46" s="1116"/>
    </row>
    <row r="47" spans="1:32" ht="16.5" x14ac:dyDescent="0.25">
      <c r="A47" s="263" t="s">
        <v>31</v>
      </c>
      <c r="B47" s="253">
        <f>B48+B49+B50+B52</f>
        <v>159.89999999999998</v>
      </c>
      <c r="C47" s="253">
        <f>C48+C49+C50+C52</f>
        <v>75.58</v>
      </c>
      <c r="D47" s="253">
        <f>D48+D49+D50+D52</f>
        <v>74.319999999999993</v>
      </c>
      <c r="E47" s="253">
        <f>E48+E49+E50+E52</f>
        <v>74.319999999999993</v>
      </c>
      <c r="F47" s="241">
        <f>IFERROR(E47/B47*100,0)</f>
        <v>46.479049405878676</v>
      </c>
      <c r="G47" s="241">
        <f>IFERROR(E47/C47*100,0)</f>
        <v>98.332892299550139</v>
      </c>
      <c r="H47" s="253">
        <f t="shared" ref="H47:AE47" si="6">H48+H49+H50+H52</f>
        <v>0</v>
      </c>
      <c r="I47" s="253">
        <f t="shared" si="6"/>
        <v>0</v>
      </c>
      <c r="J47" s="253">
        <f t="shared" si="6"/>
        <v>12.6</v>
      </c>
      <c r="K47" s="253">
        <f t="shared" si="6"/>
        <v>12.6</v>
      </c>
      <c r="L47" s="253">
        <f t="shared" si="6"/>
        <v>12.59</v>
      </c>
      <c r="M47" s="253">
        <f t="shared" si="6"/>
        <v>11.33</v>
      </c>
      <c r="N47" s="253">
        <f t="shared" si="6"/>
        <v>12.6</v>
      </c>
      <c r="O47" s="253">
        <f t="shared" si="6"/>
        <v>12.6</v>
      </c>
      <c r="P47" s="253">
        <f t="shared" si="6"/>
        <v>12.6</v>
      </c>
      <c r="Q47" s="253">
        <f t="shared" si="6"/>
        <v>12.6</v>
      </c>
      <c r="R47" s="253">
        <f t="shared" si="6"/>
        <v>12.59</v>
      </c>
      <c r="S47" s="253">
        <f t="shared" si="6"/>
        <v>12.59</v>
      </c>
      <c r="T47" s="253">
        <f t="shared" si="6"/>
        <v>12.6</v>
      </c>
      <c r="U47" s="253">
        <f t="shared" si="6"/>
        <v>12.6</v>
      </c>
      <c r="V47" s="253">
        <f t="shared" si="6"/>
        <v>12.6</v>
      </c>
      <c r="W47" s="253">
        <f t="shared" si="6"/>
        <v>0</v>
      </c>
      <c r="X47" s="253">
        <f t="shared" si="6"/>
        <v>12.59</v>
      </c>
      <c r="Y47" s="253">
        <f t="shared" si="6"/>
        <v>0</v>
      </c>
      <c r="Z47" s="253">
        <f t="shared" si="6"/>
        <v>12.6</v>
      </c>
      <c r="AA47" s="253">
        <f t="shared" si="6"/>
        <v>0</v>
      </c>
      <c r="AB47" s="253">
        <f t="shared" si="6"/>
        <v>12.6</v>
      </c>
      <c r="AC47" s="253">
        <f t="shared" si="6"/>
        <v>0</v>
      </c>
      <c r="AD47" s="253">
        <f t="shared" si="6"/>
        <v>33.93</v>
      </c>
      <c r="AE47" s="253">
        <f t="shared" si="6"/>
        <v>0</v>
      </c>
      <c r="AF47" s="1108" t="s">
        <v>493</v>
      </c>
    </row>
    <row r="48" spans="1:32" ht="16.5" x14ac:dyDescent="0.25">
      <c r="A48" s="250" t="s">
        <v>169</v>
      </c>
      <c r="B48" s="243"/>
      <c r="C48" s="243"/>
      <c r="D48" s="243"/>
      <c r="E48" s="243"/>
      <c r="F48" s="243"/>
      <c r="G48" s="243"/>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1109"/>
    </row>
    <row r="49" spans="1:32" ht="16.5" x14ac:dyDescent="0.25">
      <c r="A49" s="250" t="s">
        <v>32</v>
      </c>
      <c r="B49" s="243">
        <f>H49+J49+L49+N49+P49+R49+T49+V49+X49+Z49+AB49+AD49</f>
        <v>159.89999999999998</v>
      </c>
      <c r="C49" s="243">
        <f>H49+J49+L49+N49+P49+R49+T49</f>
        <v>75.58</v>
      </c>
      <c r="D49" s="243">
        <f>E49</f>
        <v>74.319999999999993</v>
      </c>
      <c r="E49" s="243">
        <f>I49+K49+M49+O49+Q49+S49+U49+W49+Y49+AA49+AC49+AE49</f>
        <v>74.319999999999993</v>
      </c>
      <c r="F49" s="243">
        <f t="shared" ref="F49:F63" si="7">IFERROR(E49/B49*100,0)</f>
        <v>46.479049405878676</v>
      </c>
      <c r="G49" s="243">
        <f t="shared" ref="G49:G63" si="8">IFERROR(E49/C49*100,0)</f>
        <v>98.332892299550139</v>
      </c>
      <c r="H49" s="244"/>
      <c r="I49" s="244"/>
      <c r="J49" s="264">
        <v>12.6</v>
      </c>
      <c r="K49" s="264">
        <v>12.6</v>
      </c>
      <c r="L49" s="264">
        <v>12.59</v>
      </c>
      <c r="M49" s="672">
        <v>11.33</v>
      </c>
      <c r="N49" s="264">
        <v>12.6</v>
      </c>
      <c r="O49" s="264">
        <v>12.6</v>
      </c>
      <c r="P49" s="264">
        <v>12.6</v>
      </c>
      <c r="Q49" s="264">
        <v>12.6</v>
      </c>
      <c r="R49" s="264">
        <v>12.59</v>
      </c>
      <c r="S49" s="264">
        <v>12.59</v>
      </c>
      <c r="T49" s="264">
        <v>12.6</v>
      </c>
      <c r="U49" s="264">
        <v>12.6</v>
      </c>
      <c r="V49" s="264">
        <v>12.6</v>
      </c>
      <c r="W49" s="264"/>
      <c r="X49" s="264">
        <v>12.59</v>
      </c>
      <c r="Y49" s="265"/>
      <c r="Z49" s="264">
        <v>12.6</v>
      </c>
      <c r="AA49" s="264"/>
      <c r="AB49" s="264">
        <v>12.6</v>
      </c>
      <c r="AC49" s="264"/>
      <c r="AD49" s="264">
        <v>33.93</v>
      </c>
      <c r="AE49" s="264"/>
      <c r="AF49" s="1109"/>
    </row>
    <row r="50" spans="1:32" ht="16.5" x14ac:dyDescent="0.25">
      <c r="A50" s="250" t="s">
        <v>33</v>
      </c>
      <c r="B50" s="243"/>
      <c r="C50" s="243"/>
      <c r="D50" s="243"/>
      <c r="E50" s="243"/>
      <c r="F50" s="243"/>
      <c r="G50" s="243"/>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1109"/>
    </row>
    <row r="51" spans="1:32" ht="33" x14ac:dyDescent="0.25">
      <c r="A51" s="245" t="s">
        <v>174</v>
      </c>
      <c r="B51" s="246"/>
      <c r="C51" s="266"/>
      <c r="D51" s="246"/>
      <c r="E51" s="246"/>
      <c r="F51" s="243"/>
      <c r="G51" s="243"/>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1109"/>
    </row>
    <row r="52" spans="1:32" ht="16.5" x14ac:dyDescent="0.25">
      <c r="A52" s="248" t="s">
        <v>374</v>
      </c>
      <c r="B52" s="243"/>
      <c r="C52" s="243"/>
      <c r="D52" s="243"/>
      <c r="E52" s="243"/>
      <c r="F52" s="243"/>
      <c r="G52" s="243"/>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1110"/>
    </row>
    <row r="53" spans="1:32" ht="16.5" x14ac:dyDescent="0.25">
      <c r="A53" s="256" t="s">
        <v>35</v>
      </c>
      <c r="B53" s="243"/>
      <c r="C53" s="243"/>
      <c r="D53" s="243"/>
      <c r="E53" s="243"/>
      <c r="F53" s="243"/>
      <c r="G53" s="243"/>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67"/>
    </row>
    <row r="54" spans="1:32" ht="16.5" x14ac:dyDescent="0.25">
      <c r="A54" s="257" t="s">
        <v>31</v>
      </c>
      <c r="B54" s="253">
        <f>B55+B56+B57+B59</f>
        <v>159.89999999999998</v>
      </c>
      <c r="C54" s="253">
        <f>C55+C56+C57+C59</f>
        <v>75.58</v>
      </c>
      <c r="D54" s="253">
        <f>D55+D56+D57+D59</f>
        <v>74.319999999999993</v>
      </c>
      <c r="E54" s="253">
        <f>E55+E56+E57+E59</f>
        <v>74.319999999999993</v>
      </c>
      <c r="F54" s="241">
        <f t="shared" si="7"/>
        <v>46.479049405878676</v>
      </c>
      <c r="G54" s="241">
        <f t="shared" si="8"/>
        <v>98.332892299550139</v>
      </c>
      <c r="H54" s="253">
        <f t="shared" ref="H54:AE54" si="9">H56+H57</f>
        <v>0</v>
      </c>
      <c r="I54" s="253">
        <f t="shared" si="9"/>
        <v>0</v>
      </c>
      <c r="J54" s="253">
        <f t="shared" si="9"/>
        <v>12.6</v>
      </c>
      <c r="K54" s="253">
        <f t="shared" si="9"/>
        <v>12.6</v>
      </c>
      <c r="L54" s="253">
        <f t="shared" si="9"/>
        <v>12.59</v>
      </c>
      <c r="M54" s="253">
        <f t="shared" si="9"/>
        <v>11.33</v>
      </c>
      <c r="N54" s="253">
        <f t="shared" si="9"/>
        <v>12.6</v>
      </c>
      <c r="O54" s="253">
        <f t="shared" si="9"/>
        <v>12.6</v>
      </c>
      <c r="P54" s="253">
        <f t="shared" si="9"/>
        <v>12.6</v>
      </c>
      <c r="Q54" s="253">
        <f t="shared" si="9"/>
        <v>12.6</v>
      </c>
      <c r="R54" s="253">
        <f t="shared" si="9"/>
        <v>12.59</v>
      </c>
      <c r="S54" s="253">
        <f t="shared" si="9"/>
        <v>12.59</v>
      </c>
      <c r="T54" s="253">
        <f t="shared" si="9"/>
        <v>12.6</v>
      </c>
      <c r="U54" s="253">
        <f t="shared" si="9"/>
        <v>12.6</v>
      </c>
      <c r="V54" s="253">
        <f t="shared" si="9"/>
        <v>12.6</v>
      </c>
      <c r="W54" s="253">
        <f t="shared" si="9"/>
        <v>0</v>
      </c>
      <c r="X54" s="253">
        <f t="shared" si="9"/>
        <v>12.59</v>
      </c>
      <c r="Y54" s="253">
        <f t="shared" si="9"/>
        <v>0</v>
      </c>
      <c r="Z54" s="253">
        <f t="shared" si="9"/>
        <v>12.6</v>
      </c>
      <c r="AA54" s="253">
        <f t="shared" si="9"/>
        <v>0</v>
      </c>
      <c r="AB54" s="253">
        <f t="shared" si="9"/>
        <v>12.6</v>
      </c>
      <c r="AC54" s="253">
        <f t="shared" si="9"/>
        <v>0</v>
      </c>
      <c r="AD54" s="253">
        <f t="shared" si="9"/>
        <v>33.93</v>
      </c>
      <c r="AE54" s="253">
        <f t="shared" si="9"/>
        <v>0</v>
      </c>
      <c r="AF54" s="1111"/>
    </row>
    <row r="55" spans="1:32" ht="16.5" x14ac:dyDescent="0.25">
      <c r="A55" s="259" t="s">
        <v>169</v>
      </c>
      <c r="B55" s="243">
        <f>H55+J55+L55+N55+P55+R55+T55+V55+X55+Z55+AB55+AD55</f>
        <v>0</v>
      </c>
      <c r="C55" s="244">
        <f t="shared" ref="C55:E56" si="10">C48</f>
        <v>0</v>
      </c>
      <c r="D55" s="244">
        <f t="shared" si="10"/>
        <v>0</v>
      </c>
      <c r="E55" s="244">
        <f t="shared" si="10"/>
        <v>0</v>
      </c>
      <c r="F55" s="243">
        <f t="shared" si="7"/>
        <v>0</v>
      </c>
      <c r="G55" s="243">
        <f t="shared" si="8"/>
        <v>0</v>
      </c>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1111"/>
    </row>
    <row r="56" spans="1:32" ht="16.5" x14ac:dyDescent="0.25">
      <c r="A56" s="259" t="s">
        <v>32</v>
      </c>
      <c r="B56" s="243">
        <f>B49</f>
        <v>159.89999999999998</v>
      </c>
      <c r="C56" s="243">
        <f t="shared" si="10"/>
        <v>75.58</v>
      </c>
      <c r="D56" s="243">
        <f t="shared" si="10"/>
        <v>74.319999999999993</v>
      </c>
      <c r="E56" s="243">
        <f t="shared" si="10"/>
        <v>74.319999999999993</v>
      </c>
      <c r="F56" s="243">
        <f t="shared" si="7"/>
        <v>46.479049405878676</v>
      </c>
      <c r="G56" s="243">
        <f t="shared" si="8"/>
        <v>98.332892299550139</v>
      </c>
      <c r="H56" s="244">
        <f t="shared" ref="H56:AE56" si="11">H49</f>
        <v>0</v>
      </c>
      <c r="I56" s="244">
        <f t="shared" si="11"/>
        <v>0</v>
      </c>
      <c r="J56" s="244">
        <f t="shared" si="11"/>
        <v>12.6</v>
      </c>
      <c r="K56" s="244">
        <f t="shared" si="11"/>
        <v>12.6</v>
      </c>
      <c r="L56" s="244">
        <f t="shared" si="11"/>
        <v>12.59</v>
      </c>
      <c r="M56" s="244">
        <f t="shared" si="11"/>
        <v>11.33</v>
      </c>
      <c r="N56" s="244">
        <f t="shared" si="11"/>
        <v>12.6</v>
      </c>
      <c r="O56" s="244">
        <f t="shared" si="11"/>
        <v>12.6</v>
      </c>
      <c r="P56" s="244">
        <f t="shared" si="11"/>
        <v>12.6</v>
      </c>
      <c r="Q56" s="244">
        <f t="shared" si="11"/>
        <v>12.6</v>
      </c>
      <c r="R56" s="244">
        <f t="shared" si="11"/>
        <v>12.59</v>
      </c>
      <c r="S56" s="244">
        <f t="shared" si="11"/>
        <v>12.59</v>
      </c>
      <c r="T56" s="244">
        <f t="shared" si="11"/>
        <v>12.6</v>
      </c>
      <c r="U56" s="244">
        <f t="shared" si="11"/>
        <v>12.6</v>
      </c>
      <c r="V56" s="244">
        <f t="shared" si="11"/>
        <v>12.6</v>
      </c>
      <c r="W56" s="244">
        <f t="shared" si="11"/>
        <v>0</v>
      </c>
      <c r="X56" s="244">
        <f t="shared" si="11"/>
        <v>12.59</v>
      </c>
      <c r="Y56" s="244">
        <f t="shared" si="11"/>
        <v>0</v>
      </c>
      <c r="Z56" s="244">
        <f t="shared" si="11"/>
        <v>12.6</v>
      </c>
      <c r="AA56" s="244">
        <f t="shared" si="11"/>
        <v>0</v>
      </c>
      <c r="AB56" s="244">
        <f t="shared" si="11"/>
        <v>12.6</v>
      </c>
      <c r="AC56" s="244">
        <v>0</v>
      </c>
      <c r="AD56" s="244">
        <f t="shared" si="11"/>
        <v>33.93</v>
      </c>
      <c r="AE56" s="244">
        <f t="shared" si="11"/>
        <v>0</v>
      </c>
      <c r="AF56" s="1111"/>
    </row>
    <row r="57" spans="1:32" ht="16.5" x14ac:dyDescent="0.25">
      <c r="A57" s="259" t="s">
        <v>33</v>
      </c>
      <c r="B57" s="243"/>
      <c r="C57" s="244"/>
      <c r="D57" s="244"/>
      <c r="E57" s="244"/>
      <c r="F57" s="243"/>
      <c r="G57" s="243"/>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1111"/>
    </row>
    <row r="58" spans="1:32" ht="33" x14ac:dyDescent="0.25">
      <c r="A58" s="260" t="s">
        <v>174</v>
      </c>
      <c r="B58" s="246"/>
      <c r="C58" s="247"/>
      <c r="D58" s="247"/>
      <c r="E58" s="247"/>
      <c r="F58" s="243"/>
      <c r="G58" s="243"/>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1111"/>
    </row>
    <row r="59" spans="1:32" ht="16.5" x14ac:dyDescent="0.25">
      <c r="A59" s="261" t="s">
        <v>374</v>
      </c>
      <c r="B59" s="243"/>
      <c r="C59" s="244"/>
      <c r="D59" s="244"/>
      <c r="E59" s="244"/>
      <c r="F59" s="243"/>
      <c r="G59" s="243"/>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1111"/>
    </row>
    <row r="60" spans="1:32" ht="33" x14ac:dyDescent="0.25">
      <c r="A60" s="268" t="s">
        <v>66</v>
      </c>
      <c r="B60" s="600">
        <f>B61+B62+B63+B65</f>
        <v>170.7</v>
      </c>
      <c r="C60" s="600">
        <f t="shared" ref="C60:AE60" si="12">C61+C62+C63+C65</f>
        <v>80.98</v>
      </c>
      <c r="D60" s="600">
        <f t="shared" si="12"/>
        <v>74.839999999999989</v>
      </c>
      <c r="E60" s="600">
        <f t="shared" si="12"/>
        <v>74.839999999999989</v>
      </c>
      <c r="F60" s="241">
        <f t="shared" si="7"/>
        <v>43.842999414176916</v>
      </c>
      <c r="G60" s="241">
        <f t="shared" si="8"/>
        <v>92.417880958261279</v>
      </c>
      <c r="H60" s="253">
        <f t="shared" si="12"/>
        <v>0</v>
      </c>
      <c r="I60" s="253">
        <f t="shared" si="12"/>
        <v>0</v>
      </c>
      <c r="J60" s="253">
        <f t="shared" si="12"/>
        <v>13.5</v>
      </c>
      <c r="K60" s="253">
        <f t="shared" si="12"/>
        <v>12.6</v>
      </c>
      <c r="L60" s="253">
        <f t="shared" si="12"/>
        <v>13.49</v>
      </c>
      <c r="M60" s="253">
        <f t="shared" si="12"/>
        <v>11.33</v>
      </c>
      <c r="N60" s="253">
        <f t="shared" si="12"/>
        <v>13.5</v>
      </c>
      <c r="O60" s="253">
        <f t="shared" si="12"/>
        <v>12.6</v>
      </c>
      <c r="P60" s="253">
        <f t="shared" si="12"/>
        <v>13.5</v>
      </c>
      <c r="Q60" s="253">
        <f t="shared" si="12"/>
        <v>12.6</v>
      </c>
      <c r="R60" s="253">
        <f t="shared" si="12"/>
        <v>13.49</v>
      </c>
      <c r="S60" s="253">
        <f t="shared" si="12"/>
        <v>12.84</v>
      </c>
      <c r="T60" s="253">
        <f t="shared" si="12"/>
        <v>13.5</v>
      </c>
      <c r="U60" s="253">
        <f t="shared" si="12"/>
        <v>12.87</v>
      </c>
      <c r="V60" s="253">
        <f t="shared" si="12"/>
        <v>13.5</v>
      </c>
      <c r="W60" s="253">
        <f t="shared" si="12"/>
        <v>0</v>
      </c>
      <c r="X60" s="253">
        <f t="shared" si="12"/>
        <v>13.49</v>
      </c>
      <c r="Y60" s="253">
        <f t="shared" si="12"/>
        <v>0</v>
      </c>
      <c r="Z60" s="253">
        <f t="shared" si="12"/>
        <v>13.5</v>
      </c>
      <c r="AA60" s="253">
        <f t="shared" si="12"/>
        <v>0</v>
      </c>
      <c r="AB60" s="253">
        <f t="shared" si="12"/>
        <v>13.5</v>
      </c>
      <c r="AC60" s="253">
        <f t="shared" si="12"/>
        <v>0</v>
      </c>
      <c r="AD60" s="253">
        <f t="shared" si="12"/>
        <v>35.729999999999997</v>
      </c>
      <c r="AE60" s="253">
        <f t="shared" si="12"/>
        <v>0</v>
      </c>
      <c r="AF60" s="1111"/>
    </row>
    <row r="61" spans="1:32" ht="16.5" x14ac:dyDescent="0.25">
      <c r="A61" s="250" t="s">
        <v>169</v>
      </c>
      <c r="B61" s="243"/>
      <c r="C61" s="244"/>
      <c r="D61" s="244"/>
      <c r="E61" s="244"/>
      <c r="F61" s="243"/>
      <c r="G61" s="243"/>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1111"/>
    </row>
    <row r="62" spans="1:32" ht="16.5" x14ac:dyDescent="0.25">
      <c r="A62" s="250" t="s">
        <v>32</v>
      </c>
      <c r="B62" s="243">
        <f>B56+B40</f>
        <v>159.89999999999998</v>
      </c>
      <c r="C62" s="243">
        <f t="shared" ref="C62:E63" si="13">C56+C40</f>
        <v>75.58</v>
      </c>
      <c r="D62" s="243">
        <f>D56+D40</f>
        <v>74.319999999999993</v>
      </c>
      <c r="E62" s="243">
        <f t="shared" si="13"/>
        <v>74.319999999999993</v>
      </c>
      <c r="F62" s="243">
        <f t="shared" si="7"/>
        <v>46.479049405878676</v>
      </c>
      <c r="G62" s="243">
        <f t="shared" si="8"/>
        <v>98.332892299550139</v>
      </c>
      <c r="H62" s="244">
        <f t="shared" ref="H62:AE63" si="14">H56+H40</f>
        <v>0</v>
      </c>
      <c r="I62" s="244">
        <f t="shared" si="14"/>
        <v>0</v>
      </c>
      <c r="J62" s="244">
        <f t="shared" si="14"/>
        <v>12.6</v>
      </c>
      <c r="K62" s="244">
        <f t="shared" si="14"/>
        <v>12.6</v>
      </c>
      <c r="L62" s="244">
        <f t="shared" si="14"/>
        <v>12.59</v>
      </c>
      <c r="M62" s="244">
        <f t="shared" si="14"/>
        <v>11.33</v>
      </c>
      <c r="N62" s="244">
        <f t="shared" si="14"/>
        <v>12.6</v>
      </c>
      <c r="O62" s="244">
        <f t="shared" si="14"/>
        <v>12.6</v>
      </c>
      <c r="P62" s="244">
        <f t="shared" si="14"/>
        <v>12.6</v>
      </c>
      <c r="Q62" s="244">
        <f t="shared" si="14"/>
        <v>12.6</v>
      </c>
      <c r="R62" s="244">
        <f t="shared" si="14"/>
        <v>12.59</v>
      </c>
      <c r="S62" s="244">
        <f t="shared" si="14"/>
        <v>12.59</v>
      </c>
      <c r="T62" s="244">
        <f t="shared" si="14"/>
        <v>12.6</v>
      </c>
      <c r="U62" s="244">
        <f t="shared" si="14"/>
        <v>12.6</v>
      </c>
      <c r="V62" s="244">
        <f t="shared" si="14"/>
        <v>12.6</v>
      </c>
      <c r="W62" s="244">
        <f t="shared" si="14"/>
        <v>0</v>
      </c>
      <c r="X62" s="244">
        <f t="shared" si="14"/>
        <v>12.59</v>
      </c>
      <c r="Y62" s="244">
        <f t="shared" si="14"/>
        <v>0</v>
      </c>
      <c r="Z62" s="244">
        <f t="shared" si="14"/>
        <v>12.6</v>
      </c>
      <c r="AA62" s="244">
        <f t="shared" si="14"/>
        <v>0</v>
      </c>
      <c r="AB62" s="244">
        <f t="shared" si="14"/>
        <v>12.6</v>
      </c>
      <c r="AC62" s="244">
        <f t="shared" si="14"/>
        <v>0</v>
      </c>
      <c r="AD62" s="244">
        <f t="shared" si="14"/>
        <v>33.93</v>
      </c>
      <c r="AE62" s="244">
        <f t="shared" si="14"/>
        <v>0</v>
      </c>
      <c r="AF62" s="1111"/>
    </row>
    <row r="63" spans="1:32" ht="16.5" x14ac:dyDescent="0.25">
      <c r="A63" s="250" t="s">
        <v>33</v>
      </c>
      <c r="B63" s="243">
        <f>B57+B41</f>
        <v>10.800000000000002</v>
      </c>
      <c r="C63" s="243">
        <f t="shared" si="13"/>
        <v>5.4</v>
      </c>
      <c r="D63" s="243">
        <f t="shared" si="13"/>
        <v>0.52</v>
      </c>
      <c r="E63" s="243">
        <f t="shared" si="13"/>
        <v>0.52</v>
      </c>
      <c r="F63" s="243">
        <f t="shared" si="7"/>
        <v>4.814814814814814</v>
      </c>
      <c r="G63" s="243">
        <f t="shared" si="8"/>
        <v>9.6296296296296298</v>
      </c>
      <c r="H63" s="244">
        <f t="shared" si="14"/>
        <v>0</v>
      </c>
      <c r="I63" s="244">
        <f t="shared" si="14"/>
        <v>0</v>
      </c>
      <c r="J63" s="244">
        <f t="shared" si="14"/>
        <v>0.9</v>
      </c>
      <c r="K63" s="244">
        <f t="shared" si="14"/>
        <v>0</v>
      </c>
      <c r="L63" s="244">
        <f t="shared" si="14"/>
        <v>0.9</v>
      </c>
      <c r="M63" s="244">
        <f t="shared" si="14"/>
        <v>0</v>
      </c>
      <c r="N63" s="244">
        <f t="shared" si="14"/>
        <v>0.9</v>
      </c>
      <c r="O63" s="244">
        <f t="shared" si="14"/>
        <v>0</v>
      </c>
      <c r="P63" s="244">
        <f t="shared" si="14"/>
        <v>0.9</v>
      </c>
      <c r="Q63" s="244">
        <f t="shared" si="14"/>
        <v>0</v>
      </c>
      <c r="R63" s="244">
        <f t="shared" si="14"/>
        <v>0.9</v>
      </c>
      <c r="S63" s="244">
        <f t="shared" si="14"/>
        <v>0.25</v>
      </c>
      <c r="T63" s="244">
        <f t="shared" si="14"/>
        <v>0.9</v>
      </c>
      <c r="U63" s="244">
        <f t="shared" si="14"/>
        <v>0.27</v>
      </c>
      <c r="V63" s="244">
        <f t="shared" si="14"/>
        <v>0.9</v>
      </c>
      <c r="W63" s="244">
        <f t="shared" si="14"/>
        <v>0</v>
      </c>
      <c r="X63" s="244">
        <f t="shared" si="14"/>
        <v>0.9</v>
      </c>
      <c r="Y63" s="244">
        <f t="shared" si="14"/>
        <v>0</v>
      </c>
      <c r="Z63" s="244">
        <f t="shared" si="14"/>
        <v>0.9</v>
      </c>
      <c r="AA63" s="244">
        <f t="shared" si="14"/>
        <v>0</v>
      </c>
      <c r="AB63" s="244">
        <f t="shared" si="14"/>
        <v>0.9</v>
      </c>
      <c r="AC63" s="244">
        <f t="shared" si="14"/>
        <v>0</v>
      </c>
      <c r="AD63" s="244">
        <f t="shared" si="14"/>
        <v>1.8</v>
      </c>
      <c r="AE63" s="244">
        <f t="shared" si="14"/>
        <v>0</v>
      </c>
      <c r="AF63" s="1111"/>
    </row>
    <row r="64" spans="1:32" ht="33" x14ac:dyDescent="0.25">
      <c r="A64" s="245" t="s">
        <v>174</v>
      </c>
      <c r="B64" s="243"/>
      <c r="C64" s="244"/>
      <c r="D64" s="244"/>
      <c r="E64" s="244"/>
      <c r="F64" s="243"/>
      <c r="G64" s="243"/>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1111"/>
    </row>
    <row r="65" spans="1:32" ht="16.5" x14ac:dyDescent="0.25">
      <c r="A65" s="248" t="s">
        <v>374</v>
      </c>
      <c r="B65" s="243"/>
      <c r="C65" s="244"/>
      <c r="D65" s="244"/>
      <c r="E65" s="244"/>
      <c r="F65" s="243"/>
      <c r="G65" s="243"/>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1111"/>
    </row>
    <row r="66" spans="1:32" ht="18.75" x14ac:dyDescent="0.25">
      <c r="A66" s="1112" t="s">
        <v>380</v>
      </c>
      <c r="B66" s="1113"/>
      <c r="C66" s="1113"/>
      <c r="D66" s="1113"/>
      <c r="E66" s="1113"/>
      <c r="F66" s="1113"/>
      <c r="G66" s="1113"/>
      <c r="H66" s="1113"/>
      <c r="I66" s="1113"/>
      <c r="J66" s="1113"/>
      <c r="K66" s="1113"/>
      <c r="L66" s="1113"/>
      <c r="M66" s="1113"/>
      <c r="N66" s="1113"/>
      <c r="O66" s="1113"/>
      <c r="P66" s="1113"/>
      <c r="Q66" s="1113"/>
      <c r="R66" s="1113"/>
      <c r="S66" s="1113"/>
      <c r="T66" s="1113"/>
      <c r="U66" s="1113"/>
      <c r="V66" s="1113"/>
      <c r="W66" s="1113"/>
      <c r="X66" s="1113"/>
      <c r="Y66" s="1113"/>
      <c r="Z66" s="1113"/>
      <c r="AA66" s="1113"/>
      <c r="AB66" s="1113"/>
      <c r="AC66" s="1113"/>
      <c r="AD66" s="1113"/>
      <c r="AE66" s="1113"/>
      <c r="AF66" s="258"/>
    </row>
    <row r="67" spans="1:32" ht="16.5" x14ac:dyDescent="0.25">
      <c r="A67" s="263" t="s">
        <v>31</v>
      </c>
      <c r="B67" s="241">
        <f>B68+B69+B70+B72</f>
        <v>0</v>
      </c>
      <c r="C67" s="241">
        <f t="shared" ref="C67:AE67" si="15">C68+C69+C70+C72</f>
        <v>0</v>
      </c>
      <c r="D67" s="241">
        <f t="shared" si="15"/>
        <v>0</v>
      </c>
      <c r="E67" s="241">
        <f t="shared" si="15"/>
        <v>0</v>
      </c>
      <c r="F67" s="241">
        <f>IFERROR(E67/B67*100,0)</f>
        <v>0</v>
      </c>
      <c r="G67" s="241">
        <f>IFERROR(E67/C67*100,0)</f>
        <v>0</v>
      </c>
      <c r="H67" s="241">
        <f t="shared" si="15"/>
        <v>0</v>
      </c>
      <c r="I67" s="241">
        <f t="shared" si="15"/>
        <v>0</v>
      </c>
      <c r="J67" s="241">
        <f t="shared" si="15"/>
        <v>0</v>
      </c>
      <c r="K67" s="241">
        <f t="shared" si="15"/>
        <v>0</v>
      </c>
      <c r="L67" s="241">
        <f t="shared" si="15"/>
        <v>0</v>
      </c>
      <c r="M67" s="241">
        <f t="shared" si="15"/>
        <v>0</v>
      </c>
      <c r="N67" s="241">
        <f t="shared" si="15"/>
        <v>0</v>
      </c>
      <c r="O67" s="241">
        <f t="shared" si="15"/>
        <v>0</v>
      </c>
      <c r="P67" s="241">
        <f t="shared" si="15"/>
        <v>0</v>
      </c>
      <c r="Q67" s="241">
        <f t="shared" si="15"/>
        <v>0</v>
      </c>
      <c r="R67" s="241">
        <f t="shared" si="15"/>
        <v>0</v>
      </c>
      <c r="S67" s="241">
        <f t="shared" si="15"/>
        <v>0</v>
      </c>
      <c r="T67" s="241">
        <f t="shared" si="15"/>
        <v>0</v>
      </c>
      <c r="U67" s="241">
        <f t="shared" si="15"/>
        <v>0</v>
      </c>
      <c r="V67" s="241">
        <f t="shared" si="15"/>
        <v>0</v>
      </c>
      <c r="W67" s="241">
        <f t="shared" si="15"/>
        <v>0</v>
      </c>
      <c r="X67" s="241">
        <f t="shared" si="15"/>
        <v>0</v>
      </c>
      <c r="Y67" s="241">
        <f t="shared" si="15"/>
        <v>0</v>
      </c>
      <c r="Z67" s="241">
        <f t="shared" si="15"/>
        <v>0</v>
      </c>
      <c r="AA67" s="241">
        <f t="shared" si="15"/>
        <v>0</v>
      </c>
      <c r="AB67" s="241">
        <f t="shared" si="15"/>
        <v>0</v>
      </c>
      <c r="AC67" s="241">
        <f t="shared" si="15"/>
        <v>0</v>
      </c>
      <c r="AD67" s="241">
        <f t="shared" si="15"/>
        <v>0</v>
      </c>
      <c r="AE67" s="241">
        <f t="shared" si="15"/>
        <v>0</v>
      </c>
      <c r="AF67" s="258"/>
    </row>
    <row r="68" spans="1:32" ht="16.5" x14ac:dyDescent="0.25">
      <c r="A68" s="250" t="s">
        <v>169</v>
      </c>
      <c r="B68" s="243"/>
      <c r="C68" s="243"/>
      <c r="D68" s="243"/>
      <c r="E68" s="243"/>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9"/>
    </row>
    <row r="69" spans="1:32" ht="16.5" x14ac:dyDescent="0.25">
      <c r="A69" s="250" t="s">
        <v>32</v>
      </c>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9"/>
    </row>
    <row r="70" spans="1:32" ht="16.5" x14ac:dyDescent="0.25">
      <c r="A70" s="250" t="s">
        <v>33</v>
      </c>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9"/>
    </row>
    <row r="71" spans="1:32" ht="33" x14ac:dyDescent="0.25">
      <c r="A71" s="245" t="s">
        <v>174</v>
      </c>
      <c r="B71" s="243"/>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9"/>
    </row>
    <row r="72" spans="1:32" ht="16.5" x14ac:dyDescent="0.25">
      <c r="A72" s="248" t="s">
        <v>374</v>
      </c>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9"/>
    </row>
    <row r="73" spans="1:32" ht="18.75" x14ac:dyDescent="0.25">
      <c r="A73" s="1112" t="s">
        <v>381</v>
      </c>
      <c r="B73" s="1113"/>
      <c r="C73" s="1113"/>
      <c r="D73" s="1113"/>
      <c r="E73" s="1113"/>
      <c r="F73" s="1113"/>
      <c r="G73" s="1113"/>
      <c r="H73" s="1113"/>
      <c r="I73" s="1113"/>
      <c r="J73" s="1113"/>
      <c r="K73" s="1113"/>
      <c r="L73" s="1113"/>
      <c r="M73" s="1113"/>
      <c r="N73" s="1113"/>
      <c r="O73" s="1113"/>
      <c r="P73" s="1113"/>
      <c r="Q73" s="1113"/>
      <c r="R73" s="1113"/>
      <c r="S73" s="1113"/>
      <c r="T73" s="1113"/>
      <c r="U73" s="1113"/>
      <c r="V73" s="1113"/>
      <c r="W73" s="1113"/>
      <c r="X73" s="1113"/>
      <c r="Y73" s="1113"/>
      <c r="Z73" s="1113"/>
      <c r="AA73" s="1113"/>
      <c r="AB73" s="1113"/>
      <c r="AC73" s="1113"/>
      <c r="AD73" s="1113"/>
      <c r="AE73" s="1113"/>
      <c r="AF73" s="269"/>
    </row>
    <row r="74" spans="1:32" ht="18.75" x14ac:dyDescent="0.25">
      <c r="A74" s="263" t="s">
        <v>31</v>
      </c>
      <c r="B74" s="227">
        <f>B75+B76+B77+B79</f>
        <v>170.7</v>
      </c>
      <c r="C74" s="270">
        <f>C75+C76+C77+C79</f>
        <v>80.98</v>
      </c>
      <c r="D74" s="270">
        <f>D75+D76+D77+D79</f>
        <v>74.839999999999989</v>
      </c>
      <c r="E74" s="270">
        <f>E75+E76+E77+E79</f>
        <v>74.839999999999989</v>
      </c>
      <c r="F74" s="270">
        <f>IFERROR(E74/B74*100,0)</f>
        <v>43.842999414176916</v>
      </c>
      <c r="G74" s="270">
        <f>IFERROR(E74/C74*100,0)</f>
        <v>92.417880958261279</v>
      </c>
      <c r="H74" s="227">
        <f t="shared" ref="H74:AE74" si="16">H75+H76+H77+H79</f>
        <v>0</v>
      </c>
      <c r="I74" s="227">
        <f t="shared" si="16"/>
        <v>0</v>
      </c>
      <c r="J74" s="227">
        <f t="shared" si="16"/>
        <v>13.5</v>
      </c>
      <c r="K74" s="227">
        <f t="shared" si="16"/>
        <v>12.6</v>
      </c>
      <c r="L74" s="227">
        <f t="shared" si="16"/>
        <v>13.49</v>
      </c>
      <c r="M74" s="227">
        <f t="shared" si="16"/>
        <v>11.33</v>
      </c>
      <c r="N74" s="227">
        <f t="shared" si="16"/>
        <v>13.5</v>
      </c>
      <c r="O74" s="227">
        <f t="shared" si="16"/>
        <v>12.6</v>
      </c>
      <c r="P74" s="227">
        <f t="shared" si="16"/>
        <v>13.5</v>
      </c>
      <c r="Q74" s="227">
        <f t="shared" si="16"/>
        <v>12.6</v>
      </c>
      <c r="R74" s="227">
        <f t="shared" si="16"/>
        <v>13.49</v>
      </c>
      <c r="S74" s="227">
        <f t="shared" si="16"/>
        <v>12.84</v>
      </c>
      <c r="T74" s="227">
        <f t="shared" si="16"/>
        <v>13.5</v>
      </c>
      <c r="U74" s="227">
        <f t="shared" si="16"/>
        <v>12.87</v>
      </c>
      <c r="V74" s="227">
        <f t="shared" si="16"/>
        <v>13.5</v>
      </c>
      <c r="W74" s="227">
        <f t="shared" si="16"/>
        <v>0</v>
      </c>
      <c r="X74" s="227">
        <f t="shared" si="16"/>
        <v>13.49</v>
      </c>
      <c r="Y74" s="227">
        <f t="shared" si="16"/>
        <v>0</v>
      </c>
      <c r="Z74" s="227">
        <f t="shared" si="16"/>
        <v>13.5</v>
      </c>
      <c r="AA74" s="227">
        <f t="shared" si="16"/>
        <v>0</v>
      </c>
      <c r="AB74" s="227">
        <f t="shared" si="16"/>
        <v>13.5</v>
      </c>
      <c r="AC74" s="227">
        <f t="shared" si="16"/>
        <v>0</v>
      </c>
      <c r="AD74" s="227">
        <f t="shared" si="16"/>
        <v>35.729999999999997</v>
      </c>
      <c r="AE74" s="271">
        <f t="shared" si="16"/>
        <v>0</v>
      </c>
      <c r="AF74" s="269"/>
    </row>
    <row r="75" spans="1:32" ht="18.75" x14ac:dyDescent="0.25">
      <c r="A75" s="250" t="s">
        <v>169</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3"/>
      <c r="AF75" s="269"/>
    </row>
    <row r="76" spans="1:32" ht="18.75" x14ac:dyDescent="0.25">
      <c r="A76" s="250" t="s">
        <v>32</v>
      </c>
      <c r="B76" s="272">
        <f t="shared" ref="B76:E77" si="17">B62</f>
        <v>159.89999999999998</v>
      </c>
      <c r="C76" s="272">
        <f t="shared" si="17"/>
        <v>75.58</v>
      </c>
      <c r="D76" s="272">
        <f t="shared" si="17"/>
        <v>74.319999999999993</v>
      </c>
      <c r="E76" s="272">
        <f t="shared" si="17"/>
        <v>74.319999999999993</v>
      </c>
      <c r="F76" s="272">
        <f>IFERROR(E76/B76*100,0)</f>
        <v>46.479049405878676</v>
      </c>
      <c r="G76" s="272">
        <f>IFERROR(E76/C76*100,0)</f>
        <v>98.332892299550139</v>
      </c>
      <c r="H76" s="272">
        <f t="shared" ref="H76:AE77" si="18">H62</f>
        <v>0</v>
      </c>
      <c r="I76" s="272">
        <f t="shared" si="18"/>
        <v>0</v>
      </c>
      <c r="J76" s="272">
        <f t="shared" si="18"/>
        <v>12.6</v>
      </c>
      <c r="K76" s="272">
        <f t="shared" si="18"/>
        <v>12.6</v>
      </c>
      <c r="L76" s="272">
        <f t="shared" si="18"/>
        <v>12.59</v>
      </c>
      <c r="M76" s="272">
        <f t="shared" si="18"/>
        <v>11.33</v>
      </c>
      <c r="N76" s="272">
        <f t="shared" si="18"/>
        <v>12.6</v>
      </c>
      <c r="O76" s="272">
        <f t="shared" si="18"/>
        <v>12.6</v>
      </c>
      <c r="P76" s="272">
        <f t="shared" si="18"/>
        <v>12.6</v>
      </c>
      <c r="Q76" s="272">
        <f t="shared" si="18"/>
        <v>12.6</v>
      </c>
      <c r="R76" s="272">
        <f t="shared" si="18"/>
        <v>12.59</v>
      </c>
      <c r="S76" s="272">
        <f t="shared" si="18"/>
        <v>12.59</v>
      </c>
      <c r="T76" s="272">
        <f t="shared" si="18"/>
        <v>12.6</v>
      </c>
      <c r="U76" s="272">
        <f t="shared" si="18"/>
        <v>12.6</v>
      </c>
      <c r="V76" s="272">
        <f t="shared" si="18"/>
        <v>12.6</v>
      </c>
      <c r="W76" s="272">
        <f t="shared" si="18"/>
        <v>0</v>
      </c>
      <c r="X76" s="272">
        <f t="shared" si="18"/>
        <v>12.59</v>
      </c>
      <c r="Y76" s="272">
        <f t="shared" si="18"/>
        <v>0</v>
      </c>
      <c r="Z76" s="272">
        <f t="shared" si="18"/>
        <v>12.6</v>
      </c>
      <c r="AA76" s="272">
        <f t="shared" si="18"/>
        <v>0</v>
      </c>
      <c r="AB76" s="272">
        <f t="shared" si="18"/>
        <v>12.6</v>
      </c>
      <c r="AC76" s="272">
        <f t="shared" si="18"/>
        <v>0</v>
      </c>
      <c r="AD76" s="272">
        <f t="shared" si="18"/>
        <v>33.93</v>
      </c>
      <c r="AE76" s="273">
        <f t="shared" si="18"/>
        <v>0</v>
      </c>
      <c r="AF76" s="269"/>
    </row>
    <row r="77" spans="1:32" ht="18.75" x14ac:dyDescent="0.25">
      <c r="A77" s="250" t="s">
        <v>33</v>
      </c>
      <c r="B77" s="272">
        <f t="shared" si="17"/>
        <v>10.800000000000002</v>
      </c>
      <c r="C77" s="272">
        <f t="shared" si="17"/>
        <v>5.4</v>
      </c>
      <c r="D77" s="272">
        <f t="shared" si="17"/>
        <v>0.52</v>
      </c>
      <c r="E77" s="272">
        <f t="shared" si="17"/>
        <v>0.52</v>
      </c>
      <c r="F77" s="272">
        <f>IFERROR(E77/B77*100,0)</f>
        <v>4.814814814814814</v>
      </c>
      <c r="G77" s="272">
        <f>IFERROR(E77/C77*100,0)</f>
        <v>9.6296296296296298</v>
      </c>
      <c r="H77" s="272">
        <f t="shared" si="18"/>
        <v>0</v>
      </c>
      <c r="I77" s="272">
        <f t="shared" si="18"/>
        <v>0</v>
      </c>
      <c r="J77" s="272">
        <f t="shared" si="18"/>
        <v>0.9</v>
      </c>
      <c r="K77" s="272">
        <f t="shared" si="18"/>
        <v>0</v>
      </c>
      <c r="L77" s="272">
        <f t="shared" si="18"/>
        <v>0.9</v>
      </c>
      <c r="M77" s="272">
        <f t="shared" si="18"/>
        <v>0</v>
      </c>
      <c r="N77" s="272">
        <f t="shared" si="18"/>
        <v>0.9</v>
      </c>
      <c r="O77" s="272">
        <f t="shared" si="18"/>
        <v>0</v>
      </c>
      <c r="P77" s="272">
        <f t="shared" si="18"/>
        <v>0.9</v>
      </c>
      <c r="Q77" s="272">
        <f t="shared" si="18"/>
        <v>0</v>
      </c>
      <c r="R77" s="272">
        <f t="shared" si="18"/>
        <v>0.9</v>
      </c>
      <c r="S77" s="272">
        <f t="shared" si="18"/>
        <v>0.25</v>
      </c>
      <c r="T77" s="272">
        <f t="shared" si="18"/>
        <v>0.9</v>
      </c>
      <c r="U77" s="272">
        <f t="shared" si="18"/>
        <v>0.27</v>
      </c>
      <c r="V77" s="272">
        <f t="shared" si="18"/>
        <v>0.9</v>
      </c>
      <c r="W77" s="272">
        <f t="shared" si="18"/>
        <v>0</v>
      </c>
      <c r="X77" s="272">
        <f t="shared" si="18"/>
        <v>0.9</v>
      </c>
      <c r="Y77" s="272">
        <f t="shared" si="18"/>
        <v>0</v>
      </c>
      <c r="Z77" s="272">
        <f t="shared" si="18"/>
        <v>0.9</v>
      </c>
      <c r="AA77" s="272">
        <f t="shared" si="18"/>
        <v>0</v>
      </c>
      <c r="AB77" s="272">
        <f t="shared" si="18"/>
        <v>0.9</v>
      </c>
      <c r="AC77" s="272">
        <f t="shared" si="18"/>
        <v>0</v>
      </c>
      <c r="AD77" s="272">
        <f t="shared" si="18"/>
        <v>1.8</v>
      </c>
      <c r="AE77" s="273">
        <f t="shared" si="18"/>
        <v>0</v>
      </c>
      <c r="AF77" s="269"/>
    </row>
    <row r="78" spans="1:32" ht="33" x14ac:dyDescent="0.25">
      <c r="A78" s="245" t="s">
        <v>174</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3"/>
      <c r="AF78" s="269"/>
    </row>
    <row r="79" spans="1:32" ht="18.75" x14ac:dyDescent="0.25">
      <c r="A79" s="248" t="s">
        <v>374</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3"/>
      <c r="AF79" s="269"/>
    </row>
  </sheetData>
  <customSheetViews>
    <customSheetView guid="{7C130984-112A-4861-AA43-E2940708E3DC}" scale="80" state="hidden">
      <pane ySplit="5" topLeftCell="A6" activePane="bottomLeft" state="frozen"/>
      <selection pane="bottomLeft" sqref="A1:XFD1048576"/>
      <pageMargins left="0.7" right="0.7" top="0.75" bottom="0.75" header="0.3" footer="0.3"/>
      <pageSetup paperSize="9" orientation="portrait" r:id="rId1"/>
    </customSheetView>
    <customSheetView guid="{3C3F523F-5F34-4CF7-831E-F1ABC4278CEB}" scale="80">
      <pane ySplit="5" topLeftCell="A6" activePane="bottomLeft" state="frozen"/>
      <selection pane="bottomLeft" sqref="A1:XFD1048576"/>
      <pageMargins left="0.7" right="0.7" top="0.75" bottom="0.75" header="0.3" footer="0.3"/>
      <pageSetup paperSize="9" orientation="portrait" r:id="rId2"/>
    </customSheetView>
    <customSheetView guid="{D01FA037-9AEC-4167-ADB8-2F327C01ECE6}" scale="80">
      <pane ySplit="5" topLeftCell="A6" activePane="bottomLeft" state="frozen"/>
      <selection pane="bottomLeft" activeCell="A22" sqref="A22:AE22"/>
      <pageMargins left="0.7" right="0.7" top="0.75" bottom="0.75" header="0.3" footer="0.3"/>
    </customSheetView>
    <customSheetView guid="{602C8EDB-B9EF-4C85-B0D5-0558C3A0ABAB}" scale="80">
      <pane ySplit="5" topLeftCell="A6" activePane="bottomLeft" state="frozen"/>
      <selection pane="bottomLeft" activeCell="A22" sqref="A22:AE22"/>
      <pageMargins left="0.7" right="0.7" top="0.75" bottom="0.75" header="0.3" footer="0.3"/>
    </customSheetView>
    <customSheetView guid="{69DABE6F-6182-4403-A4A2-969F10F1C13A}" scale="80">
      <pane ySplit="5" topLeftCell="A6" activePane="bottomLeft" state="frozen"/>
      <selection pane="bottomLeft" activeCell="A22" sqref="A22:AE22"/>
      <pageMargins left="0.7" right="0.7" top="0.75" bottom="0.75" header="0.3" footer="0.3"/>
    </customSheetView>
    <customSheetView guid="{E508E171-4ED9-4B07-84DF-DA28C60E1969}" scale="80">
      <pane ySplit="5" topLeftCell="A6" activePane="bottomLeft" state="frozen"/>
      <selection pane="bottomLeft" activeCell="A22" sqref="A22:AE22"/>
      <pageMargins left="0.7" right="0.7" top="0.75" bottom="0.75" header="0.3" footer="0.3"/>
    </customSheetView>
    <customSheetView guid="{AC2D5927-4079-4C74-AF69-1BFAC505648F}" scale="80">
      <pane ySplit="5" topLeftCell="A6" activePane="bottomLeft" state="frozen"/>
      <selection pane="bottomLeft" activeCell="A22" sqref="A22:AE22"/>
      <pageMargins left="0.7" right="0.7" top="0.75" bottom="0.75" header="0.3" footer="0.3"/>
    </customSheetView>
    <customSheetView guid="{442F2C94-DD1B-4A01-8694-513D4D6F3BD9}" scale="80">
      <pane ySplit="5" topLeftCell="A6" activePane="bottomLeft" state="frozen"/>
      <selection pane="bottomLeft" activeCell="A22" sqref="A22:AE22"/>
      <pageMargins left="0.7" right="0.7" top="0.75" bottom="0.75" header="0.3" footer="0.3"/>
    </customSheetView>
    <customSheetView guid="{CE1CCA00-200D-4EAA-9FBE-F8EE7C5F82FE}" scale="80">
      <pane ySplit="5" topLeftCell="A6" activePane="bottomLeft" state="frozen"/>
      <selection pane="bottomLeft" activeCell="A22" sqref="A22:AE22"/>
      <pageMargins left="0.7" right="0.7" top="0.75" bottom="0.75" header="0.3" footer="0.3"/>
    </customSheetView>
    <customSheetView guid="{4D0DFB57-2CBA-42F2-9A97-C453A6851FBA}" scale="80" topLeftCell="O1">
      <pane ySplit="5" topLeftCell="A15" activePane="bottomLeft" state="frozen"/>
      <selection pane="bottomLeft" activeCell="A4" sqref="A4:AF79"/>
      <pageMargins left="0.7" right="0.7" top="0.75" bottom="0.75" header="0.3" footer="0.3"/>
    </customSheetView>
    <customSheetView guid="{85F4575B-DBC5-482A-9916-255D8F0BC94E}" scale="80">
      <pane ySplit="5" topLeftCell="A57" activePane="bottomLeft" state="frozen"/>
      <selection pane="bottomLeft" activeCell="A23" sqref="A23:AF23"/>
      <pageMargins left="0.7" right="0.7" top="0.75" bottom="0.75" header="0.3" footer="0.3"/>
    </customSheetView>
    <customSheetView guid="{B1BF08D1-D416-4B47-ADD0-4F59132DC9E8}" scale="80">
      <pane ySplit="5" topLeftCell="A57" activePane="bottomLeft" state="frozen"/>
      <selection pane="bottomLeft" activeCell="D58" sqref="D58"/>
      <pageMargins left="0.7" right="0.7" top="0.75" bottom="0.75" header="0.3" footer="0.3"/>
    </customSheetView>
    <customSheetView guid="{BCD82A82-B724-4763-8580-D765356E09BA}" scale="70">
      <selection activeCell="A2" sqref="A2:AD2"/>
      <pageMargins left="0.7" right="0.7" top="0.75" bottom="0.75" header="0.3" footer="0.3"/>
    </customSheetView>
    <customSheetView guid="{C236B307-BD63-48C4-A75F-B3F3717BF55C}" scale="80">
      <selection activeCell="AF47" sqref="AF47:AF52"/>
      <pageMargins left="0.7" right="0.7" top="0.75" bottom="0.75" header="0.3" footer="0.3"/>
    </customSheetView>
    <customSheetView guid="{874882D1-E741-4CCA-BF0D-E72FA60B771D}" scale="80" showPageBreaks="1" topLeftCell="A52">
      <selection activeCell="M87" sqref="M87"/>
      <pageMargins left="0.7" right="0.7" top="0.75" bottom="0.75" header="0.3" footer="0.3"/>
      <pageSetup paperSize="9" orientation="landscape" horizontalDpi="0" verticalDpi="0" r:id="rId3"/>
    </customSheetView>
    <customSheetView guid="{B82BA08A-1A30-4F4D-A478-74A6BD09EA97}" scale="80">
      <selection activeCell="AF47" sqref="AF47:AF52"/>
      <pageMargins left="0.7" right="0.7" top="0.75" bottom="0.75" header="0.3" footer="0.3"/>
    </customSheetView>
    <customSheetView guid="{770624BF-07F3-44B6-94C3-4CC447CDD45C}" scale="80">
      <pane ySplit="5" topLeftCell="A57" activePane="bottomLeft" state="frozen"/>
      <selection pane="bottomLeft" activeCell="D58" sqref="D58"/>
      <pageMargins left="0.7" right="0.7" top="0.75" bottom="0.75" header="0.3" footer="0.3"/>
    </customSheetView>
    <customSheetView guid="{009B3074-D8EC-4952-BF50-43CD64449612}" scale="80">
      <pane ySplit="5" topLeftCell="A57" activePane="bottomLeft" state="frozen"/>
      <selection pane="bottomLeft" activeCell="D58" sqref="D58"/>
      <pageMargins left="0.7" right="0.7" top="0.75" bottom="0.75" header="0.3" footer="0.3"/>
    </customSheetView>
    <customSheetView guid="{F679EF4A-C5FD-4B86-B87B-D85968E0F2CA}" scale="80">
      <pane ySplit="5" topLeftCell="A57" activePane="bottomLeft" state="frozen"/>
      <selection pane="bottomLeft" activeCell="D58" sqref="D58"/>
      <pageMargins left="0.7" right="0.7" top="0.75" bottom="0.75" header="0.3" footer="0.3"/>
    </customSheetView>
    <customSheetView guid="{959E901C-5DDE-42EE-AE94-AB8976B5E00B}" scale="80">
      <pane ySplit="5" topLeftCell="A57" activePane="bottomLeft" state="frozen"/>
      <selection pane="bottomLeft" activeCell="D58" sqref="D58"/>
      <pageMargins left="0.7" right="0.7" top="0.75" bottom="0.75" header="0.3" footer="0.3"/>
    </customSheetView>
    <customSheetView guid="{533DC55B-6AD4-4674-9488-685EF2039F3E}" scale="80">
      <pane ySplit="5" topLeftCell="A6" activePane="bottomLeft" state="frozen"/>
      <selection pane="bottomLeft" activeCell="N12" sqref="N12"/>
      <pageMargins left="0.7" right="0.7" top="0.75" bottom="0.75" header="0.3" footer="0.3"/>
    </customSheetView>
    <customSheetView guid="{87218168-6C8E-4D5B-A5E5-DCCC26803AA3}" scale="80">
      <pane ySplit="5" topLeftCell="A6" activePane="bottomLeft" state="frozen"/>
      <selection pane="bottomLeft" activeCell="N12" sqref="N12"/>
      <pageMargins left="0.7" right="0.7" top="0.75" bottom="0.75" header="0.3" footer="0.3"/>
    </customSheetView>
    <customSheetView guid="{DAA8A688-7558-4B5B-8DBD-E2629BD9E9A8}" scale="80">
      <pane ySplit="5" topLeftCell="A6" activePane="bottomLeft" state="frozen"/>
      <selection pane="bottomLeft" activeCell="A22" sqref="A22:AE22"/>
      <pageMargins left="0.7" right="0.7" top="0.75" bottom="0.75" header="0.3" footer="0.3"/>
    </customSheetView>
    <customSheetView guid="{391AB76E-B386-49C1-800F-016A48AA1A46}" scale="80">
      <pane ySplit="5" topLeftCell="A6" activePane="bottomLeft" state="frozen"/>
      <selection pane="bottomLeft" activeCell="A22" sqref="A22:AE22"/>
      <pageMargins left="0.7" right="0.7" top="0.75" bottom="0.75" header="0.3" footer="0.3"/>
    </customSheetView>
    <customSheetView guid="{09C3E205-981E-4A4E-BE89-8B7044192060}" scale="80">
      <pane ySplit="5" topLeftCell="A6" activePane="bottomLeft" state="frozen"/>
      <selection pane="bottomLeft" activeCell="A22" sqref="A22:AE22"/>
      <pageMargins left="0.7" right="0.7" top="0.75" bottom="0.75" header="0.3" footer="0.3"/>
    </customSheetView>
    <customSheetView guid="{84867370-1F3E-4368-AF79-FBCE46FFFE92}" scale="80">
      <pane ySplit="5" topLeftCell="A6" activePane="bottomLeft" state="frozen"/>
      <selection pane="bottomLeft" activeCell="A22" sqref="A22:AE22"/>
      <pageMargins left="0.7" right="0.7" top="0.75" bottom="0.75" header="0.3" footer="0.3"/>
    </customSheetView>
    <customSheetView guid="{0C2B9C2A-7B94-41EF-A2E6-F8AC9A67DE25}" scale="80">
      <pane ySplit="5" topLeftCell="A6" activePane="bottomLeft" state="frozen"/>
      <selection pane="bottomLeft" activeCell="A22" sqref="A22:AE22"/>
      <pageMargins left="0.7" right="0.7" top="0.75" bottom="0.75" header="0.3" footer="0.3"/>
    </customSheetView>
    <customSheetView guid="{CB4792DB-A624-4844-AEB6-A6ADA80946BB}" scale="80">
      <pane ySplit="5" topLeftCell="A6" activePane="bottomLeft" state="frozen"/>
      <selection pane="bottomLeft" activeCell="A22" sqref="A22:AE22"/>
      <pageMargins left="0.7" right="0.7" top="0.75" bottom="0.75" header="0.3" footer="0.3"/>
    </customSheetView>
    <customSheetView guid="{74870EE6-26B9-40F7-9DC9-260EF16D8959}" scale="80">
      <pane ySplit="5" topLeftCell="A6" activePane="bottomLeft" state="frozen"/>
      <selection pane="bottomLeft" activeCell="A22" sqref="A22:AE22"/>
      <pageMargins left="0.7" right="0.7" top="0.75" bottom="0.75" header="0.3" footer="0.3"/>
    </customSheetView>
    <customSheetView guid="{6A602CB8-B24C-4ED4-B378-B27354BE0A1A}" scale="80">
      <pane ySplit="5" topLeftCell="A6" activePane="bottomLeft" state="frozen"/>
      <selection pane="bottomLeft" activeCell="A22" sqref="A22:AE22"/>
      <pageMargins left="0.7" right="0.7" top="0.75" bottom="0.75" header="0.3" footer="0.3"/>
    </customSheetView>
    <customSheetView guid="{4F41B9CC-959D-442C-80B0-1F0DB2C76D27}" scale="80">
      <pane ySplit="4" topLeftCell="A6" activePane="bottomLeft" state="frozen"/>
      <selection pane="bottomLeft" activeCell="A22" sqref="A22:AE22"/>
      <pageMargins left="0.7" right="0.7" top="0.75" bottom="0.75" header="0.3" footer="0.3"/>
    </customSheetView>
    <customSheetView guid="{47B983AB-FE5F-4725-860C-A2F29420596D}" scale="80">
      <pane ySplit="5" topLeftCell="A6" activePane="bottomLeft" state="frozen"/>
      <selection pane="bottomLeft" sqref="A1:XFD1048576"/>
      <pageMargins left="0.7" right="0.7" top="0.75" bottom="0.75" header="0.3" footer="0.3"/>
      <pageSetup paperSize="9" orientation="portrait" r:id="rId4"/>
    </customSheetView>
  </customSheetViews>
  <mergeCells count="39">
    <mergeCell ref="A1:AD1"/>
    <mergeCell ref="A2:AD2"/>
    <mergeCell ref="A4:A5"/>
    <mergeCell ref="B4:B5"/>
    <mergeCell ref="C4:C5"/>
    <mergeCell ref="D4:D5"/>
    <mergeCell ref="E4:E5"/>
    <mergeCell ref="F4:G4"/>
    <mergeCell ref="H4:I4"/>
    <mergeCell ref="J4:K4"/>
    <mergeCell ref="A7:AF7"/>
    <mergeCell ref="L4:M4"/>
    <mergeCell ref="N4:O4"/>
    <mergeCell ref="P4:Q4"/>
    <mergeCell ref="R4:S4"/>
    <mergeCell ref="T4:U4"/>
    <mergeCell ref="V4:W4"/>
    <mergeCell ref="X4:Y4"/>
    <mergeCell ref="Z4:AA4"/>
    <mergeCell ref="AB4:AC4"/>
    <mergeCell ref="AD4:AE4"/>
    <mergeCell ref="A6:AF6"/>
    <mergeCell ref="A46:AF46"/>
    <mergeCell ref="A8:AF8"/>
    <mergeCell ref="AF9:AF14"/>
    <mergeCell ref="A15:AF15"/>
    <mergeCell ref="AF16:AF21"/>
    <mergeCell ref="A22:AE22"/>
    <mergeCell ref="A23:AF23"/>
    <mergeCell ref="AF24:AF29"/>
    <mergeCell ref="A30:AF30"/>
    <mergeCell ref="AF38:AF43"/>
    <mergeCell ref="A44:AF44"/>
    <mergeCell ref="A45:AE45"/>
    <mergeCell ref="AF47:AF52"/>
    <mergeCell ref="AF54:AF59"/>
    <mergeCell ref="AF60:AF65"/>
    <mergeCell ref="A66:AE66"/>
    <mergeCell ref="A73:AE73"/>
  </mergeCells>
  <hyperlinks>
    <hyperlink ref="A2:AD2" location="Оглавление!A1" display="«Экологическая безопасность города Когалыма» "/>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7"/>
  <sheetViews>
    <sheetView zoomScale="85" zoomScaleNormal="85" workbookViewId="0">
      <pane xSplit="1" ySplit="6" topLeftCell="B57" activePane="bottomRight" state="frozen"/>
      <selection pane="topRight" activeCell="B1" sqref="B1"/>
      <selection pane="bottomLeft" activeCell="A7" sqref="A7"/>
      <selection pane="bottomRight" activeCell="F77" sqref="F77"/>
    </sheetView>
  </sheetViews>
  <sheetFormatPr defaultColWidth="9.140625" defaultRowHeight="21" x14ac:dyDescent="0.35"/>
  <cols>
    <col min="1" max="1" width="46.140625" style="393" customWidth="1"/>
    <col min="2" max="2" width="17.42578125" style="393" customWidth="1"/>
    <col min="3" max="3" width="17.140625" style="393" customWidth="1"/>
    <col min="4" max="4" width="17" style="393" customWidth="1"/>
    <col min="5" max="5" width="19.42578125" style="393" customWidth="1"/>
    <col min="6" max="6" width="16.5703125" style="393" bestFit="1" customWidth="1"/>
    <col min="7" max="8" width="13.42578125" style="393" bestFit="1" customWidth="1"/>
    <col min="9" max="9" width="13.5703125" style="393" bestFit="1" customWidth="1"/>
    <col min="10" max="10" width="17.28515625" style="393" bestFit="1" customWidth="1"/>
    <col min="11" max="11" width="16.7109375" style="393" customWidth="1"/>
    <col min="12" max="12" width="14.85546875" style="393" bestFit="1" customWidth="1"/>
    <col min="13" max="13" width="13.5703125" style="393" bestFit="1" customWidth="1"/>
    <col min="14" max="14" width="17.28515625" style="393" bestFit="1" customWidth="1"/>
    <col min="15" max="15" width="13.5703125" style="393" bestFit="1" customWidth="1"/>
    <col min="16" max="16" width="17.28515625" style="393" bestFit="1" customWidth="1"/>
    <col min="17" max="17" width="13.5703125" style="393" bestFit="1" customWidth="1"/>
    <col min="18" max="18" width="17.28515625" style="393" bestFit="1" customWidth="1"/>
    <col min="19" max="19" width="13.5703125" style="393" bestFit="1" customWidth="1"/>
    <col min="20" max="20" width="17.28515625" style="393" bestFit="1" customWidth="1"/>
    <col min="21" max="21" width="13.5703125" style="393" bestFit="1" customWidth="1"/>
    <col min="22" max="22" width="17.28515625" style="393" bestFit="1" customWidth="1"/>
    <col min="23" max="23" width="13.5703125" style="393" bestFit="1" customWidth="1"/>
    <col min="24" max="24" width="13.28515625" style="393" customWidth="1"/>
    <col min="25" max="25" width="13.5703125" style="393" bestFit="1" customWidth="1"/>
    <col min="26" max="26" width="15.5703125" style="393" bestFit="1" customWidth="1"/>
    <col min="27" max="27" width="13.5703125" style="393" bestFit="1" customWidth="1"/>
    <col min="28" max="28" width="15.5703125" style="393" bestFit="1" customWidth="1"/>
    <col min="29" max="29" width="13.5703125" style="393" bestFit="1" customWidth="1"/>
    <col min="30" max="30" width="13.42578125" style="393" bestFit="1" customWidth="1"/>
    <col min="31" max="31" width="13.5703125" style="393" bestFit="1" customWidth="1"/>
    <col min="32" max="32" width="36.140625" style="393" customWidth="1"/>
    <col min="33" max="33" width="21" style="563" customWidth="1"/>
    <col min="34" max="16384" width="9.140625" style="393"/>
  </cols>
  <sheetData>
    <row r="1" spans="1:33" x14ac:dyDescent="0.35">
      <c r="A1" s="1038" t="s">
        <v>0</v>
      </c>
      <c r="B1" s="1038"/>
      <c r="C1" s="1038"/>
      <c r="D1" s="1038"/>
      <c r="E1" s="1038"/>
      <c r="F1" s="1038"/>
      <c r="G1" s="1038"/>
      <c r="H1" s="1038"/>
      <c r="I1" s="1038"/>
      <c r="J1" s="1038"/>
      <c r="K1" s="1038"/>
      <c r="L1" s="1038"/>
      <c r="M1" s="1038"/>
      <c r="N1" s="1038"/>
      <c r="O1" s="1038"/>
      <c r="P1" s="1038"/>
      <c r="Q1" s="1038"/>
      <c r="R1" s="1038"/>
      <c r="S1" s="1038"/>
      <c r="T1" s="1038"/>
      <c r="U1" s="1038"/>
      <c r="V1" s="1038"/>
      <c r="W1" s="1038"/>
      <c r="X1" s="1038"/>
      <c r="Y1" s="1038"/>
      <c r="Z1" s="1038"/>
      <c r="AA1" s="1038"/>
      <c r="AB1" s="1038"/>
      <c r="AC1" s="1038"/>
      <c r="AD1" s="1038"/>
      <c r="AE1" s="1038"/>
      <c r="AF1" s="1038"/>
    </row>
    <row r="2" spans="1:33" ht="27.75" customHeight="1" x14ac:dyDescent="0.35">
      <c r="A2" s="1039" t="s">
        <v>40</v>
      </c>
      <c r="B2" s="1039"/>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39"/>
      <c r="AB2" s="1039"/>
      <c r="AC2" s="1039"/>
      <c r="AD2" s="1039"/>
      <c r="AE2" s="1039"/>
      <c r="AF2" s="394" t="s">
        <v>1</v>
      </c>
    </row>
    <row r="3" spans="1:33" ht="75" customHeight="1" x14ac:dyDescent="0.35">
      <c r="A3" s="1040" t="s">
        <v>2</v>
      </c>
      <c r="B3" s="1032" t="s">
        <v>3</v>
      </c>
      <c r="C3" s="1032" t="s">
        <v>3</v>
      </c>
      <c r="D3" s="1032" t="s">
        <v>4</v>
      </c>
      <c r="E3" s="1032" t="s">
        <v>5</v>
      </c>
      <c r="F3" s="1034" t="s">
        <v>6</v>
      </c>
      <c r="G3" s="1035"/>
      <c r="H3" s="1034" t="s">
        <v>7</v>
      </c>
      <c r="I3" s="1035"/>
      <c r="J3" s="1034" t="s">
        <v>8</v>
      </c>
      <c r="K3" s="1035"/>
      <c r="L3" s="1034" t="s">
        <v>9</v>
      </c>
      <c r="M3" s="1035"/>
      <c r="N3" s="1034" t="s">
        <v>10</v>
      </c>
      <c r="O3" s="1035"/>
      <c r="P3" s="1034" t="s">
        <v>11</v>
      </c>
      <c r="Q3" s="1035"/>
      <c r="R3" s="1034" t="s">
        <v>12</v>
      </c>
      <c r="S3" s="1035"/>
      <c r="T3" s="1034" t="s">
        <v>13</v>
      </c>
      <c r="U3" s="1035"/>
      <c r="V3" s="1034" t="s">
        <v>14</v>
      </c>
      <c r="W3" s="1035"/>
      <c r="X3" s="1034" t="s">
        <v>15</v>
      </c>
      <c r="Y3" s="1035"/>
      <c r="Z3" s="1034" t="s">
        <v>16</v>
      </c>
      <c r="AA3" s="1035"/>
      <c r="AB3" s="1034" t="s">
        <v>17</v>
      </c>
      <c r="AC3" s="1035"/>
      <c r="AD3" s="1034" t="s">
        <v>18</v>
      </c>
      <c r="AE3" s="1035"/>
      <c r="AF3" s="1040" t="s">
        <v>19</v>
      </c>
    </row>
    <row r="4" spans="1:33" ht="18.75" customHeight="1" x14ac:dyDescent="0.35">
      <c r="A4" s="1041"/>
      <c r="B4" s="1033"/>
      <c r="C4" s="1033"/>
      <c r="D4" s="1033"/>
      <c r="E4" s="1033"/>
      <c r="F4" s="1036"/>
      <c r="G4" s="1037"/>
      <c r="H4" s="1036"/>
      <c r="I4" s="1037"/>
      <c r="J4" s="1036"/>
      <c r="K4" s="1037"/>
      <c r="L4" s="1036"/>
      <c r="M4" s="1037"/>
      <c r="N4" s="1036"/>
      <c r="O4" s="1037"/>
      <c r="P4" s="1036"/>
      <c r="Q4" s="1037"/>
      <c r="R4" s="1036"/>
      <c r="S4" s="1037"/>
      <c r="T4" s="1036"/>
      <c r="U4" s="1037"/>
      <c r="V4" s="1036"/>
      <c r="W4" s="1037"/>
      <c r="X4" s="1036"/>
      <c r="Y4" s="1037"/>
      <c r="Z4" s="1036"/>
      <c r="AA4" s="1037"/>
      <c r="AB4" s="1036"/>
      <c r="AC4" s="1037"/>
      <c r="AD4" s="1036"/>
      <c r="AE4" s="1037"/>
      <c r="AF4" s="1041"/>
    </row>
    <row r="5" spans="1:33" ht="56.25" x14ac:dyDescent="0.35">
      <c r="A5" s="395"/>
      <c r="B5" s="396">
        <v>2024</v>
      </c>
      <c r="C5" s="424">
        <v>45474</v>
      </c>
      <c r="D5" s="397">
        <f>C5</f>
        <v>45474</v>
      </c>
      <c r="E5" s="397">
        <f>C5</f>
        <v>45474</v>
      </c>
      <c r="F5" s="398" t="s">
        <v>20</v>
      </c>
      <c r="G5" s="398" t="s">
        <v>21</v>
      </c>
      <c r="H5" s="398" t="s">
        <v>22</v>
      </c>
      <c r="I5" s="398" t="s">
        <v>23</v>
      </c>
      <c r="J5" s="398" t="s">
        <v>22</v>
      </c>
      <c r="K5" s="398" t="s">
        <v>23</v>
      </c>
      <c r="L5" s="398" t="s">
        <v>22</v>
      </c>
      <c r="M5" s="398" t="s">
        <v>23</v>
      </c>
      <c r="N5" s="398" t="s">
        <v>22</v>
      </c>
      <c r="O5" s="398" t="s">
        <v>23</v>
      </c>
      <c r="P5" s="398" t="s">
        <v>22</v>
      </c>
      <c r="Q5" s="398" t="s">
        <v>23</v>
      </c>
      <c r="R5" s="398" t="s">
        <v>22</v>
      </c>
      <c r="S5" s="398" t="s">
        <v>23</v>
      </c>
      <c r="T5" s="398" t="s">
        <v>22</v>
      </c>
      <c r="U5" s="398" t="s">
        <v>23</v>
      </c>
      <c r="V5" s="398" t="s">
        <v>22</v>
      </c>
      <c r="W5" s="398" t="s">
        <v>23</v>
      </c>
      <c r="X5" s="398" t="s">
        <v>22</v>
      </c>
      <c r="Y5" s="398" t="s">
        <v>23</v>
      </c>
      <c r="Z5" s="398" t="s">
        <v>22</v>
      </c>
      <c r="AA5" s="398" t="s">
        <v>23</v>
      </c>
      <c r="AB5" s="398" t="s">
        <v>22</v>
      </c>
      <c r="AC5" s="398" t="s">
        <v>23</v>
      </c>
      <c r="AD5" s="398" t="s">
        <v>22</v>
      </c>
      <c r="AE5" s="398" t="s">
        <v>23</v>
      </c>
      <c r="AF5" s="1042"/>
    </row>
    <row r="6" spans="1:33" x14ac:dyDescent="0.35">
      <c r="A6" s="399">
        <v>1</v>
      </c>
      <c r="B6" s="399">
        <v>2</v>
      </c>
      <c r="C6" s="399">
        <v>3</v>
      </c>
      <c r="D6" s="399">
        <v>4</v>
      </c>
      <c r="E6" s="399">
        <v>5</v>
      </c>
      <c r="F6" s="399">
        <v>6</v>
      </c>
      <c r="G6" s="399">
        <v>7</v>
      </c>
      <c r="H6" s="399">
        <v>8</v>
      </c>
      <c r="I6" s="399">
        <v>9</v>
      </c>
      <c r="J6" s="399">
        <v>10</v>
      </c>
      <c r="K6" s="399">
        <v>11</v>
      </c>
      <c r="L6" s="399">
        <v>12</v>
      </c>
      <c r="M6" s="399">
        <v>13</v>
      </c>
      <c r="N6" s="399">
        <v>14</v>
      </c>
      <c r="O6" s="399">
        <v>15</v>
      </c>
      <c r="P6" s="399">
        <v>16</v>
      </c>
      <c r="Q6" s="399">
        <v>17</v>
      </c>
      <c r="R6" s="399">
        <v>18</v>
      </c>
      <c r="S6" s="399">
        <v>19</v>
      </c>
      <c r="T6" s="399">
        <v>20</v>
      </c>
      <c r="U6" s="399">
        <v>21</v>
      </c>
      <c r="V6" s="399">
        <v>22</v>
      </c>
      <c r="W6" s="399">
        <v>23</v>
      </c>
      <c r="X6" s="399">
        <v>24</v>
      </c>
      <c r="Y6" s="399">
        <v>25</v>
      </c>
      <c r="Z6" s="399">
        <v>26</v>
      </c>
      <c r="AA6" s="399">
        <v>27</v>
      </c>
      <c r="AB6" s="399">
        <v>28</v>
      </c>
      <c r="AC6" s="399">
        <v>29</v>
      </c>
      <c r="AD6" s="399">
        <v>30</v>
      </c>
      <c r="AE6" s="399">
        <v>31</v>
      </c>
      <c r="AF6" s="400">
        <v>32</v>
      </c>
    </row>
    <row r="7" spans="1:33" ht="56.25" customHeight="1" x14ac:dyDescent="0.35">
      <c r="A7" s="538" t="s">
        <v>36</v>
      </c>
      <c r="B7" s="539"/>
      <c r="C7" s="539"/>
      <c r="D7" s="539"/>
      <c r="E7" s="539"/>
      <c r="F7" s="539"/>
      <c r="G7" s="539"/>
      <c r="H7" s="540"/>
      <c r="I7" s="540"/>
      <c r="J7" s="540"/>
      <c r="K7" s="540"/>
      <c r="L7" s="540"/>
      <c r="M7" s="540"/>
      <c r="N7" s="540"/>
      <c r="O7" s="540"/>
      <c r="P7" s="540"/>
      <c r="Q7" s="540"/>
      <c r="R7" s="540"/>
      <c r="S7" s="540"/>
      <c r="T7" s="540"/>
      <c r="U7" s="540"/>
      <c r="V7" s="540"/>
      <c r="W7" s="540"/>
      <c r="X7" s="540"/>
      <c r="Y7" s="540"/>
      <c r="Z7" s="540"/>
      <c r="AA7" s="540"/>
      <c r="AB7" s="540"/>
      <c r="AC7" s="540"/>
      <c r="AD7" s="540"/>
      <c r="AE7" s="540"/>
      <c r="AF7" s="421"/>
    </row>
    <row r="8" spans="1:33" x14ac:dyDescent="0.35">
      <c r="A8" s="402" t="s">
        <v>54</v>
      </c>
      <c r="B8" s="401"/>
      <c r="C8" s="401"/>
      <c r="D8" s="401"/>
      <c r="E8" s="401"/>
      <c r="F8" s="401"/>
      <c r="G8" s="401"/>
      <c r="H8" s="417"/>
      <c r="I8" s="417"/>
      <c r="J8" s="417"/>
      <c r="K8" s="417"/>
      <c r="L8" s="417"/>
      <c r="M8" s="417"/>
      <c r="N8" s="417"/>
      <c r="O8" s="417"/>
      <c r="P8" s="417"/>
      <c r="Q8" s="417"/>
      <c r="R8" s="417"/>
      <c r="S8" s="417"/>
      <c r="T8" s="417"/>
      <c r="U8" s="417"/>
      <c r="V8" s="417"/>
      <c r="W8" s="417"/>
      <c r="X8" s="417"/>
      <c r="Y8" s="417"/>
      <c r="Z8" s="417"/>
      <c r="AA8" s="417"/>
      <c r="AB8" s="417"/>
      <c r="AC8" s="417"/>
      <c r="AD8" s="417"/>
      <c r="AE8" s="417"/>
      <c r="AF8" s="421"/>
    </row>
    <row r="9" spans="1:33" ht="57" x14ac:dyDescent="0.35">
      <c r="A9" s="408" t="s">
        <v>24</v>
      </c>
      <c r="B9" s="529"/>
      <c r="C9" s="529"/>
      <c r="D9" s="529"/>
      <c r="E9" s="529"/>
      <c r="F9" s="530"/>
      <c r="G9" s="530"/>
      <c r="H9" s="527"/>
      <c r="I9" s="527"/>
      <c r="J9" s="527"/>
      <c r="K9" s="527"/>
      <c r="L9" s="527"/>
      <c r="M9" s="527"/>
      <c r="N9" s="527"/>
      <c r="O9" s="527"/>
      <c r="P9" s="527"/>
      <c r="Q9" s="527"/>
      <c r="R9" s="527"/>
      <c r="S9" s="527"/>
      <c r="T9" s="527"/>
      <c r="U9" s="527"/>
      <c r="V9" s="527"/>
      <c r="W9" s="527"/>
      <c r="X9" s="527"/>
      <c r="Y9" s="527"/>
      <c r="Z9" s="527"/>
      <c r="AA9" s="527"/>
      <c r="AB9" s="527"/>
      <c r="AC9" s="527"/>
      <c r="AD9" s="527"/>
      <c r="AE9" s="527"/>
      <c r="AF9" s="422"/>
    </row>
    <row r="10" spans="1:33" x14ac:dyDescent="0.35">
      <c r="A10" s="544" t="s">
        <v>65</v>
      </c>
      <c r="B10" s="550">
        <f>B11+B12</f>
        <v>29300.500000000004</v>
      </c>
      <c r="C10" s="550">
        <f>C11+C12</f>
        <v>14645.040919999999</v>
      </c>
      <c r="D10" s="550">
        <f>D11+D12</f>
        <v>14309.80932</v>
      </c>
      <c r="E10" s="550">
        <f>E11+E12</f>
        <v>2342.9911300000003</v>
      </c>
      <c r="F10" s="561">
        <f>E10/B10</f>
        <v>7.9964202999948802E-2</v>
      </c>
      <c r="G10" s="561">
        <f>E10/C10</f>
        <v>0.1599852907751384</v>
      </c>
      <c r="H10" s="551">
        <f t="shared" ref="H10:AE10" si="0">H11+H12</f>
        <v>46.614999999999995</v>
      </c>
      <c r="I10" s="551">
        <f t="shared" si="0"/>
        <v>13</v>
      </c>
      <c r="J10" s="551">
        <f t="shared" si="0"/>
        <v>1205.80486</v>
      </c>
      <c r="K10" s="551">
        <f t="shared" si="0"/>
        <v>814.41613000000007</v>
      </c>
      <c r="L10" s="551">
        <f t="shared" si="0"/>
        <v>739.73928999999998</v>
      </c>
      <c r="M10" s="551">
        <f t="shared" si="0"/>
        <v>742.18499999999995</v>
      </c>
      <c r="N10" s="551">
        <f t="shared" si="0"/>
        <v>1303.9108099999999</v>
      </c>
      <c r="O10" s="551">
        <f t="shared" si="0"/>
        <v>773.39</v>
      </c>
      <c r="P10" s="551">
        <f t="shared" si="0"/>
        <v>763.61928999999998</v>
      </c>
      <c r="Q10" s="551">
        <f t="shared" si="0"/>
        <v>0</v>
      </c>
      <c r="R10" s="551">
        <f t="shared" si="0"/>
        <v>10585.35167</v>
      </c>
      <c r="S10" s="551">
        <f t="shared" si="0"/>
        <v>0</v>
      </c>
      <c r="T10" s="551">
        <f t="shared" si="0"/>
        <v>7398.2526699999999</v>
      </c>
      <c r="U10" s="551">
        <f t="shared" si="0"/>
        <v>0</v>
      </c>
      <c r="V10" s="551">
        <f t="shared" si="0"/>
        <v>4833.71857</v>
      </c>
      <c r="W10" s="551">
        <f t="shared" si="0"/>
        <v>0</v>
      </c>
      <c r="X10" s="551">
        <f t="shared" si="0"/>
        <v>646.53928999999994</v>
      </c>
      <c r="Y10" s="551">
        <f t="shared" si="0"/>
        <v>0</v>
      </c>
      <c r="Z10" s="551">
        <f t="shared" si="0"/>
        <v>707.11428999999998</v>
      </c>
      <c r="AA10" s="551">
        <f t="shared" si="0"/>
        <v>0</v>
      </c>
      <c r="AB10" s="551">
        <f t="shared" si="0"/>
        <v>726.61426000000006</v>
      </c>
      <c r="AC10" s="551">
        <f t="shared" si="0"/>
        <v>0</v>
      </c>
      <c r="AD10" s="551">
        <f t="shared" si="0"/>
        <v>343.22</v>
      </c>
      <c r="AE10" s="551">
        <f t="shared" si="0"/>
        <v>0</v>
      </c>
      <c r="AF10" s="422"/>
    </row>
    <row r="11" spans="1:33" x14ac:dyDescent="0.35">
      <c r="A11" s="405" t="s">
        <v>32</v>
      </c>
      <c r="B11" s="524">
        <f>B15+B19+B34</f>
        <v>8697.2000000000007</v>
      </c>
      <c r="C11" s="524">
        <f>C15+C19+C34</f>
        <v>3601.8</v>
      </c>
      <c r="D11" s="524">
        <f>D15+D19+D34</f>
        <v>3549.4434000000001</v>
      </c>
      <c r="E11" s="524">
        <f>E15+E19+E34</f>
        <v>797.83312999999998</v>
      </c>
      <c r="F11" s="562">
        <f>E11/B11</f>
        <v>9.1734481212344191E-2</v>
      </c>
      <c r="G11" s="562">
        <f>E11/C11</f>
        <v>0.2215095591093342</v>
      </c>
      <c r="H11" s="419">
        <f>H15+H19+H34</f>
        <v>15</v>
      </c>
      <c r="I11" s="419">
        <f t="shared" ref="I11:AE11" si="1">I15+I19+I34</f>
        <v>0</v>
      </c>
      <c r="J11" s="419">
        <f t="shared" si="1"/>
        <v>276.39999999999998</v>
      </c>
      <c r="K11" s="419">
        <f t="shared" si="1"/>
        <v>270.55313000000001</v>
      </c>
      <c r="L11" s="419">
        <f t="shared" si="1"/>
        <v>265.10000000000002</v>
      </c>
      <c r="M11" s="419">
        <f t="shared" si="1"/>
        <v>259.33</v>
      </c>
      <c r="N11" s="419">
        <f t="shared" si="1"/>
        <v>265.10000000000002</v>
      </c>
      <c r="O11" s="419">
        <f t="shared" si="1"/>
        <v>267.95</v>
      </c>
      <c r="P11" s="419">
        <f t="shared" si="1"/>
        <v>265.10000000000002</v>
      </c>
      <c r="Q11" s="419">
        <f t="shared" si="1"/>
        <v>0</v>
      </c>
      <c r="R11" s="419">
        <f t="shared" si="1"/>
        <v>2515.1</v>
      </c>
      <c r="S11" s="419">
        <f t="shared" si="1"/>
        <v>0</v>
      </c>
      <c r="T11" s="419">
        <f t="shared" si="1"/>
        <v>2115.1</v>
      </c>
      <c r="U11" s="419">
        <f t="shared" si="1"/>
        <v>0</v>
      </c>
      <c r="V11" s="419">
        <f t="shared" si="1"/>
        <v>2057</v>
      </c>
      <c r="W11" s="419">
        <f t="shared" si="1"/>
        <v>0</v>
      </c>
      <c r="X11" s="419">
        <f t="shared" si="1"/>
        <v>223.7</v>
      </c>
      <c r="Y11" s="419">
        <f t="shared" si="1"/>
        <v>0</v>
      </c>
      <c r="Z11" s="419">
        <f t="shared" si="1"/>
        <v>266.10000000000002</v>
      </c>
      <c r="AA11" s="419">
        <f t="shared" si="1"/>
        <v>0</v>
      </c>
      <c r="AB11" s="419">
        <f t="shared" si="1"/>
        <v>265.39999999999998</v>
      </c>
      <c r="AC11" s="419">
        <f t="shared" si="1"/>
        <v>0</v>
      </c>
      <c r="AD11" s="419">
        <f t="shared" si="1"/>
        <v>168.1</v>
      </c>
      <c r="AE11" s="419">
        <f t="shared" si="1"/>
        <v>0</v>
      </c>
      <c r="AF11" s="422"/>
    </row>
    <row r="12" spans="1:33" x14ac:dyDescent="0.35">
      <c r="A12" s="405" t="s">
        <v>33</v>
      </c>
      <c r="B12" s="524">
        <f>B16+B20</f>
        <v>20603.300000000003</v>
      </c>
      <c r="C12" s="524">
        <f>C16+C20</f>
        <v>11043.24092</v>
      </c>
      <c r="D12" s="524">
        <f>D16+D20</f>
        <v>10760.36592</v>
      </c>
      <c r="E12" s="524">
        <f>E16+E20</f>
        <v>1545.1580000000001</v>
      </c>
      <c r="F12" s="562">
        <f>E12/B12</f>
        <v>7.4995656035683603E-2</v>
      </c>
      <c r="G12" s="562">
        <f>E12/C12</f>
        <v>0.13991888895601493</v>
      </c>
      <c r="H12" s="419">
        <f>H16+H20</f>
        <v>31.614999999999998</v>
      </c>
      <c r="I12" s="419">
        <f t="shared" ref="I12:AE12" si="2">I16+I20</f>
        <v>13</v>
      </c>
      <c r="J12" s="419">
        <f t="shared" si="2"/>
        <v>929.40485999999999</v>
      </c>
      <c r="K12" s="419">
        <f t="shared" si="2"/>
        <v>543.86300000000006</v>
      </c>
      <c r="L12" s="419">
        <f t="shared" si="2"/>
        <v>474.63929000000002</v>
      </c>
      <c r="M12" s="419">
        <f t="shared" si="2"/>
        <v>482.85500000000002</v>
      </c>
      <c r="N12" s="419">
        <f t="shared" si="2"/>
        <v>1038.8108099999999</v>
      </c>
      <c r="O12" s="419">
        <f t="shared" si="2"/>
        <v>505.44</v>
      </c>
      <c r="P12" s="419">
        <f t="shared" si="2"/>
        <v>498.51928999999996</v>
      </c>
      <c r="Q12" s="419">
        <f t="shared" si="2"/>
        <v>0</v>
      </c>
      <c r="R12" s="419">
        <f t="shared" si="2"/>
        <v>8070.2516700000006</v>
      </c>
      <c r="S12" s="419">
        <f t="shared" si="2"/>
        <v>0</v>
      </c>
      <c r="T12" s="419">
        <f t="shared" si="2"/>
        <v>5283.1526700000004</v>
      </c>
      <c r="U12" s="419">
        <f t="shared" si="2"/>
        <v>0</v>
      </c>
      <c r="V12" s="419">
        <f t="shared" si="2"/>
        <v>2776.71857</v>
      </c>
      <c r="W12" s="419">
        <f t="shared" si="2"/>
        <v>0</v>
      </c>
      <c r="X12" s="419">
        <f t="shared" si="2"/>
        <v>422.83929000000001</v>
      </c>
      <c r="Y12" s="419">
        <f t="shared" si="2"/>
        <v>0</v>
      </c>
      <c r="Z12" s="419">
        <f t="shared" si="2"/>
        <v>441.01429000000002</v>
      </c>
      <c r="AA12" s="419">
        <f t="shared" si="2"/>
        <v>0</v>
      </c>
      <c r="AB12" s="419">
        <f t="shared" si="2"/>
        <v>461.21426000000002</v>
      </c>
      <c r="AC12" s="419">
        <f t="shared" si="2"/>
        <v>0</v>
      </c>
      <c r="AD12" s="419">
        <f t="shared" si="2"/>
        <v>175.12</v>
      </c>
      <c r="AE12" s="419">
        <f t="shared" si="2"/>
        <v>0</v>
      </c>
      <c r="AF12" s="422"/>
    </row>
    <row r="13" spans="1:33" ht="409.5" x14ac:dyDescent="0.35">
      <c r="A13" s="569" t="s">
        <v>25</v>
      </c>
      <c r="B13" s="554"/>
      <c r="C13" s="554"/>
      <c r="D13" s="554"/>
      <c r="E13" s="554"/>
      <c r="F13" s="555"/>
      <c r="G13" s="555"/>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68" t="s">
        <v>538</v>
      </c>
    </row>
    <row r="14" spans="1:33" x14ac:dyDescent="0.35">
      <c r="A14" s="544" t="s">
        <v>65</v>
      </c>
      <c r="B14" s="550">
        <f>B15+B16</f>
        <v>1945.6</v>
      </c>
      <c r="C14" s="550">
        <f>C15+C16</f>
        <v>1008.625</v>
      </c>
      <c r="D14" s="550">
        <f>D15+D16</f>
        <v>673.39339999999993</v>
      </c>
      <c r="E14" s="550">
        <f>E15+E16</f>
        <v>571.78313000000003</v>
      </c>
      <c r="F14" s="561">
        <f>E14/B14</f>
        <v>0.29388524362664475</v>
      </c>
      <c r="G14" s="561">
        <f>E14/C14</f>
        <v>0.56689367207832453</v>
      </c>
      <c r="H14" s="551">
        <f>H15+H16</f>
        <v>46.614999999999995</v>
      </c>
      <c r="I14" s="551">
        <f t="shared" ref="I14:AE14" si="3">I15+I16</f>
        <v>13</v>
      </c>
      <c r="J14" s="551">
        <f t="shared" si="3"/>
        <v>249.8</v>
      </c>
      <c r="K14" s="551">
        <f t="shared" si="3"/>
        <v>217.31313</v>
      </c>
      <c r="L14" s="551">
        <f t="shared" si="3"/>
        <v>180.01499999999999</v>
      </c>
      <c r="M14" s="551">
        <f t="shared" si="3"/>
        <v>150.26</v>
      </c>
      <c r="N14" s="551">
        <f t="shared" si="3"/>
        <v>153.1</v>
      </c>
      <c r="O14" s="551">
        <f t="shared" si="3"/>
        <v>191.21</v>
      </c>
      <c r="P14" s="551">
        <f t="shared" si="3"/>
        <v>203.89499999999998</v>
      </c>
      <c r="Q14" s="551">
        <f t="shared" si="3"/>
        <v>0</v>
      </c>
      <c r="R14" s="551">
        <f t="shared" si="3"/>
        <v>175.2</v>
      </c>
      <c r="S14" s="551">
        <f t="shared" si="3"/>
        <v>0</v>
      </c>
      <c r="T14" s="551">
        <f t="shared" si="3"/>
        <v>191.6</v>
      </c>
      <c r="U14" s="551">
        <f t="shared" si="3"/>
        <v>0</v>
      </c>
      <c r="V14" s="551">
        <f t="shared" si="3"/>
        <v>31.3</v>
      </c>
      <c r="W14" s="551">
        <f t="shared" si="3"/>
        <v>0</v>
      </c>
      <c r="X14" s="551">
        <f t="shared" si="3"/>
        <v>86.814999999999998</v>
      </c>
      <c r="Y14" s="551">
        <f t="shared" si="3"/>
        <v>0</v>
      </c>
      <c r="Z14" s="551">
        <f t="shared" si="3"/>
        <v>179.89999999999998</v>
      </c>
      <c r="AA14" s="551">
        <f t="shared" si="3"/>
        <v>0</v>
      </c>
      <c r="AB14" s="551">
        <f t="shared" si="3"/>
        <v>204.14000000000001</v>
      </c>
      <c r="AC14" s="551">
        <f t="shared" si="3"/>
        <v>0</v>
      </c>
      <c r="AD14" s="551">
        <f t="shared" si="3"/>
        <v>243.22</v>
      </c>
      <c r="AE14" s="551">
        <f t="shared" si="3"/>
        <v>0</v>
      </c>
      <c r="AF14" s="422"/>
      <c r="AG14" s="566">
        <f>C14-E14</f>
        <v>436.84186999999997</v>
      </c>
    </row>
    <row r="15" spans="1:33" x14ac:dyDescent="0.35">
      <c r="A15" s="405" t="s">
        <v>32</v>
      </c>
      <c r="B15" s="524">
        <f>H15+J15+L15+N15+P15+R15+T15+V15+X15+Z15+AB15+AD15</f>
        <v>647.19999999999993</v>
      </c>
      <c r="C15" s="403">
        <f>H15+J15+L15+N15+P15+R15</f>
        <v>351.79999999999995</v>
      </c>
      <c r="D15" s="404">
        <v>299.4434</v>
      </c>
      <c r="E15" s="524">
        <f>I15+K15+M15+O15+Q15+S15+U15+W15+Y15+AA15+AC15+AE15</f>
        <v>197.83312999999998</v>
      </c>
      <c r="F15" s="562">
        <f>E15/B15</f>
        <v>0.30567541718170582</v>
      </c>
      <c r="G15" s="562">
        <f>E15/C15</f>
        <v>0.56234545196134167</v>
      </c>
      <c r="H15" s="419">
        <v>15</v>
      </c>
      <c r="I15" s="419"/>
      <c r="J15" s="419">
        <v>76.400000000000006</v>
      </c>
      <c r="K15" s="419">
        <v>70.553129999999996</v>
      </c>
      <c r="L15" s="419">
        <v>65.099999999999994</v>
      </c>
      <c r="M15" s="419">
        <v>59.33</v>
      </c>
      <c r="N15" s="419">
        <v>65.099999999999994</v>
      </c>
      <c r="O15" s="419">
        <v>67.95</v>
      </c>
      <c r="P15" s="419">
        <v>65.099999999999994</v>
      </c>
      <c r="Q15" s="419"/>
      <c r="R15" s="419">
        <v>65.099999999999994</v>
      </c>
      <c r="S15" s="419"/>
      <c r="T15" s="419">
        <v>65.099999999999994</v>
      </c>
      <c r="U15" s="419"/>
      <c r="V15" s="419">
        <v>7</v>
      </c>
      <c r="W15" s="419"/>
      <c r="X15" s="419">
        <v>23.7</v>
      </c>
      <c r="Y15" s="419"/>
      <c r="Z15" s="419">
        <v>66.099999999999994</v>
      </c>
      <c r="AA15" s="419"/>
      <c r="AB15" s="419">
        <v>65.400000000000006</v>
      </c>
      <c r="AC15" s="419"/>
      <c r="AD15" s="419">
        <v>68.099999999999994</v>
      </c>
      <c r="AE15" s="419"/>
      <c r="AF15" s="422"/>
      <c r="AG15" s="564">
        <f t="shared" ref="AG15:AG38" si="4">C15-E15</f>
        <v>153.96686999999997</v>
      </c>
    </row>
    <row r="16" spans="1:33" x14ac:dyDescent="0.35">
      <c r="A16" s="405" t="s">
        <v>33</v>
      </c>
      <c r="B16" s="524">
        <f>H16+J16+L16+N16+P16+R16+T16+V16+X16+Z16+AB16+AD16</f>
        <v>1298.4000000000001</v>
      </c>
      <c r="C16" s="403">
        <f>H16+J16+L16+N16+P16+R16</f>
        <v>656.82500000000005</v>
      </c>
      <c r="D16" s="403">
        <f>E16</f>
        <v>373.95</v>
      </c>
      <c r="E16" s="524">
        <f>I16+K16+M16+O16+Q16+S16+U16+W16+Y16+AA16+AC16+AE16</f>
        <v>373.95</v>
      </c>
      <c r="F16" s="562">
        <f>E16/B16</f>
        <v>0.28800831792975967</v>
      </c>
      <c r="G16" s="562">
        <f>E16/C16</f>
        <v>0.56932973014120958</v>
      </c>
      <c r="H16" s="419">
        <v>31.614999999999998</v>
      </c>
      <c r="I16" s="419">
        <v>13</v>
      </c>
      <c r="J16" s="419">
        <v>173.4</v>
      </c>
      <c r="K16" s="419">
        <v>146.76</v>
      </c>
      <c r="L16" s="419">
        <v>114.91500000000001</v>
      </c>
      <c r="M16" s="419">
        <v>90.93</v>
      </c>
      <c r="N16" s="419">
        <v>88</v>
      </c>
      <c r="O16" s="419">
        <v>123.26</v>
      </c>
      <c r="P16" s="419">
        <v>138.79499999999999</v>
      </c>
      <c r="Q16" s="419"/>
      <c r="R16" s="419">
        <v>110.1</v>
      </c>
      <c r="S16" s="419"/>
      <c r="T16" s="419">
        <v>126.5</v>
      </c>
      <c r="U16" s="419"/>
      <c r="V16" s="419">
        <v>24.3</v>
      </c>
      <c r="W16" s="419"/>
      <c r="X16" s="419">
        <v>63.115000000000002</v>
      </c>
      <c r="Y16" s="419"/>
      <c r="Z16" s="419">
        <v>113.8</v>
      </c>
      <c r="AA16" s="419"/>
      <c r="AB16" s="419">
        <v>138.74</v>
      </c>
      <c r="AC16" s="419"/>
      <c r="AD16" s="419">
        <v>175.12</v>
      </c>
      <c r="AE16" s="419"/>
      <c r="AF16" s="422"/>
      <c r="AG16" s="564">
        <f t="shared" si="4"/>
        <v>282.87500000000006</v>
      </c>
    </row>
    <row r="17" spans="1:33" ht="38.25" x14ac:dyDescent="0.35">
      <c r="A17" s="553" t="s">
        <v>26</v>
      </c>
      <c r="B17" s="554"/>
      <c r="C17" s="554"/>
      <c r="D17" s="554"/>
      <c r="E17" s="554"/>
      <c r="F17" s="555"/>
      <c r="G17" s="555"/>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422"/>
    </row>
    <row r="18" spans="1:33" x14ac:dyDescent="0.35">
      <c r="A18" s="544" t="s">
        <v>65</v>
      </c>
      <c r="B18" s="550">
        <f>B19+B20</f>
        <v>27254.9</v>
      </c>
      <c r="C18" s="550">
        <f>C19+C20</f>
        <v>13636.415919999999</v>
      </c>
      <c r="D18" s="550">
        <f>D19+D20</f>
        <v>13636.415919999999</v>
      </c>
      <c r="E18" s="550">
        <f>E19+E20</f>
        <v>1771.2080000000001</v>
      </c>
      <c r="F18" s="561">
        <f>E18/B18</f>
        <v>6.4986773020631147E-2</v>
      </c>
      <c r="G18" s="561">
        <f>E18/C18</f>
        <v>0.12988808865841636</v>
      </c>
      <c r="H18" s="551">
        <f>H19+H20</f>
        <v>0</v>
      </c>
      <c r="I18" s="551">
        <f t="shared" ref="I18:AE18" si="5">I19+I20</f>
        <v>0</v>
      </c>
      <c r="J18" s="551">
        <f t="shared" si="5"/>
        <v>956.00486000000001</v>
      </c>
      <c r="K18" s="551">
        <f t="shared" si="5"/>
        <v>597.10300000000007</v>
      </c>
      <c r="L18" s="551">
        <f t="shared" si="5"/>
        <v>559.72429</v>
      </c>
      <c r="M18" s="551">
        <f t="shared" si="5"/>
        <v>591.92499999999995</v>
      </c>
      <c r="N18" s="551">
        <f t="shared" si="5"/>
        <v>1150.8108099999999</v>
      </c>
      <c r="O18" s="551">
        <f t="shared" si="5"/>
        <v>582.18000000000006</v>
      </c>
      <c r="P18" s="551">
        <f t="shared" si="5"/>
        <v>559.72429</v>
      </c>
      <c r="Q18" s="551">
        <f t="shared" si="5"/>
        <v>0</v>
      </c>
      <c r="R18" s="551">
        <f t="shared" si="5"/>
        <v>10410.151669999999</v>
      </c>
      <c r="S18" s="551">
        <f t="shared" si="5"/>
        <v>0</v>
      </c>
      <c r="T18" s="551">
        <f t="shared" si="5"/>
        <v>7206.6526700000004</v>
      </c>
      <c r="U18" s="551">
        <f t="shared" si="5"/>
        <v>0</v>
      </c>
      <c r="V18" s="551">
        <f t="shared" si="5"/>
        <v>4802.4185699999998</v>
      </c>
      <c r="W18" s="551">
        <f t="shared" si="5"/>
        <v>0</v>
      </c>
      <c r="X18" s="551">
        <f t="shared" si="5"/>
        <v>559.72429</v>
      </c>
      <c r="Y18" s="551">
        <f t="shared" si="5"/>
        <v>0</v>
      </c>
      <c r="Z18" s="551">
        <f t="shared" si="5"/>
        <v>527.21429000000001</v>
      </c>
      <c r="AA18" s="551">
        <f t="shared" si="5"/>
        <v>0</v>
      </c>
      <c r="AB18" s="551">
        <f t="shared" si="5"/>
        <v>522.47425999999996</v>
      </c>
      <c r="AC18" s="551">
        <f t="shared" si="5"/>
        <v>0</v>
      </c>
      <c r="AD18" s="551">
        <f t="shared" si="5"/>
        <v>0</v>
      </c>
      <c r="AE18" s="551">
        <f t="shared" si="5"/>
        <v>0</v>
      </c>
      <c r="AF18" s="422"/>
      <c r="AG18" s="564">
        <f t="shared" si="4"/>
        <v>11865.207919999999</v>
      </c>
    </row>
    <row r="19" spans="1:33" x14ac:dyDescent="0.35">
      <c r="A19" s="405" t="s">
        <v>32</v>
      </c>
      <c r="B19" s="524">
        <f>B23+B27</f>
        <v>7950</v>
      </c>
      <c r="C19" s="524">
        <f>C23+C27</f>
        <v>3250</v>
      </c>
      <c r="D19" s="524">
        <f>D23+D27</f>
        <v>3250</v>
      </c>
      <c r="E19" s="524">
        <f>E23+E27</f>
        <v>600</v>
      </c>
      <c r="F19" s="562">
        <f>E19/B19</f>
        <v>7.5471698113207544E-2</v>
      </c>
      <c r="G19" s="562">
        <f>E19/C19</f>
        <v>0.18461538461538463</v>
      </c>
      <c r="H19" s="551">
        <f>H23+H27</f>
        <v>0</v>
      </c>
      <c r="I19" s="551">
        <f t="shared" ref="I19:AE19" si="6">I23+I27</f>
        <v>0</v>
      </c>
      <c r="J19" s="551">
        <f t="shared" si="6"/>
        <v>200</v>
      </c>
      <c r="K19" s="551">
        <f t="shared" si="6"/>
        <v>200</v>
      </c>
      <c r="L19" s="551">
        <f t="shared" si="6"/>
        <v>200</v>
      </c>
      <c r="M19" s="551">
        <f t="shared" si="6"/>
        <v>200</v>
      </c>
      <c r="N19" s="551">
        <f t="shared" si="6"/>
        <v>200</v>
      </c>
      <c r="O19" s="551">
        <f t="shared" si="6"/>
        <v>200</v>
      </c>
      <c r="P19" s="551">
        <f t="shared" si="6"/>
        <v>200</v>
      </c>
      <c r="Q19" s="551">
        <f t="shared" si="6"/>
        <v>0</v>
      </c>
      <c r="R19" s="551">
        <f t="shared" si="6"/>
        <v>2450</v>
      </c>
      <c r="S19" s="551">
        <f t="shared" si="6"/>
        <v>0</v>
      </c>
      <c r="T19" s="551">
        <f t="shared" si="6"/>
        <v>2050</v>
      </c>
      <c r="U19" s="551">
        <f t="shared" si="6"/>
        <v>0</v>
      </c>
      <c r="V19" s="551">
        <f t="shared" si="6"/>
        <v>2050</v>
      </c>
      <c r="W19" s="551">
        <f t="shared" si="6"/>
        <v>0</v>
      </c>
      <c r="X19" s="551">
        <f t="shared" si="6"/>
        <v>200</v>
      </c>
      <c r="Y19" s="551">
        <f t="shared" si="6"/>
        <v>0</v>
      </c>
      <c r="Z19" s="551">
        <f t="shared" si="6"/>
        <v>200</v>
      </c>
      <c r="AA19" s="551">
        <f t="shared" si="6"/>
        <v>0</v>
      </c>
      <c r="AB19" s="551">
        <f t="shared" si="6"/>
        <v>200</v>
      </c>
      <c r="AC19" s="551">
        <f t="shared" si="6"/>
        <v>0</v>
      </c>
      <c r="AD19" s="551">
        <f t="shared" si="6"/>
        <v>0</v>
      </c>
      <c r="AE19" s="551">
        <f t="shared" si="6"/>
        <v>0</v>
      </c>
      <c r="AF19" s="422"/>
      <c r="AG19" s="564">
        <f t="shared" si="4"/>
        <v>2650</v>
      </c>
    </row>
    <row r="20" spans="1:33" x14ac:dyDescent="0.35">
      <c r="A20" s="405" t="s">
        <v>33</v>
      </c>
      <c r="B20" s="524">
        <f>B24+B28+B31</f>
        <v>19304.900000000001</v>
      </c>
      <c r="C20" s="524">
        <f>C24+C28+C31</f>
        <v>10386.415919999999</v>
      </c>
      <c r="D20" s="524">
        <f>D24+D28+D31</f>
        <v>10386.415919999999</v>
      </c>
      <c r="E20" s="524">
        <f>E24+E28+E31</f>
        <v>1171.2080000000001</v>
      </c>
      <c r="F20" s="562">
        <f>E20/B20</f>
        <v>6.0668949334106888E-2</v>
      </c>
      <c r="G20" s="562">
        <f>E20/C20</f>
        <v>0.112763441115884</v>
      </c>
      <c r="H20" s="551">
        <f>H24+H28+H31</f>
        <v>0</v>
      </c>
      <c r="I20" s="551">
        <f t="shared" ref="I20:AE20" si="7">I24+I28+I31</f>
        <v>0</v>
      </c>
      <c r="J20" s="551">
        <f t="shared" si="7"/>
        <v>756.00486000000001</v>
      </c>
      <c r="K20" s="551">
        <f t="shared" si="7"/>
        <v>397.10300000000001</v>
      </c>
      <c r="L20" s="551">
        <f t="shared" si="7"/>
        <v>359.72429</v>
      </c>
      <c r="M20" s="551">
        <f t="shared" si="7"/>
        <v>391.92500000000001</v>
      </c>
      <c r="N20" s="551">
        <f t="shared" si="7"/>
        <v>950.81081000000006</v>
      </c>
      <c r="O20" s="551">
        <f t="shared" si="7"/>
        <v>382.18</v>
      </c>
      <c r="P20" s="551">
        <f>P24+P28+P31</f>
        <v>359.72429</v>
      </c>
      <c r="Q20" s="551">
        <f t="shared" si="7"/>
        <v>0</v>
      </c>
      <c r="R20" s="551">
        <f t="shared" si="7"/>
        <v>7960.1516700000002</v>
      </c>
      <c r="S20" s="551">
        <f t="shared" si="7"/>
        <v>0</v>
      </c>
      <c r="T20" s="551">
        <f t="shared" si="7"/>
        <v>5156.6526700000004</v>
      </c>
      <c r="U20" s="551">
        <f t="shared" si="7"/>
        <v>0</v>
      </c>
      <c r="V20" s="551">
        <f t="shared" si="7"/>
        <v>2752.4185699999998</v>
      </c>
      <c r="W20" s="551">
        <f t="shared" si="7"/>
        <v>0</v>
      </c>
      <c r="X20" s="551">
        <f t="shared" si="7"/>
        <v>359.72429</v>
      </c>
      <c r="Y20" s="551">
        <f t="shared" si="7"/>
        <v>0</v>
      </c>
      <c r="Z20" s="551">
        <f t="shared" si="7"/>
        <v>327.21429000000001</v>
      </c>
      <c r="AA20" s="551">
        <f t="shared" si="7"/>
        <v>0</v>
      </c>
      <c r="AB20" s="551">
        <f t="shared" si="7"/>
        <v>322.47426000000002</v>
      </c>
      <c r="AC20" s="551">
        <f t="shared" si="7"/>
        <v>0</v>
      </c>
      <c r="AD20" s="551">
        <f t="shared" si="7"/>
        <v>0</v>
      </c>
      <c r="AE20" s="551">
        <f t="shared" si="7"/>
        <v>0</v>
      </c>
      <c r="AF20" s="422"/>
      <c r="AG20" s="564">
        <f t="shared" si="4"/>
        <v>9215.2079199999989</v>
      </c>
    </row>
    <row r="21" spans="1:33" ht="135" x14ac:dyDescent="0.35">
      <c r="A21" s="570" t="s">
        <v>27</v>
      </c>
      <c r="B21" s="529"/>
      <c r="C21" s="529"/>
      <c r="D21" s="529"/>
      <c r="E21" s="529"/>
      <c r="F21" s="530"/>
      <c r="G21" s="530"/>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68" t="s">
        <v>539</v>
      </c>
    </row>
    <row r="22" spans="1:33" x14ac:dyDescent="0.35">
      <c r="A22" s="544" t="s">
        <v>65</v>
      </c>
      <c r="B22" s="550">
        <f>B23+B24</f>
        <v>20128.300000000003</v>
      </c>
      <c r="C22" s="550">
        <f>C23+C24</f>
        <v>10029.761109999999</v>
      </c>
      <c r="D22" s="550">
        <f>D23+D24</f>
        <v>10029.761109999999</v>
      </c>
      <c r="E22" s="550">
        <f>E23+E24</f>
        <v>77.19</v>
      </c>
      <c r="F22" s="561">
        <f>E22/B22</f>
        <v>3.8348991221315255E-3</v>
      </c>
      <c r="G22" s="561">
        <f>E22/C22</f>
        <v>7.6960955653309678E-3</v>
      </c>
      <c r="H22" s="551">
        <f>H23+H24</f>
        <v>0</v>
      </c>
      <c r="I22" s="551">
        <f t="shared" ref="I22:AE22" si="8">I23+I24</f>
        <v>0</v>
      </c>
      <c r="J22" s="551">
        <f t="shared" si="8"/>
        <v>77.190569999999994</v>
      </c>
      <c r="K22" s="551">
        <f t="shared" si="8"/>
        <v>0</v>
      </c>
      <c r="L22" s="551">
        <f t="shared" si="8"/>
        <v>0</v>
      </c>
      <c r="M22" s="551">
        <f t="shared" si="8"/>
        <v>0</v>
      </c>
      <c r="N22" s="551">
        <f t="shared" si="8"/>
        <v>533.34554000000003</v>
      </c>
      <c r="O22" s="551">
        <f t="shared" si="8"/>
        <v>77.19</v>
      </c>
      <c r="P22" s="551">
        <f t="shared" si="8"/>
        <v>0</v>
      </c>
      <c r="Q22" s="551">
        <f t="shared" si="8"/>
        <v>0</v>
      </c>
      <c r="R22" s="551">
        <f t="shared" si="8"/>
        <v>9419.2250000000004</v>
      </c>
      <c r="S22" s="551">
        <f t="shared" si="8"/>
        <v>0</v>
      </c>
      <c r="T22" s="551">
        <f t="shared" si="8"/>
        <v>6240.2560000000003</v>
      </c>
      <c r="U22" s="551">
        <f t="shared" si="8"/>
        <v>0</v>
      </c>
      <c r="V22" s="551">
        <f t="shared" si="8"/>
        <v>3858.28289</v>
      </c>
      <c r="W22" s="551">
        <f t="shared" si="8"/>
        <v>0</v>
      </c>
      <c r="X22" s="551">
        <f t="shared" si="8"/>
        <v>0</v>
      </c>
      <c r="Y22" s="551">
        <f t="shared" si="8"/>
        <v>0</v>
      </c>
      <c r="Z22" s="551">
        <f t="shared" si="8"/>
        <v>0</v>
      </c>
      <c r="AA22" s="551">
        <f t="shared" si="8"/>
        <v>0</v>
      </c>
      <c r="AB22" s="551">
        <f t="shared" si="8"/>
        <v>0</v>
      </c>
      <c r="AC22" s="551">
        <f t="shared" si="8"/>
        <v>0</v>
      </c>
      <c r="AD22" s="551">
        <f t="shared" si="8"/>
        <v>0</v>
      </c>
      <c r="AE22" s="551">
        <f t="shared" si="8"/>
        <v>0</v>
      </c>
      <c r="AF22" s="422"/>
      <c r="AG22" s="564">
        <f t="shared" si="4"/>
        <v>9952.571109999999</v>
      </c>
    </row>
    <row r="23" spans="1:33" x14ac:dyDescent="0.35">
      <c r="A23" s="405" t="s">
        <v>32</v>
      </c>
      <c r="B23" s="524">
        <f>H23+J23+L23+N23+P23+R23+T23+V23+X23+Z23+AB23+AD23</f>
        <v>6550</v>
      </c>
      <c r="C23" s="404">
        <f>H23+J23+L23+N23+P23+R23</f>
        <v>2450</v>
      </c>
      <c r="D23" s="404">
        <v>2450</v>
      </c>
      <c r="E23" s="524">
        <f>I23+K23+M23+O23+Q23+S23+U23+W23+Y23+AA23+AC23+AE23</f>
        <v>0</v>
      </c>
      <c r="F23" s="562">
        <f>E23/B23</f>
        <v>0</v>
      </c>
      <c r="G23" s="562">
        <f>E23/C23</f>
        <v>0</v>
      </c>
      <c r="H23" s="419"/>
      <c r="I23" s="419"/>
      <c r="J23" s="419"/>
      <c r="K23" s="419"/>
      <c r="L23" s="419"/>
      <c r="M23" s="419"/>
      <c r="N23" s="419"/>
      <c r="O23" s="419"/>
      <c r="P23" s="419"/>
      <c r="Q23" s="419"/>
      <c r="R23" s="419">
        <v>2450</v>
      </c>
      <c r="S23" s="419"/>
      <c r="T23" s="419">
        <v>2050</v>
      </c>
      <c r="U23" s="419"/>
      <c r="V23" s="419">
        <v>2050</v>
      </c>
      <c r="W23" s="419"/>
      <c r="X23" s="419"/>
      <c r="Y23" s="419"/>
      <c r="Z23" s="419"/>
      <c r="AA23" s="419"/>
      <c r="AB23" s="419"/>
      <c r="AC23" s="419"/>
      <c r="AD23" s="419"/>
      <c r="AE23" s="419"/>
      <c r="AF23" s="422"/>
      <c r="AG23" s="564">
        <f t="shared" si="4"/>
        <v>2450</v>
      </c>
    </row>
    <row r="24" spans="1:33" x14ac:dyDescent="0.35">
      <c r="A24" s="405" t="s">
        <v>33</v>
      </c>
      <c r="B24" s="524">
        <f>H24+J24+L24+N24+P24+R24+T24+V24+X24+Z24+AB24+AD24</f>
        <v>13578.300000000001</v>
      </c>
      <c r="C24" s="404">
        <f>H24+J24+L24+N24+P24+R24</f>
        <v>7579.7611100000004</v>
      </c>
      <c r="D24" s="404">
        <f>C24</f>
        <v>7579.7611100000004</v>
      </c>
      <c r="E24" s="524">
        <f>I24+K24+M24+O24+Q24+S24+U24+W24+Y24+AA24+AC24+AE24</f>
        <v>77.19</v>
      </c>
      <c r="F24" s="562">
        <f>E24/B24</f>
        <v>5.6848059035372609E-3</v>
      </c>
      <c r="G24" s="562">
        <f>E24/C24</f>
        <v>1.0183698256421698E-2</v>
      </c>
      <c r="H24" s="419"/>
      <c r="I24" s="419"/>
      <c r="J24" s="419">
        <v>77.190569999999994</v>
      </c>
      <c r="K24" s="419"/>
      <c r="L24" s="419"/>
      <c r="M24" s="419"/>
      <c r="N24" s="419">
        <v>533.34554000000003</v>
      </c>
      <c r="O24" s="419">
        <v>77.19</v>
      </c>
      <c r="P24" s="419"/>
      <c r="Q24" s="419"/>
      <c r="R24" s="419">
        <v>6969.2250000000004</v>
      </c>
      <c r="S24" s="419"/>
      <c r="T24" s="419">
        <v>4190.2560000000003</v>
      </c>
      <c r="U24" s="419"/>
      <c r="V24" s="419">
        <v>1808.28289</v>
      </c>
      <c r="W24" s="419"/>
      <c r="X24" s="419"/>
      <c r="Y24" s="419"/>
      <c r="Z24" s="419"/>
      <c r="AA24" s="419"/>
      <c r="AB24" s="419"/>
      <c r="AC24" s="419"/>
      <c r="AD24" s="419"/>
      <c r="AE24" s="419"/>
      <c r="AF24" s="422"/>
      <c r="AG24" s="564">
        <f t="shared" si="4"/>
        <v>7502.5711100000008</v>
      </c>
    </row>
    <row r="25" spans="1:33" ht="165" x14ac:dyDescent="0.35">
      <c r="A25" s="570" t="s">
        <v>28</v>
      </c>
      <c r="B25" s="529"/>
      <c r="C25" s="529"/>
      <c r="D25" s="529"/>
      <c r="E25" s="529"/>
      <c r="F25" s="530"/>
      <c r="G25" s="530"/>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68" t="s">
        <v>540</v>
      </c>
    </row>
    <row r="26" spans="1:33" x14ac:dyDescent="0.35">
      <c r="A26" s="544" t="s">
        <v>65</v>
      </c>
      <c r="B26" s="550">
        <f>B27+B28</f>
        <v>4167.3999999999996</v>
      </c>
      <c r="C26" s="550">
        <f>C27+C28</f>
        <v>2557.9871600000001</v>
      </c>
      <c r="D26" s="550">
        <f>D27+D28</f>
        <v>2557.9871600000001</v>
      </c>
      <c r="E26" s="550">
        <f>E27+E28</f>
        <v>1694.018</v>
      </c>
      <c r="F26" s="561">
        <f>E26/B26</f>
        <v>0.40649277727120031</v>
      </c>
      <c r="G26" s="561">
        <f>E26/C26</f>
        <v>0.66224648289477728</v>
      </c>
      <c r="H26" s="551">
        <f>H27+H28</f>
        <v>0</v>
      </c>
      <c r="I26" s="551">
        <f t="shared" ref="I26:AE26" si="9">I27+I28</f>
        <v>0</v>
      </c>
      <c r="J26" s="551">
        <f t="shared" si="9"/>
        <v>878.81429000000003</v>
      </c>
      <c r="K26" s="551">
        <f t="shared" si="9"/>
        <v>597.10300000000007</v>
      </c>
      <c r="L26" s="551">
        <f t="shared" si="9"/>
        <v>559.72429</v>
      </c>
      <c r="M26" s="551">
        <f t="shared" si="9"/>
        <v>591.92499999999995</v>
      </c>
      <c r="N26" s="551">
        <f t="shared" si="9"/>
        <v>559.72429</v>
      </c>
      <c r="O26" s="551">
        <f t="shared" si="9"/>
        <v>504.99</v>
      </c>
      <c r="P26" s="551">
        <f t="shared" si="9"/>
        <v>559.72429</v>
      </c>
      <c r="Q26" s="551">
        <f t="shared" si="9"/>
        <v>0</v>
      </c>
      <c r="R26" s="551">
        <f t="shared" si="9"/>
        <v>0</v>
      </c>
      <c r="S26" s="551">
        <f t="shared" si="9"/>
        <v>0</v>
      </c>
      <c r="T26" s="551">
        <f t="shared" si="9"/>
        <v>0</v>
      </c>
      <c r="U26" s="551">
        <f t="shared" si="9"/>
        <v>0</v>
      </c>
      <c r="V26" s="551">
        <f t="shared" si="9"/>
        <v>0</v>
      </c>
      <c r="W26" s="551">
        <f t="shared" si="9"/>
        <v>0</v>
      </c>
      <c r="X26" s="551">
        <f t="shared" si="9"/>
        <v>559.72429</v>
      </c>
      <c r="Y26" s="551">
        <f t="shared" si="9"/>
        <v>0</v>
      </c>
      <c r="Z26" s="551">
        <f t="shared" si="9"/>
        <v>527.21429000000001</v>
      </c>
      <c r="AA26" s="551">
        <f t="shared" si="9"/>
        <v>0</v>
      </c>
      <c r="AB26" s="551">
        <f t="shared" si="9"/>
        <v>522.47425999999996</v>
      </c>
      <c r="AC26" s="551">
        <f t="shared" si="9"/>
        <v>0</v>
      </c>
      <c r="AD26" s="551">
        <f t="shared" si="9"/>
        <v>0</v>
      </c>
      <c r="AE26" s="551">
        <f t="shared" si="9"/>
        <v>0</v>
      </c>
      <c r="AF26" s="422"/>
      <c r="AG26" s="564">
        <f t="shared" si="4"/>
        <v>863.9691600000001</v>
      </c>
    </row>
    <row r="27" spans="1:33" x14ac:dyDescent="0.35">
      <c r="A27" s="405" t="s">
        <v>32</v>
      </c>
      <c r="B27" s="524">
        <f>H27+J27+L27+N27+P27+R27+T27+V27+X27+Z27+AB27+AD27</f>
        <v>1400</v>
      </c>
      <c r="C27" s="404">
        <f>H27+J27+L27+N27+P27+R27</f>
        <v>800</v>
      </c>
      <c r="D27" s="404">
        <v>800</v>
      </c>
      <c r="E27" s="524">
        <f>I27+K27+M27+O27+Q27+S27+U27+W27+Y27+AA27+AC27+AE27</f>
        <v>600</v>
      </c>
      <c r="F27" s="562">
        <f>E27/B27</f>
        <v>0.42857142857142855</v>
      </c>
      <c r="G27" s="562">
        <f>E27/C27</f>
        <v>0.75</v>
      </c>
      <c r="H27" s="419"/>
      <c r="I27" s="419"/>
      <c r="J27" s="419">
        <v>200</v>
      </c>
      <c r="K27" s="419">
        <v>200</v>
      </c>
      <c r="L27" s="419">
        <v>200</v>
      </c>
      <c r="M27" s="419">
        <v>200</v>
      </c>
      <c r="N27" s="419">
        <v>200</v>
      </c>
      <c r="O27" s="419">
        <v>200</v>
      </c>
      <c r="P27" s="419">
        <v>200</v>
      </c>
      <c r="Q27" s="419"/>
      <c r="R27" s="419"/>
      <c r="S27" s="419"/>
      <c r="T27" s="419"/>
      <c r="U27" s="419"/>
      <c r="V27" s="419"/>
      <c r="W27" s="419"/>
      <c r="X27" s="419">
        <v>200</v>
      </c>
      <c r="Y27" s="419"/>
      <c r="Z27" s="419">
        <v>200</v>
      </c>
      <c r="AA27" s="419"/>
      <c r="AB27" s="419">
        <v>200</v>
      </c>
      <c r="AC27" s="419"/>
      <c r="AD27" s="419"/>
      <c r="AE27" s="419"/>
      <c r="AF27" s="422"/>
      <c r="AG27" s="564">
        <f t="shared" si="4"/>
        <v>200</v>
      </c>
    </row>
    <row r="28" spans="1:33" x14ac:dyDescent="0.35">
      <c r="A28" s="405" t="s">
        <v>33</v>
      </c>
      <c r="B28" s="524">
        <f>H28+J28+L28+N28+P28+R28+T28+V28+X28+Z28+AB28+AD28</f>
        <v>2767.4</v>
      </c>
      <c r="C28" s="404">
        <f>H28+J28+L28+N28+P28+R28</f>
        <v>1757.9871600000001</v>
      </c>
      <c r="D28" s="404">
        <f>C28</f>
        <v>1757.9871600000001</v>
      </c>
      <c r="E28" s="524">
        <f>I28+K28+M28+O28+Q28+S28+U28+W28+Y28+AA28+AC28+AE28</f>
        <v>1094.018</v>
      </c>
      <c r="F28" s="562">
        <f>E28/B28</f>
        <v>0.39532340825323409</v>
      </c>
      <c r="G28" s="562">
        <f>E28/C28</f>
        <v>0.6223128501120565</v>
      </c>
      <c r="H28" s="419"/>
      <c r="I28" s="419"/>
      <c r="J28" s="419">
        <v>678.81429000000003</v>
      </c>
      <c r="K28" s="419">
        <v>397.10300000000001</v>
      </c>
      <c r="L28" s="419">
        <v>359.72429</v>
      </c>
      <c r="M28" s="419">
        <v>391.92500000000001</v>
      </c>
      <c r="N28" s="419">
        <v>359.72429</v>
      </c>
      <c r="O28" s="419">
        <v>304.99</v>
      </c>
      <c r="P28" s="419">
        <v>359.72429</v>
      </c>
      <c r="Q28" s="419"/>
      <c r="R28" s="419"/>
      <c r="S28" s="419"/>
      <c r="T28" s="419"/>
      <c r="U28" s="419"/>
      <c r="V28" s="419"/>
      <c r="W28" s="419"/>
      <c r="X28" s="419">
        <v>359.72429</v>
      </c>
      <c r="Y28" s="419"/>
      <c r="Z28" s="419">
        <v>327.21429000000001</v>
      </c>
      <c r="AA28" s="419"/>
      <c r="AB28" s="419">
        <v>322.47426000000002</v>
      </c>
      <c r="AC28" s="419"/>
      <c r="AD28" s="419"/>
      <c r="AE28" s="419"/>
      <c r="AF28" s="422"/>
      <c r="AG28" s="564">
        <f t="shared" si="4"/>
        <v>663.9691600000001</v>
      </c>
    </row>
    <row r="29" spans="1:33" ht="120" x14ac:dyDescent="0.35">
      <c r="A29" s="570" t="s">
        <v>29</v>
      </c>
      <c r="B29" s="529"/>
      <c r="C29" s="529"/>
      <c r="D29" s="529"/>
      <c r="E29" s="529"/>
      <c r="F29" s="530"/>
      <c r="G29" s="530"/>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67" t="s">
        <v>541</v>
      </c>
    </row>
    <row r="30" spans="1:33" x14ac:dyDescent="0.35">
      <c r="A30" s="544" t="s">
        <v>65</v>
      </c>
      <c r="B30" s="550">
        <f>B31</f>
        <v>2959.2</v>
      </c>
      <c r="C30" s="550">
        <f>C31</f>
        <v>1048.6676499999999</v>
      </c>
      <c r="D30" s="550">
        <f>D31</f>
        <v>1048.6676499999999</v>
      </c>
      <c r="E30" s="550">
        <f>E31</f>
        <v>0</v>
      </c>
      <c r="F30" s="561">
        <f>E30/B30</f>
        <v>0</v>
      </c>
      <c r="G30" s="561">
        <f>E30/C30</f>
        <v>0</v>
      </c>
      <c r="H30" s="551">
        <f>H31</f>
        <v>0</v>
      </c>
      <c r="I30" s="551">
        <f t="shared" ref="I30:AE30" si="10">I31</f>
        <v>0</v>
      </c>
      <c r="J30" s="551">
        <f t="shared" si="10"/>
        <v>0</v>
      </c>
      <c r="K30" s="551">
        <f t="shared" si="10"/>
        <v>0</v>
      </c>
      <c r="L30" s="551">
        <f t="shared" si="10"/>
        <v>0</v>
      </c>
      <c r="M30" s="551">
        <f t="shared" si="10"/>
        <v>0</v>
      </c>
      <c r="N30" s="551">
        <f t="shared" si="10"/>
        <v>57.74098</v>
      </c>
      <c r="O30" s="551">
        <f t="shared" si="10"/>
        <v>0</v>
      </c>
      <c r="P30" s="551">
        <f t="shared" si="10"/>
        <v>0</v>
      </c>
      <c r="Q30" s="551">
        <f t="shared" si="10"/>
        <v>0</v>
      </c>
      <c r="R30" s="551">
        <f t="shared" si="10"/>
        <v>990.92666999999994</v>
      </c>
      <c r="S30" s="551">
        <f t="shared" si="10"/>
        <v>0</v>
      </c>
      <c r="T30" s="551">
        <f t="shared" si="10"/>
        <v>966.39666999999997</v>
      </c>
      <c r="U30" s="551">
        <f t="shared" si="10"/>
        <v>0</v>
      </c>
      <c r="V30" s="551">
        <f t="shared" si="10"/>
        <v>944.13567999999998</v>
      </c>
      <c r="W30" s="551">
        <f t="shared" si="10"/>
        <v>0</v>
      </c>
      <c r="X30" s="551">
        <f t="shared" si="10"/>
        <v>0</v>
      </c>
      <c r="Y30" s="551">
        <f t="shared" si="10"/>
        <v>0</v>
      </c>
      <c r="Z30" s="551">
        <f t="shared" si="10"/>
        <v>0</v>
      </c>
      <c r="AA30" s="551">
        <f t="shared" si="10"/>
        <v>0</v>
      </c>
      <c r="AB30" s="551">
        <f t="shared" si="10"/>
        <v>0</v>
      </c>
      <c r="AC30" s="551">
        <f t="shared" si="10"/>
        <v>0</v>
      </c>
      <c r="AD30" s="551">
        <f t="shared" si="10"/>
        <v>0</v>
      </c>
      <c r="AE30" s="551">
        <f t="shared" si="10"/>
        <v>0</v>
      </c>
      <c r="AF30" s="422"/>
      <c r="AG30" s="564">
        <f t="shared" si="4"/>
        <v>1048.6676499999999</v>
      </c>
    </row>
    <row r="31" spans="1:33" x14ac:dyDescent="0.35">
      <c r="A31" s="405" t="s">
        <v>33</v>
      </c>
      <c r="B31" s="524">
        <f>H31+J31+L31+N31+P31+R31+T31+V31+X31+Z31+AB31+AD31</f>
        <v>2959.2</v>
      </c>
      <c r="C31" s="404">
        <f>H31+J31+L31+N31+P31+R31</f>
        <v>1048.6676499999999</v>
      </c>
      <c r="D31" s="404">
        <f>C31</f>
        <v>1048.6676499999999</v>
      </c>
      <c r="E31" s="524">
        <f>I31+K31+M31+O31+Q31+S31+U31+W31+Y31+AA31+AC31+AE31</f>
        <v>0</v>
      </c>
      <c r="F31" s="562">
        <f>E31/B31</f>
        <v>0</v>
      </c>
      <c r="G31" s="562">
        <f>E31/C31</f>
        <v>0</v>
      </c>
      <c r="H31" s="419"/>
      <c r="I31" s="419"/>
      <c r="J31" s="419"/>
      <c r="K31" s="419"/>
      <c r="L31" s="419"/>
      <c r="M31" s="419"/>
      <c r="N31" s="419">
        <v>57.74098</v>
      </c>
      <c r="O31" s="419"/>
      <c r="P31" s="419"/>
      <c r="Q31" s="419"/>
      <c r="R31" s="419">
        <v>990.92666999999994</v>
      </c>
      <c r="S31" s="419"/>
      <c r="T31" s="419">
        <v>966.39666999999997</v>
      </c>
      <c r="U31" s="419"/>
      <c r="V31" s="419">
        <v>944.13567999999998</v>
      </c>
      <c r="W31" s="419"/>
      <c r="X31" s="419"/>
      <c r="Y31" s="419"/>
      <c r="Z31" s="419"/>
      <c r="AA31" s="419"/>
      <c r="AB31" s="419"/>
      <c r="AC31" s="419"/>
      <c r="AD31" s="419"/>
      <c r="AE31" s="419"/>
      <c r="AF31" s="422"/>
      <c r="AG31" s="564">
        <f t="shared" si="4"/>
        <v>1048.6676499999999</v>
      </c>
    </row>
    <row r="32" spans="1:33" ht="112.5" x14ac:dyDescent="0.35">
      <c r="A32" s="569" t="s">
        <v>30</v>
      </c>
      <c r="B32" s="554"/>
      <c r="C32" s="554"/>
      <c r="D32" s="554"/>
      <c r="E32" s="554"/>
      <c r="F32" s="555"/>
      <c r="G32" s="555"/>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422"/>
    </row>
    <row r="33" spans="1:33" x14ac:dyDescent="0.35">
      <c r="A33" s="544" t="s">
        <v>65</v>
      </c>
      <c r="B33" s="550">
        <f>B34</f>
        <v>100</v>
      </c>
      <c r="C33" s="550">
        <f>C34</f>
        <v>0</v>
      </c>
      <c r="D33" s="550">
        <f>D34</f>
        <v>0</v>
      </c>
      <c r="E33" s="550">
        <f>E34</f>
        <v>0</v>
      </c>
      <c r="F33" s="561">
        <f>E33/B33</f>
        <v>0</v>
      </c>
      <c r="G33" s="561" t="e">
        <f>E33/C33</f>
        <v>#DIV/0!</v>
      </c>
      <c r="H33" s="551">
        <f>H34</f>
        <v>0</v>
      </c>
      <c r="I33" s="551">
        <f t="shared" ref="I33:AE33" si="11">I34</f>
        <v>0</v>
      </c>
      <c r="J33" s="551">
        <f t="shared" si="11"/>
        <v>0</v>
      </c>
      <c r="K33" s="551">
        <f t="shared" si="11"/>
        <v>0</v>
      </c>
      <c r="L33" s="551">
        <f t="shared" si="11"/>
        <v>0</v>
      </c>
      <c r="M33" s="551">
        <f t="shared" si="11"/>
        <v>0</v>
      </c>
      <c r="N33" s="551">
        <f t="shared" si="11"/>
        <v>0</v>
      </c>
      <c r="O33" s="551">
        <f t="shared" si="11"/>
        <v>0</v>
      </c>
      <c r="P33" s="551">
        <f t="shared" si="11"/>
        <v>0</v>
      </c>
      <c r="Q33" s="551">
        <f t="shared" si="11"/>
        <v>0</v>
      </c>
      <c r="R33" s="551">
        <f t="shared" si="11"/>
        <v>0</v>
      </c>
      <c r="S33" s="551">
        <f t="shared" si="11"/>
        <v>0</v>
      </c>
      <c r="T33" s="551">
        <f t="shared" si="11"/>
        <v>0</v>
      </c>
      <c r="U33" s="551">
        <f t="shared" si="11"/>
        <v>0</v>
      </c>
      <c r="V33" s="551">
        <f t="shared" si="11"/>
        <v>0</v>
      </c>
      <c r="W33" s="551">
        <f t="shared" si="11"/>
        <v>0</v>
      </c>
      <c r="X33" s="551">
        <f t="shared" si="11"/>
        <v>0</v>
      </c>
      <c r="Y33" s="551">
        <f t="shared" si="11"/>
        <v>0</v>
      </c>
      <c r="Z33" s="551">
        <f t="shared" si="11"/>
        <v>0</v>
      </c>
      <c r="AA33" s="551">
        <f t="shared" si="11"/>
        <v>0</v>
      </c>
      <c r="AB33" s="551">
        <f t="shared" si="11"/>
        <v>0</v>
      </c>
      <c r="AC33" s="551">
        <f t="shared" si="11"/>
        <v>0</v>
      </c>
      <c r="AD33" s="551">
        <f t="shared" si="11"/>
        <v>100</v>
      </c>
      <c r="AE33" s="551">
        <f t="shared" si="11"/>
        <v>0</v>
      </c>
      <c r="AF33" s="422"/>
      <c r="AG33" s="564">
        <f t="shared" si="4"/>
        <v>0</v>
      </c>
    </row>
    <row r="34" spans="1:33" x14ac:dyDescent="0.35">
      <c r="A34" s="405" t="s">
        <v>32</v>
      </c>
      <c r="B34" s="524">
        <f>H34+J34+L34+N34+P34+R34+T34+V34+X34+Z34+AB34+AD34</f>
        <v>100</v>
      </c>
      <c r="C34" s="404">
        <f>H34+J34+L34+N34+P34+R34</f>
        <v>0</v>
      </c>
      <c r="D34" s="404"/>
      <c r="E34" s="524">
        <f>I34+K34+M34+O34+Q34+S34+U34+W34+Y34+AA34+AC34+AE34</f>
        <v>0</v>
      </c>
      <c r="F34" s="562">
        <f>E34/B34</f>
        <v>0</v>
      </c>
      <c r="G34" s="562" t="e">
        <f>E34/C34</f>
        <v>#DIV/0!</v>
      </c>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v>100</v>
      </c>
      <c r="AE34" s="419"/>
      <c r="AF34" s="422"/>
      <c r="AG34" s="564">
        <f t="shared" si="4"/>
        <v>0</v>
      </c>
    </row>
    <row r="35" spans="1:33" x14ac:dyDescent="0.35">
      <c r="A35" s="406" t="s">
        <v>53</v>
      </c>
      <c r="B35" s="535"/>
      <c r="C35" s="535"/>
      <c r="D35" s="535"/>
      <c r="E35" s="535"/>
      <c r="F35" s="535"/>
      <c r="G35" s="535"/>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6"/>
      <c r="AF35" s="422"/>
    </row>
    <row r="36" spans="1:33" x14ac:dyDescent="0.35">
      <c r="A36" s="537" t="s">
        <v>31</v>
      </c>
      <c r="B36" s="550">
        <f>B37+B38</f>
        <v>29300.500000000004</v>
      </c>
      <c r="C36" s="550">
        <f>C37+C38</f>
        <v>14645.040919999999</v>
      </c>
      <c r="D36" s="550">
        <f>D37+D38</f>
        <v>14309.80932</v>
      </c>
      <c r="E36" s="550">
        <f>E37+E38</f>
        <v>2342.9911300000003</v>
      </c>
      <c r="F36" s="561">
        <f>E36/B36</f>
        <v>7.9964202999948802E-2</v>
      </c>
      <c r="G36" s="561">
        <f>E36/C36</f>
        <v>0.1599852907751384</v>
      </c>
      <c r="H36" s="551">
        <f>H37+H38</f>
        <v>46.614999999999995</v>
      </c>
      <c r="I36" s="551">
        <f t="shared" ref="I36:AE36" si="12">I37+I38</f>
        <v>13</v>
      </c>
      <c r="J36" s="551">
        <f t="shared" si="12"/>
        <v>1205.80486</v>
      </c>
      <c r="K36" s="551">
        <f t="shared" si="12"/>
        <v>814.41613000000007</v>
      </c>
      <c r="L36" s="551">
        <f t="shared" si="12"/>
        <v>739.73928999999998</v>
      </c>
      <c r="M36" s="551">
        <f t="shared" si="12"/>
        <v>742.18499999999995</v>
      </c>
      <c r="N36" s="551">
        <f t="shared" si="12"/>
        <v>1303.9108099999999</v>
      </c>
      <c r="O36" s="551">
        <f t="shared" si="12"/>
        <v>773.39</v>
      </c>
      <c r="P36" s="551">
        <f t="shared" si="12"/>
        <v>763.61928999999998</v>
      </c>
      <c r="Q36" s="551">
        <f t="shared" si="12"/>
        <v>0</v>
      </c>
      <c r="R36" s="551">
        <f t="shared" si="12"/>
        <v>10585.35167</v>
      </c>
      <c r="S36" s="551">
        <f t="shared" si="12"/>
        <v>0</v>
      </c>
      <c r="T36" s="551">
        <f t="shared" si="12"/>
        <v>7398.2526699999999</v>
      </c>
      <c r="U36" s="551">
        <f t="shared" si="12"/>
        <v>0</v>
      </c>
      <c r="V36" s="551">
        <f t="shared" si="12"/>
        <v>4833.71857</v>
      </c>
      <c r="W36" s="551">
        <f t="shared" si="12"/>
        <v>0</v>
      </c>
      <c r="X36" s="551">
        <f t="shared" si="12"/>
        <v>646.53928999999994</v>
      </c>
      <c r="Y36" s="551">
        <f t="shared" si="12"/>
        <v>0</v>
      </c>
      <c r="Z36" s="551">
        <f t="shared" si="12"/>
        <v>707.11428999999998</v>
      </c>
      <c r="AA36" s="551">
        <f t="shared" si="12"/>
        <v>0</v>
      </c>
      <c r="AB36" s="551">
        <f t="shared" si="12"/>
        <v>726.61426000000006</v>
      </c>
      <c r="AC36" s="551">
        <f t="shared" si="12"/>
        <v>0</v>
      </c>
      <c r="AD36" s="551">
        <f t="shared" si="12"/>
        <v>343.22</v>
      </c>
      <c r="AE36" s="551">
        <f t="shared" si="12"/>
        <v>0</v>
      </c>
      <c r="AF36" s="422"/>
      <c r="AG36" s="566">
        <f t="shared" si="4"/>
        <v>12302.049789999999</v>
      </c>
    </row>
    <row r="37" spans="1:33" x14ac:dyDescent="0.35">
      <c r="A37" s="523" t="s">
        <v>32</v>
      </c>
      <c r="B37" s="524">
        <f>B15+B19+B34</f>
        <v>8697.2000000000007</v>
      </c>
      <c r="C37" s="524">
        <f>C15+C19+C34</f>
        <v>3601.8</v>
      </c>
      <c r="D37" s="524">
        <f>D15+D19+D34</f>
        <v>3549.4434000000001</v>
      </c>
      <c r="E37" s="524">
        <f>E15+E19+E34</f>
        <v>797.83312999999998</v>
      </c>
      <c r="F37" s="562">
        <f>E37/B37</f>
        <v>9.1734481212344191E-2</v>
      </c>
      <c r="G37" s="562">
        <f>E37/C37</f>
        <v>0.2215095591093342</v>
      </c>
      <c r="H37" s="526">
        <f>H15+H19+H34</f>
        <v>15</v>
      </c>
      <c r="I37" s="526">
        <f t="shared" ref="I37:AE37" si="13">I15+I19+I34</f>
        <v>0</v>
      </c>
      <c r="J37" s="526">
        <f t="shared" si="13"/>
        <v>276.39999999999998</v>
      </c>
      <c r="K37" s="526">
        <f t="shared" si="13"/>
        <v>270.55313000000001</v>
      </c>
      <c r="L37" s="526">
        <f t="shared" si="13"/>
        <v>265.10000000000002</v>
      </c>
      <c r="M37" s="526">
        <f t="shared" si="13"/>
        <v>259.33</v>
      </c>
      <c r="N37" s="526">
        <f t="shared" si="13"/>
        <v>265.10000000000002</v>
      </c>
      <c r="O37" s="526">
        <f t="shared" si="13"/>
        <v>267.95</v>
      </c>
      <c r="P37" s="526">
        <f t="shared" si="13"/>
        <v>265.10000000000002</v>
      </c>
      <c r="Q37" s="526">
        <f t="shared" si="13"/>
        <v>0</v>
      </c>
      <c r="R37" s="526">
        <f t="shared" si="13"/>
        <v>2515.1</v>
      </c>
      <c r="S37" s="526">
        <f t="shared" si="13"/>
        <v>0</v>
      </c>
      <c r="T37" s="526">
        <f t="shared" si="13"/>
        <v>2115.1</v>
      </c>
      <c r="U37" s="526">
        <f t="shared" si="13"/>
        <v>0</v>
      </c>
      <c r="V37" s="526">
        <f t="shared" si="13"/>
        <v>2057</v>
      </c>
      <c r="W37" s="526">
        <f t="shared" si="13"/>
        <v>0</v>
      </c>
      <c r="X37" s="526">
        <f t="shared" si="13"/>
        <v>223.7</v>
      </c>
      <c r="Y37" s="526">
        <f t="shared" si="13"/>
        <v>0</v>
      </c>
      <c r="Z37" s="526">
        <f t="shared" si="13"/>
        <v>266.10000000000002</v>
      </c>
      <c r="AA37" s="526">
        <f t="shared" si="13"/>
        <v>0</v>
      </c>
      <c r="AB37" s="526">
        <f t="shared" si="13"/>
        <v>265.39999999999998</v>
      </c>
      <c r="AC37" s="526">
        <f t="shared" si="13"/>
        <v>0</v>
      </c>
      <c r="AD37" s="526">
        <f t="shared" si="13"/>
        <v>168.1</v>
      </c>
      <c r="AE37" s="526">
        <f t="shared" si="13"/>
        <v>0</v>
      </c>
      <c r="AF37" s="422"/>
      <c r="AG37" s="564">
        <f t="shared" si="4"/>
        <v>2803.9668700000002</v>
      </c>
    </row>
    <row r="38" spans="1:33" x14ac:dyDescent="0.35">
      <c r="A38" s="523" t="s">
        <v>33</v>
      </c>
      <c r="B38" s="524">
        <f>B16+B20</f>
        <v>20603.300000000003</v>
      </c>
      <c r="C38" s="524">
        <f>C16+C20</f>
        <v>11043.24092</v>
      </c>
      <c r="D38" s="524">
        <f>D16+D20</f>
        <v>10760.36592</v>
      </c>
      <c r="E38" s="524">
        <f>E16+E20</f>
        <v>1545.1580000000001</v>
      </c>
      <c r="F38" s="562">
        <f>E38/B38</f>
        <v>7.4995656035683603E-2</v>
      </c>
      <c r="G38" s="562">
        <f>E38/C38</f>
        <v>0.13991888895601493</v>
      </c>
      <c r="H38" s="526">
        <f>H16+H20</f>
        <v>31.614999999999998</v>
      </c>
      <c r="I38" s="526">
        <f t="shared" ref="I38:AE38" si="14">I16+I20</f>
        <v>13</v>
      </c>
      <c r="J38" s="526">
        <f t="shared" si="14"/>
        <v>929.40485999999999</v>
      </c>
      <c r="K38" s="526">
        <f t="shared" si="14"/>
        <v>543.86300000000006</v>
      </c>
      <c r="L38" s="526">
        <f t="shared" si="14"/>
        <v>474.63929000000002</v>
      </c>
      <c r="M38" s="526">
        <f t="shared" si="14"/>
        <v>482.85500000000002</v>
      </c>
      <c r="N38" s="526">
        <f t="shared" si="14"/>
        <v>1038.8108099999999</v>
      </c>
      <c r="O38" s="526">
        <f t="shared" si="14"/>
        <v>505.44</v>
      </c>
      <c r="P38" s="526">
        <f t="shared" si="14"/>
        <v>498.51928999999996</v>
      </c>
      <c r="Q38" s="526">
        <f t="shared" si="14"/>
        <v>0</v>
      </c>
      <c r="R38" s="526">
        <f t="shared" si="14"/>
        <v>8070.2516700000006</v>
      </c>
      <c r="S38" s="526">
        <f t="shared" si="14"/>
        <v>0</v>
      </c>
      <c r="T38" s="526">
        <f t="shared" si="14"/>
        <v>5283.1526700000004</v>
      </c>
      <c r="U38" s="526">
        <f t="shared" si="14"/>
        <v>0</v>
      </c>
      <c r="V38" s="526">
        <f t="shared" si="14"/>
        <v>2776.71857</v>
      </c>
      <c r="W38" s="526">
        <f t="shared" si="14"/>
        <v>0</v>
      </c>
      <c r="X38" s="526">
        <f t="shared" si="14"/>
        <v>422.83929000000001</v>
      </c>
      <c r="Y38" s="526">
        <f t="shared" si="14"/>
        <v>0</v>
      </c>
      <c r="Z38" s="526">
        <f t="shared" si="14"/>
        <v>441.01429000000002</v>
      </c>
      <c r="AA38" s="526">
        <f t="shared" si="14"/>
        <v>0</v>
      </c>
      <c r="AB38" s="526">
        <f t="shared" si="14"/>
        <v>461.21426000000002</v>
      </c>
      <c r="AC38" s="526">
        <f t="shared" si="14"/>
        <v>0</v>
      </c>
      <c r="AD38" s="526">
        <f t="shared" si="14"/>
        <v>175.12</v>
      </c>
      <c r="AE38" s="526">
        <f t="shared" si="14"/>
        <v>0</v>
      </c>
      <c r="AF38" s="422"/>
      <c r="AG38" s="564">
        <f t="shared" si="4"/>
        <v>9498.0829200000007</v>
      </c>
    </row>
    <row r="39" spans="1:33" ht="38.25" x14ac:dyDescent="0.35">
      <c r="A39" s="523" t="s">
        <v>72</v>
      </c>
      <c r="B39" s="524"/>
      <c r="C39" s="524"/>
      <c r="D39" s="524"/>
      <c r="E39" s="524"/>
      <c r="F39" s="525"/>
      <c r="G39" s="525"/>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422"/>
    </row>
    <row r="40" spans="1:33" x14ac:dyDescent="0.35">
      <c r="A40" s="537" t="s">
        <v>31</v>
      </c>
      <c r="B40" s="550">
        <f>B41+B42</f>
        <v>29300.500000000004</v>
      </c>
      <c r="C40" s="550">
        <f>C41+C42</f>
        <v>14645.040919999999</v>
      </c>
      <c r="D40" s="550">
        <f>D41+D42</f>
        <v>14309.80932</v>
      </c>
      <c r="E40" s="550">
        <f>E41+E42</f>
        <v>2342.9911300000003</v>
      </c>
      <c r="F40" s="561">
        <f>E40/B40</f>
        <v>7.9964202999948802E-2</v>
      </c>
      <c r="G40" s="561">
        <f>E40/C40</f>
        <v>0.1599852907751384</v>
      </c>
      <c r="H40" s="551">
        <f>H41+H42</f>
        <v>46.614999999999995</v>
      </c>
      <c r="I40" s="551">
        <f t="shared" ref="I40:AE40" si="15">I41+I42</f>
        <v>13</v>
      </c>
      <c r="J40" s="551">
        <f t="shared" si="15"/>
        <v>1205.80486</v>
      </c>
      <c r="K40" s="551">
        <f t="shared" si="15"/>
        <v>814.41613000000007</v>
      </c>
      <c r="L40" s="551">
        <f t="shared" si="15"/>
        <v>739.73928999999998</v>
      </c>
      <c r="M40" s="551">
        <f t="shared" si="15"/>
        <v>742.18499999999995</v>
      </c>
      <c r="N40" s="551">
        <f t="shared" si="15"/>
        <v>1303.9108099999999</v>
      </c>
      <c r="O40" s="551">
        <f t="shared" si="15"/>
        <v>773.39</v>
      </c>
      <c r="P40" s="551">
        <f t="shared" si="15"/>
        <v>763.61928999999998</v>
      </c>
      <c r="Q40" s="551">
        <f t="shared" si="15"/>
        <v>0</v>
      </c>
      <c r="R40" s="551">
        <f t="shared" si="15"/>
        <v>10585.35167</v>
      </c>
      <c r="S40" s="551">
        <f t="shared" si="15"/>
        <v>0</v>
      </c>
      <c r="T40" s="551">
        <f t="shared" si="15"/>
        <v>7398.2526699999999</v>
      </c>
      <c r="U40" s="551">
        <f t="shared" si="15"/>
        <v>0</v>
      </c>
      <c r="V40" s="551">
        <f t="shared" si="15"/>
        <v>4833.71857</v>
      </c>
      <c r="W40" s="551">
        <f t="shared" si="15"/>
        <v>0</v>
      </c>
      <c r="X40" s="551">
        <f t="shared" si="15"/>
        <v>646.53928999999994</v>
      </c>
      <c r="Y40" s="551">
        <f t="shared" si="15"/>
        <v>0</v>
      </c>
      <c r="Z40" s="551">
        <f t="shared" si="15"/>
        <v>707.11428999999998</v>
      </c>
      <c r="AA40" s="551">
        <f t="shared" si="15"/>
        <v>0</v>
      </c>
      <c r="AB40" s="551">
        <f t="shared" si="15"/>
        <v>726.61426000000006</v>
      </c>
      <c r="AC40" s="551">
        <f t="shared" si="15"/>
        <v>0</v>
      </c>
      <c r="AD40" s="551">
        <f t="shared" si="15"/>
        <v>343.22</v>
      </c>
      <c r="AE40" s="551">
        <f t="shared" si="15"/>
        <v>0</v>
      </c>
      <c r="AF40" s="422"/>
      <c r="AG40" s="566"/>
    </row>
    <row r="41" spans="1:33" x14ac:dyDescent="0.35">
      <c r="A41" s="523" t="s">
        <v>32</v>
      </c>
      <c r="B41" s="524">
        <f t="shared" ref="B41:E42" si="16">B37</f>
        <v>8697.2000000000007</v>
      </c>
      <c r="C41" s="524">
        <f t="shared" si="16"/>
        <v>3601.8</v>
      </c>
      <c r="D41" s="524">
        <f t="shared" si="16"/>
        <v>3549.4434000000001</v>
      </c>
      <c r="E41" s="524">
        <f t="shared" si="16"/>
        <v>797.83312999999998</v>
      </c>
      <c r="F41" s="562">
        <f>E41/B41</f>
        <v>9.1734481212344191E-2</v>
      </c>
      <c r="G41" s="562">
        <f>E41/C41</f>
        <v>0.2215095591093342</v>
      </c>
      <c r="H41" s="526">
        <f>H37</f>
        <v>15</v>
      </c>
      <c r="I41" s="526">
        <f t="shared" ref="I41:AE41" si="17">I37</f>
        <v>0</v>
      </c>
      <c r="J41" s="526">
        <f t="shared" si="17"/>
        <v>276.39999999999998</v>
      </c>
      <c r="K41" s="526">
        <f t="shared" si="17"/>
        <v>270.55313000000001</v>
      </c>
      <c r="L41" s="526">
        <f t="shared" si="17"/>
        <v>265.10000000000002</v>
      </c>
      <c r="M41" s="526">
        <f t="shared" si="17"/>
        <v>259.33</v>
      </c>
      <c r="N41" s="526">
        <f t="shared" si="17"/>
        <v>265.10000000000002</v>
      </c>
      <c r="O41" s="526">
        <f t="shared" si="17"/>
        <v>267.95</v>
      </c>
      <c r="P41" s="526">
        <f t="shared" si="17"/>
        <v>265.10000000000002</v>
      </c>
      <c r="Q41" s="526">
        <f t="shared" si="17"/>
        <v>0</v>
      </c>
      <c r="R41" s="526">
        <f t="shared" si="17"/>
        <v>2515.1</v>
      </c>
      <c r="S41" s="526">
        <f t="shared" si="17"/>
        <v>0</v>
      </c>
      <c r="T41" s="526">
        <f t="shared" si="17"/>
        <v>2115.1</v>
      </c>
      <c r="U41" s="526">
        <f t="shared" si="17"/>
        <v>0</v>
      </c>
      <c r="V41" s="526">
        <f t="shared" si="17"/>
        <v>2057</v>
      </c>
      <c r="W41" s="526">
        <f t="shared" si="17"/>
        <v>0</v>
      </c>
      <c r="X41" s="526">
        <f t="shared" si="17"/>
        <v>223.7</v>
      </c>
      <c r="Y41" s="526">
        <f t="shared" si="17"/>
        <v>0</v>
      </c>
      <c r="Z41" s="526">
        <f t="shared" si="17"/>
        <v>266.10000000000002</v>
      </c>
      <c r="AA41" s="526">
        <f t="shared" si="17"/>
        <v>0</v>
      </c>
      <c r="AB41" s="526">
        <f t="shared" si="17"/>
        <v>265.39999999999998</v>
      </c>
      <c r="AC41" s="526">
        <f t="shared" si="17"/>
        <v>0</v>
      </c>
      <c r="AD41" s="526">
        <f t="shared" si="17"/>
        <v>168.1</v>
      </c>
      <c r="AE41" s="526">
        <f t="shared" si="17"/>
        <v>0</v>
      </c>
      <c r="AF41" s="422"/>
      <c r="AG41" s="564"/>
    </row>
    <row r="42" spans="1:33" x14ac:dyDescent="0.35">
      <c r="A42" s="523" t="s">
        <v>33</v>
      </c>
      <c r="B42" s="524">
        <f t="shared" si="16"/>
        <v>20603.300000000003</v>
      </c>
      <c r="C42" s="524">
        <f t="shared" si="16"/>
        <v>11043.24092</v>
      </c>
      <c r="D42" s="524">
        <f t="shared" si="16"/>
        <v>10760.36592</v>
      </c>
      <c r="E42" s="524">
        <f t="shared" si="16"/>
        <v>1545.1580000000001</v>
      </c>
      <c r="F42" s="562">
        <f>E42/B42</f>
        <v>7.4995656035683603E-2</v>
      </c>
      <c r="G42" s="562">
        <f>E42/C42</f>
        <v>0.13991888895601493</v>
      </c>
      <c r="H42" s="526">
        <f>H38</f>
        <v>31.614999999999998</v>
      </c>
      <c r="I42" s="526">
        <f t="shared" ref="I42:AE42" si="18">I38</f>
        <v>13</v>
      </c>
      <c r="J42" s="526">
        <f t="shared" si="18"/>
        <v>929.40485999999999</v>
      </c>
      <c r="K42" s="526">
        <f t="shared" si="18"/>
        <v>543.86300000000006</v>
      </c>
      <c r="L42" s="526">
        <f t="shared" si="18"/>
        <v>474.63929000000002</v>
      </c>
      <c r="M42" s="526">
        <f t="shared" si="18"/>
        <v>482.85500000000002</v>
      </c>
      <c r="N42" s="526">
        <f t="shared" si="18"/>
        <v>1038.8108099999999</v>
      </c>
      <c r="O42" s="526">
        <f t="shared" si="18"/>
        <v>505.44</v>
      </c>
      <c r="P42" s="526">
        <f t="shared" si="18"/>
        <v>498.51928999999996</v>
      </c>
      <c r="Q42" s="526">
        <f t="shared" si="18"/>
        <v>0</v>
      </c>
      <c r="R42" s="526">
        <f t="shared" si="18"/>
        <v>8070.2516700000006</v>
      </c>
      <c r="S42" s="526">
        <f t="shared" si="18"/>
        <v>0</v>
      </c>
      <c r="T42" s="526">
        <f t="shared" si="18"/>
        <v>5283.1526700000004</v>
      </c>
      <c r="U42" s="526">
        <f t="shared" si="18"/>
        <v>0</v>
      </c>
      <c r="V42" s="526">
        <f t="shared" si="18"/>
        <v>2776.71857</v>
      </c>
      <c r="W42" s="526">
        <f t="shared" si="18"/>
        <v>0</v>
      </c>
      <c r="X42" s="526">
        <f t="shared" si="18"/>
        <v>422.83929000000001</v>
      </c>
      <c r="Y42" s="526">
        <f t="shared" si="18"/>
        <v>0</v>
      </c>
      <c r="Z42" s="526">
        <f t="shared" si="18"/>
        <v>441.01429000000002</v>
      </c>
      <c r="AA42" s="526">
        <f t="shared" si="18"/>
        <v>0</v>
      </c>
      <c r="AB42" s="526">
        <f t="shared" si="18"/>
        <v>461.21426000000002</v>
      </c>
      <c r="AC42" s="526">
        <f t="shared" si="18"/>
        <v>0</v>
      </c>
      <c r="AD42" s="526">
        <f t="shared" si="18"/>
        <v>175.12</v>
      </c>
      <c r="AE42" s="526">
        <f t="shared" si="18"/>
        <v>0</v>
      </c>
      <c r="AF42" s="422"/>
      <c r="AG42" s="564"/>
    </row>
    <row r="43" spans="1:33" ht="57" x14ac:dyDescent="0.35">
      <c r="A43" s="541" t="s">
        <v>37</v>
      </c>
      <c r="B43" s="542"/>
      <c r="C43" s="542"/>
      <c r="D43" s="542"/>
      <c r="E43" s="542"/>
      <c r="F43" s="542"/>
      <c r="G43" s="542"/>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422"/>
    </row>
    <row r="44" spans="1:33" x14ac:dyDescent="0.35">
      <c r="A44" s="523" t="s">
        <v>54</v>
      </c>
      <c r="B44" s="525"/>
      <c r="C44" s="525"/>
      <c r="D44" s="525"/>
      <c r="E44" s="525"/>
      <c r="F44" s="525"/>
      <c r="G44" s="525"/>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422"/>
    </row>
    <row r="45" spans="1:33" x14ac:dyDescent="0.35">
      <c r="A45" s="408" t="s">
        <v>34</v>
      </c>
      <c r="B45" s="530"/>
      <c r="C45" s="530"/>
      <c r="D45" s="530"/>
      <c r="E45" s="530"/>
      <c r="F45" s="530"/>
      <c r="G45" s="530"/>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c r="AF45" s="422"/>
    </row>
    <row r="46" spans="1:33" ht="259.5" customHeight="1" x14ac:dyDescent="0.35">
      <c r="A46" s="571" t="s">
        <v>38</v>
      </c>
      <c r="B46" s="554"/>
      <c r="C46" s="554"/>
      <c r="D46" s="555"/>
      <c r="E46" s="555"/>
      <c r="F46" s="555"/>
      <c r="G46" s="555"/>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67" t="s">
        <v>542</v>
      </c>
    </row>
    <row r="47" spans="1:33" x14ac:dyDescent="0.35">
      <c r="A47" s="552" t="s">
        <v>31</v>
      </c>
      <c r="B47" s="550">
        <f>B48</f>
        <v>4058.1040000000003</v>
      </c>
      <c r="C47" s="550">
        <f>C48</f>
        <v>2212.2193000000002</v>
      </c>
      <c r="D47" s="550">
        <f>D48</f>
        <v>1924.4999700000001</v>
      </c>
      <c r="E47" s="550">
        <f>E48</f>
        <v>1924.4966899999999</v>
      </c>
      <c r="F47" s="561">
        <f>E47/B47</f>
        <v>0.47423542866323776</v>
      </c>
      <c r="G47" s="561">
        <f>E47/C47</f>
        <v>0.86993938168788232</v>
      </c>
      <c r="H47" s="551">
        <f t="shared" ref="H47:AE47" si="19">H48</f>
        <v>538.10130000000004</v>
      </c>
      <c r="I47" s="551">
        <f t="shared" si="19"/>
        <v>256.75177000000002</v>
      </c>
      <c r="J47" s="551">
        <f t="shared" si="19"/>
        <v>315.94600000000003</v>
      </c>
      <c r="K47" s="551">
        <f t="shared" si="19"/>
        <v>375.87491999999997</v>
      </c>
      <c r="L47" s="551">
        <f t="shared" si="19"/>
        <v>252.583</v>
      </c>
      <c r="M47" s="551">
        <f t="shared" si="19"/>
        <v>221.87</v>
      </c>
      <c r="N47" s="551">
        <f t="shared" si="19"/>
        <v>544.68899999999996</v>
      </c>
      <c r="O47" s="551">
        <f t="shared" si="19"/>
        <v>293.39999999999998</v>
      </c>
      <c r="P47" s="551">
        <f t="shared" si="19"/>
        <v>304.93</v>
      </c>
      <c r="Q47" s="551">
        <f t="shared" si="19"/>
        <v>488.02</v>
      </c>
      <c r="R47" s="551">
        <f t="shared" si="19"/>
        <v>255.97</v>
      </c>
      <c r="S47" s="551">
        <f t="shared" si="19"/>
        <v>288.58</v>
      </c>
      <c r="T47" s="551">
        <f t="shared" si="19"/>
        <v>387.39</v>
      </c>
      <c r="U47" s="551">
        <f t="shared" si="19"/>
        <v>0</v>
      </c>
      <c r="V47" s="551">
        <f t="shared" si="19"/>
        <v>287.51600000000002</v>
      </c>
      <c r="W47" s="551">
        <f t="shared" si="19"/>
        <v>0</v>
      </c>
      <c r="X47" s="551">
        <f t="shared" si="19"/>
        <v>252.57300000000001</v>
      </c>
      <c r="Y47" s="551">
        <f t="shared" si="19"/>
        <v>0</v>
      </c>
      <c r="Z47" s="551">
        <f t="shared" si="19"/>
        <v>380.38</v>
      </c>
      <c r="AA47" s="551">
        <f t="shared" si="19"/>
        <v>0</v>
      </c>
      <c r="AB47" s="551">
        <f t="shared" si="19"/>
        <v>287.56560000000002</v>
      </c>
      <c r="AC47" s="551">
        <f t="shared" si="19"/>
        <v>0</v>
      </c>
      <c r="AD47" s="551">
        <f t="shared" si="19"/>
        <v>250.46010000000001</v>
      </c>
      <c r="AE47" s="551">
        <f t="shared" si="19"/>
        <v>0</v>
      </c>
      <c r="AF47" s="422"/>
      <c r="AG47" s="566">
        <f t="shared" ref="AG47:AG55" si="20">C47-E47</f>
        <v>287.72261000000026</v>
      </c>
    </row>
    <row r="48" spans="1:33" x14ac:dyDescent="0.35">
      <c r="A48" s="405" t="s">
        <v>32</v>
      </c>
      <c r="B48" s="524">
        <f>H48+J48+L48+N48+P48+R48+T48+V48+X48+Z48+AB48+AD48</f>
        <v>4058.1040000000003</v>
      </c>
      <c r="C48" s="403">
        <f>H48+J48+L48+N48+P48+R48</f>
        <v>2212.2193000000002</v>
      </c>
      <c r="D48" s="403">
        <v>1924.4999700000001</v>
      </c>
      <c r="E48" s="524">
        <f>I48+K48+M48+O48+Q48+S48+U48+W48+Y48+AA48+AC48+AE48</f>
        <v>1924.4966899999999</v>
      </c>
      <c r="F48" s="562">
        <f>E48/B48</f>
        <v>0.47423542866323776</v>
      </c>
      <c r="G48" s="562">
        <f>E48/C48</f>
        <v>0.86993938168788232</v>
      </c>
      <c r="H48" s="418">
        <v>538.10130000000004</v>
      </c>
      <c r="I48" s="418">
        <v>256.75177000000002</v>
      </c>
      <c r="J48" s="418">
        <v>315.94600000000003</v>
      </c>
      <c r="K48" s="418">
        <v>375.87491999999997</v>
      </c>
      <c r="L48" s="418">
        <v>252.583</v>
      </c>
      <c r="M48" s="418">
        <v>221.87</v>
      </c>
      <c r="N48" s="418">
        <v>544.68899999999996</v>
      </c>
      <c r="O48" s="418">
        <v>293.39999999999998</v>
      </c>
      <c r="P48" s="418">
        <v>304.93</v>
      </c>
      <c r="Q48" s="418">
        <v>488.02</v>
      </c>
      <c r="R48" s="418">
        <v>255.97</v>
      </c>
      <c r="S48" s="418">
        <v>288.58</v>
      </c>
      <c r="T48" s="418">
        <v>387.39</v>
      </c>
      <c r="U48" s="418"/>
      <c r="V48" s="418">
        <v>287.51600000000002</v>
      </c>
      <c r="W48" s="418"/>
      <c r="X48" s="418">
        <v>252.57300000000001</v>
      </c>
      <c r="Y48" s="418"/>
      <c r="Z48" s="418">
        <v>380.38</v>
      </c>
      <c r="AA48" s="418"/>
      <c r="AB48" s="418">
        <v>287.56560000000002</v>
      </c>
      <c r="AC48" s="418"/>
      <c r="AD48" s="418">
        <v>250.46010000000001</v>
      </c>
      <c r="AE48" s="418"/>
      <c r="AF48" s="422"/>
      <c r="AG48" s="564">
        <f t="shared" si="20"/>
        <v>287.72261000000026</v>
      </c>
    </row>
    <row r="49" spans="1:33" ht="112.5" x14ac:dyDescent="0.35">
      <c r="A49" s="571" t="s">
        <v>39</v>
      </c>
      <c r="B49" s="554"/>
      <c r="C49" s="554"/>
      <c r="D49" s="554"/>
      <c r="E49" s="554"/>
      <c r="F49" s="555"/>
      <c r="G49" s="555"/>
      <c r="H49" s="557"/>
      <c r="I49" s="557"/>
      <c r="J49" s="557"/>
      <c r="K49" s="557"/>
      <c r="L49" s="557"/>
      <c r="M49" s="557"/>
      <c r="N49" s="557"/>
      <c r="O49" s="557"/>
      <c r="P49" s="557"/>
      <c r="Q49" s="557"/>
      <c r="R49" s="557"/>
      <c r="S49" s="557"/>
      <c r="T49" s="557"/>
      <c r="U49" s="557"/>
      <c r="V49" s="557"/>
      <c r="W49" s="557"/>
      <c r="X49" s="557"/>
      <c r="Y49" s="557"/>
      <c r="Z49" s="557"/>
      <c r="AA49" s="557"/>
      <c r="AB49" s="557"/>
      <c r="AC49" s="557"/>
      <c r="AD49" s="557"/>
      <c r="AE49" s="557"/>
      <c r="AF49" s="422"/>
    </row>
    <row r="50" spans="1:33" x14ac:dyDescent="0.35">
      <c r="A50" s="552" t="s">
        <v>31</v>
      </c>
      <c r="B50" s="550">
        <f>B51</f>
        <v>22</v>
      </c>
      <c r="C50" s="550">
        <f>C51</f>
        <v>22</v>
      </c>
      <c r="D50" s="550">
        <f>D51</f>
        <v>0</v>
      </c>
      <c r="E50" s="550">
        <f>E51</f>
        <v>0</v>
      </c>
      <c r="F50" s="561">
        <f>E50/B50</f>
        <v>0</v>
      </c>
      <c r="G50" s="561">
        <f>E50/C50</f>
        <v>0</v>
      </c>
      <c r="H50" s="551">
        <f>H51</f>
        <v>0</v>
      </c>
      <c r="I50" s="551">
        <f t="shared" ref="I50:AE50" si="21">I51</f>
        <v>0</v>
      </c>
      <c r="J50" s="551">
        <f t="shared" si="21"/>
        <v>0</v>
      </c>
      <c r="K50" s="551">
        <f t="shared" si="21"/>
        <v>0</v>
      </c>
      <c r="L50" s="551">
        <f t="shared" si="21"/>
        <v>0</v>
      </c>
      <c r="M50" s="551">
        <f t="shared" si="21"/>
        <v>0</v>
      </c>
      <c r="N50" s="551">
        <f t="shared" si="21"/>
        <v>22</v>
      </c>
      <c r="O50" s="551">
        <f t="shared" si="21"/>
        <v>0</v>
      </c>
      <c r="P50" s="551">
        <f t="shared" si="21"/>
        <v>0</v>
      </c>
      <c r="Q50" s="551">
        <f t="shared" si="21"/>
        <v>0</v>
      </c>
      <c r="R50" s="551">
        <f t="shared" si="21"/>
        <v>0</v>
      </c>
      <c r="S50" s="551">
        <f t="shared" si="21"/>
        <v>0</v>
      </c>
      <c r="T50" s="551">
        <f t="shared" si="21"/>
        <v>0</v>
      </c>
      <c r="U50" s="551">
        <f t="shared" si="21"/>
        <v>0</v>
      </c>
      <c r="V50" s="551">
        <f t="shared" si="21"/>
        <v>0</v>
      </c>
      <c r="W50" s="551">
        <f t="shared" si="21"/>
        <v>0</v>
      </c>
      <c r="X50" s="551">
        <f t="shared" si="21"/>
        <v>0</v>
      </c>
      <c r="Y50" s="551">
        <f t="shared" si="21"/>
        <v>0</v>
      </c>
      <c r="Z50" s="551">
        <f t="shared" si="21"/>
        <v>0</v>
      </c>
      <c r="AA50" s="551">
        <f t="shared" si="21"/>
        <v>0</v>
      </c>
      <c r="AB50" s="551">
        <f t="shared" si="21"/>
        <v>0</v>
      </c>
      <c r="AC50" s="551">
        <f t="shared" si="21"/>
        <v>0</v>
      </c>
      <c r="AD50" s="551">
        <f t="shared" si="21"/>
        <v>0</v>
      </c>
      <c r="AE50" s="526">
        <f t="shared" si="21"/>
        <v>0</v>
      </c>
      <c r="AF50" s="422"/>
      <c r="AG50" s="564">
        <f t="shared" si="20"/>
        <v>22</v>
      </c>
    </row>
    <row r="51" spans="1:33" x14ac:dyDescent="0.35">
      <c r="A51" s="405" t="s">
        <v>33</v>
      </c>
      <c r="B51" s="524">
        <f>H51+J51+L51+N51+P51+R51+T51+V51+X51+Z51+AB51+AD51</f>
        <v>22</v>
      </c>
      <c r="C51" s="403">
        <f>H51+J51+L51+N51</f>
        <v>22</v>
      </c>
      <c r="D51" s="403"/>
      <c r="E51" s="524">
        <f>I51+K51+M51+O51+Q51+S51+U51+W51+Y51+AA51+AC51+AE51</f>
        <v>0</v>
      </c>
      <c r="F51" s="562">
        <f>E51/B51</f>
        <v>0</v>
      </c>
      <c r="G51" s="562">
        <f>E51/C51</f>
        <v>0</v>
      </c>
      <c r="H51" s="418"/>
      <c r="I51" s="418"/>
      <c r="J51" s="418"/>
      <c r="K51" s="418"/>
      <c r="L51" s="418"/>
      <c r="M51" s="418"/>
      <c r="N51" s="418">
        <v>22</v>
      </c>
      <c r="O51" s="418">
        <v>0</v>
      </c>
      <c r="P51" s="418"/>
      <c r="Q51" s="418"/>
      <c r="R51" s="418"/>
      <c r="S51" s="418"/>
      <c r="T51" s="418"/>
      <c r="U51" s="418"/>
      <c r="V51" s="418"/>
      <c r="W51" s="418"/>
      <c r="X51" s="418"/>
      <c r="Y51" s="418"/>
      <c r="Z51" s="418"/>
      <c r="AA51" s="418"/>
      <c r="AB51" s="418"/>
      <c r="AC51" s="418"/>
      <c r="AD51" s="418"/>
      <c r="AE51" s="418"/>
      <c r="AF51" s="422"/>
      <c r="AG51" s="564">
        <f t="shared" si="20"/>
        <v>22</v>
      </c>
    </row>
    <row r="52" spans="1:33" x14ac:dyDescent="0.35">
      <c r="A52" s="406" t="s">
        <v>35</v>
      </c>
      <c r="B52" s="531"/>
      <c r="C52" s="531"/>
      <c r="D52" s="531"/>
      <c r="E52" s="531"/>
      <c r="F52" s="532"/>
      <c r="G52" s="532"/>
      <c r="H52" s="533"/>
      <c r="I52" s="533"/>
      <c r="J52" s="533"/>
      <c r="K52" s="533"/>
      <c r="L52" s="533"/>
      <c r="M52" s="533"/>
      <c r="N52" s="533"/>
      <c r="O52" s="533"/>
      <c r="P52" s="533"/>
      <c r="Q52" s="533"/>
      <c r="R52" s="533"/>
      <c r="S52" s="533"/>
      <c r="T52" s="533"/>
      <c r="U52" s="533"/>
      <c r="V52" s="533"/>
      <c r="W52" s="533"/>
      <c r="X52" s="533"/>
      <c r="Y52" s="533"/>
      <c r="Z52" s="533"/>
      <c r="AA52" s="533"/>
      <c r="AB52" s="533"/>
      <c r="AC52" s="533"/>
      <c r="AD52" s="533"/>
      <c r="AE52" s="533"/>
      <c r="AF52" s="422"/>
    </row>
    <row r="53" spans="1:33" x14ac:dyDescent="0.35">
      <c r="A53" s="552" t="s">
        <v>31</v>
      </c>
      <c r="B53" s="550">
        <f>B54+B55</f>
        <v>4080.1040000000003</v>
      </c>
      <c r="C53" s="550">
        <f>C54+C55</f>
        <v>2234.2193000000002</v>
      </c>
      <c r="D53" s="550">
        <f>D54+D55</f>
        <v>1924.4999700000001</v>
      </c>
      <c r="E53" s="550">
        <f>E54+E55</f>
        <v>1924.4966899999999</v>
      </c>
      <c r="F53" s="561">
        <f>E53/B53</f>
        <v>0.4716783420226543</v>
      </c>
      <c r="G53" s="561">
        <f>E53/C53</f>
        <v>0.86137322777580505</v>
      </c>
      <c r="H53" s="551">
        <f t="shared" ref="H53:AE53" si="22">H54+H55</f>
        <v>538.10130000000004</v>
      </c>
      <c r="I53" s="551">
        <f t="shared" si="22"/>
        <v>256.75177000000002</v>
      </c>
      <c r="J53" s="551">
        <f t="shared" si="22"/>
        <v>315.94600000000003</v>
      </c>
      <c r="K53" s="551">
        <f t="shared" si="22"/>
        <v>375.87491999999997</v>
      </c>
      <c r="L53" s="551">
        <f t="shared" si="22"/>
        <v>252.583</v>
      </c>
      <c r="M53" s="551">
        <f t="shared" si="22"/>
        <v>221.87</v>
      </c>
      <c r="N53" s="551">
        <f t="shared" si="22"/>
        <v>566.68899999999996</v>
      </c>
      <c r="O53" s="551">
        <f t="shared" si="22"/>
        <v>293.39999999999998</v>
      </c>
      <c r="P53" s="551">
        <f t="shared" si="22"/>
        <v>304.93</v>
      </c>
      <c r="Q53" s="551">
        <f t="shared" si="22"/>
        <v>488.02</v>
      </c>
      <c r="R53" s="551">
        <f t="shared" si="22"/>
        <v>255.97</v>
      </c>
      <c r="S53" s="551">
        <f t="shared" si="22"/>
        <v>288.58</v>
      </c>
      <c r="T53" s="551">
        <f t="shared" si="22"/>
        <v>387.39</v>
      </c>
      <c r="U53" s="551">
        <f t="shared" si="22"/>
        <v>0</v>
      </c>
      <c r="V53" s="551">
        <f t="shared" si="22"/>
        <v>287.51600000000002</v>
      </c>
      <c r="W53" s="551">
        <f t="shared" si="22"/>
        <v>0</v>
      </c>
      <c r="X53" s="551">
        <f t="shared" si="22"/>
        <v>252.57300000000001</v>
      </c>
      <c r="Y53" s="551">
        <f t="shared" si="22"/>
        <v>0</v>
      </c>
      <c r="Z53" s="551">
        <f t="shared" si="22"/>
        <v>380.38</v>
      </c>
      <c r="AA53" s="551">
        <f t="shared" si="22"/>
        <v>0</v>
      </c>
      <c r="AB53" s="551">
        <f t="shared" si="22"/>
        <v>287.56560000000002</v>
      </c>
      <c r="AC53" s="551">
        <f t="shared" si="22"/>
        <v>0</v>
      </c>
      <c r="AD53" s="551">
        <f t="shared" si="22"/>
        <v>250.46010000000001</v>
      </c>
      <c r="AE53" s="551">
        <f t="shared" si="22"/>
        <v>0</v>
      </c>
      <c r="AF53" s="422"/>
      <c r="AG53" s="566">
        <f t="shared" si="20"/>
        <v>309.72261000000026</v>
      </c>
    </row>
    <row r="54" spans="1:33" x14ac:dyDescent="0.35">
      <c r="A54" s="523" t="s">
        <v>32</v>
      </c>
      <c r="B54" s="524">
        <f>B48</f>
        <v>4058.1040000000003</v>
      </c>
      <c r="C54" s="524">
        <f>C48</f>
        <v>2212.2193000000002</v>
      </c>
      <c r="D54" s="524">
        <f>D48</f>
        <v>1924.4999700000001</v>
      </c>
      <c r="E54" s="524">
        <f>E48</f>
        <v>1924.4966899999999</v>
      </c>
      <c r="F54" s="562">
        <f>E54/B54</f>
        <v>0.47423542866323776</v>
      </c>
      <c r="G54" s="562">
        <f>E54/C54</f>
        <v>0.86993938168788232</v>
      </c>
      <c r="H54" s="526">
        <f>H48</f>
        <v>538.10130000000004</v>
      </c>
      <c r="I54" s="526">
        <f>I48</f>
        <v>256.75177000000002</v>
      </c>
      <c r="J54" s="526">
        <f>J48</f>
        <v>315.94600000000003</v>
      </c>
      <c r="K54" s="526">
        <f>K48</f>
        <v>375.87491999999997</v>
      </c>
      <c r="L54" s="526">
        <f t="shared" ref="L54:AE54" si="23">L48</f>
        <v>252.583</v>
      </c>
      <c r="M54" s="526">
        <f t="shared" si="23"/>
        <v>221.87</v>
      </c>
      <c r="N54" s="526">
        <f t="shared" si="23"/>
        <v>544.68899999999996</v>
      </c>
      <c r="O54" s="526">
        <f t="shared" si="23"/>
        <v>293.39999999999998</v>
      </c>
      <c r="P54" s="526">
        <f t="shared" si="23"/>
        <v>304.93</v>
      </c>
      <c r="Q54" s="526">
        <f t="shared" si="23"/>
        <v>488.02</v>
      </c>
      <c r="R54" s="526">
        <f t="shared" si="23"/>
        <v>255.97</v>
      </c>
      <c r="S54" s="526">
        <f t="shared" si="23"/>
        <v>288.58</v>
      </c>
      <c r="T54" s="526">
        <f t="shared" si="23"/>
        <v>387.39</v>
      </c>
      <c r="U54" s="526">
        <f t="shared" si="23"/>
        <v>0</v>
      </c>
      <c r="V54" s="526">
        <f t="shared" si="23"/>
        <v>287.51600000000002</v>
      </c>
      <c r="W54" s="526">
        <f t="shared" si="23"/>
        <v>0</v>
      </c>
      <c r="X54" s="526">
        <f t="shared" si="23"/>
        <v>252.57300000000001</v>
      </c>
      <c r="Y54" s="526">
        <f t="shared" si="23"/>
        <v>0</v>
      </c>
      <c r="Z54" s="526">
        <f t="shared" si="23"/>
        <v>380.38</v>
      </c>
      <c r="AA54" s="526">
        <f t="shared" si="23"/>
        <v>0</v>
      </c>
      <c r="AB54" s="526">
        <f t="shared" si="23"/>
        <v>287.56560000000002</v>
      </c>
      <c r="AC54" s="526">
        <f t="shared" si="23"/>
        <v>0</v>
      </c>
      <c r="AD54" s="526">
        <f t="shared" si="23"/>
        <v>250.46010000000001</v>
      </c>
      <c r="AE54" s="526">
        <f t="shared" si="23"/>
        <v>0</v>
      </c>
      <c r="AF54" s="422"/>
      <c r="AG54" s="564">
        <f t="shared" si="20"/>
        <v>287.72261000000026</v>
      </c>
    </row>
    <row r="55" spans="1:33" x14ac:dyDescent="0.35">
      <c r="A55" s="523" t="s">
        <v>33</v>
      </c>
      <c r="B55" s="524">
        <f>B51</f>
        <v>22</v>
      </c>
      <c r="C55" s="524">
        <f>C51</f>
        <v>22</v>
      </c>
      <c r="D55" s="524">
        <f>D51</f>
        <v>0</v>
      </c>
      <c r="E55" s="524">
        <f>E51</f>
        <v>0</v>
      </c>
      <c r="F55" s="562">
        <f>E55/B55</f>
        <v>0</v>
      </c>
      <c r="G55" s="562">
        <f>E55/C55</f>
        <v>0</v>
      </c>
      <c r="H55" s="526">
        <f>H51</f>
        <v>0</v>
      </c>
      <c r="I55" s="526">
        <f>I51</f>
        <v>0</v>
      </c>
      <c r="J55" s="526">
        <f>J51</f>
        <v>0</v>
      </c>
      <c r="K55" s="526">
        <f>K51</f>
        <v>0</v>
      </c>
      <c r="L55" s="526">
        <f t="shared" ref="L55:AE55" si="24">L51</f>
        <v>0</v>
      </c>
      <c r="M55" s="526">
        <f t="shared" si="24"/>
        <v>0</v>
      </c>
      <c r="N55" s="526">
        <f t="shared" si="24"/>
        <v>22</v>
      </c>
      <c r="O55" s="526">
        <f t="shared" si="24"/>
        <v>0</v>
      </c>
      <c r="P55" s="526">
        <f t="shared" si="24"/>
        <v>0</v>
      </c>
      <c r="Q55" s="526">
        <f t="shared" si="24"/>
        <v>0</v>
      </c>
      <c r="R55" s="526">
        <f t="shared" si="24"/>
        <v>0</v>
      </c>
      <c r="S55" s="526">
        <f t="shared" si="24"/>
        <v>0</v>
      </c>
      <c r="T55" s="526">
        <f t="shared" si="24"/>
        <v>0</v>
      </c>
      <c r="U55" s="526">
        <f t="shared" si="24"/>
        <v>0</v>
      </c>
      <c r="V55" s="526">
        <f t="shared" si="24"/>
        <v>0</v>
      </c>
      <c r="W55" s="526">
        <f t="shared" si="24"/>
        <v>0</v>
      </c>
      <c r="X55" s="526">
        <f t="shared" si="24"/>
        <v>0</v>
      </c>
      <c r="Y55" s="526">
        <f t="shared" si="24"/>
        <v>0</v>
      </c>
      <c r="Z55" s="526">
        <f t="shared" si="24"/>
        <v>0</v>
      </c>
      <c r="AA55" s="526">
        <f t="shared" si="24"/>
        <v>0</v>
      </c>
      <c r="AB55" s="526">
        <f t="shared" si="24"/>
        <v>0</v>
      </c>
      <c r="AC55" s="526">
        <f t="shared" si="24"/>
        <v>0</v>
      </c>
      <c r="AD55" s="526">
        <f t="shared" si="24"/>
        <v>0</v>
      </c>
      <c r="AE55" s="526">
        <f t="shared" si="24"/>
        <v>0</v>
      </c>
      <c r="AF55" s="422"/>
      <c r="AG55" s="564">
        <f t="shared" si="20"/>
        <v>22</v>
      </c>
    </row>
    <row r="56" spans="1:33" ht="38.25" x14ac:dyDescent="0.35">
      <c r="A56" s="523" t="s">
        <v>73</v>
      </c>
      <c r="B56" s="524"/>
      <c r="C56" s="524"/>
      <c r="D56" s="524"/>
      <c r="E56" s="524"/>
      <c r="F56" s="524"/>
      <c r="G56" s="524"/>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422"/>
    </row>
    <row r="57" spans="1:33" x14ac:dyDescent="0.35">
      <c r="A57" s="552" t="s">
        <v>31</v>
      </c>
      <c r="B57" s="550">
        <f>B58+B59</f>
        <v>4080.1040000000003</v>
      </c>
      <c r="C57" s="550">
        <f>C58+C59</f>
        <v>2234.2193000000002</v>
      </c>
      <c r="D57" s="550">
        <f>D58+D59</f>
        <v>1924.4999700000001</v>
      </c>
      <c r="E57" s="550">
        <f>E58+E59</f>
        <v>1924.4966899999999</v>
      </c>
      <c r="F57" s="561">
        <f>E57/B57</f>
        <v>0.4716783420226543</v>
      </c>
      <c r="G57" s="561">
        <f>E57/C57</f>
        <v>0.86137322777580505</v>
      </c>
      <c r="H57" s="551">
        <f>H58+H59</f>
        <v>538.10130000000004</v>
      </c>
      <c r="I57" s="551">
        <f t="shared" ref="I57:AE57" si="25">I58+I59</f>
        <v>256.75177000000002</v>
      </c>
      <c r="J57" s="551">
        <f t="shared" si="25"/>
        <v>315.94600000000003</v>
      </c>
      <c r="K57" s="551">
        <f t="shared" si="25"/>
        <v>375.87491999999997</v>
      </c>
      <c r="L57" s="551">
        <f t="shared" si="25"/>
        <v>252.583</v>
      </c>
      <c r="M57" s="551">
        <f t="shared" si="25"/>
        <v>221.87</v>
      </c>
      <c r="N57" s="551">
        <f t="shared" si="25"/>
        <v>566.68899999999996</v>
      </c>
      <c r="O57" s="551">
        <f t="shared" si="25"/>
        <v>293.39999999999998</v>
      </c>
      <c r="P57" s="551">
        <f t="shared" si="25"/>
        <v>304.93</v>
      </c>
      <c r="Q57" s="551">
        <f t="shared" si="25"/>
        <v>488.02</v>
      </c>
      <c r="R57" s="551">
        <f t="shared" si="25"/>
        <v>255.97</v>
      </c>
      <c r="S57" s="551">
        <f t="shared" si="25"/>
        <v>288.58</v>
      </c>
      <c r="T57" s="551">
        <f t="shared" si="25"/>
        <v>387.39</v>
      </c>
      <c r="U57" s="551">
        <f t="shared" si="25"/>
        <v>0</v>
      </c>
      <c r="V57" s="551">
        <f t="shared" si="25"/>
        <v>287.51600000000002</v>
      </c>
      <c r="W57" s="551">
        <f t="shared" si="25"/>
        <v>0</v>
      </c>
      <c r="X57" s="551">
        <f t="shared" si="25"/>
        <v>252.57300000000001</v>
      </c>
      <c r="Y57" s="551">
        <f t="shared" si="25"/>
        <v>0</v>
      </c>
      <c r="Z57" s="551">
        <f t="shared" si="25"/>
        <v>380.38</v>
      </c>
      <c r="AA57" s="551">
        <f t="shared" si="25"/>
        <v>0</v>
      </c>
      <c r="AB57" s="551">
        <f t="shared" si="25"/>
        <v>287.56560000000002</v>
      </c>
      <c r="AC57" s="551">
        <f t="shared" si="25"/>
        <v>0</v>
      </c>
      <c r="AD57" s="551">
        <f t="shared" si="25"/>
        <v>250.46010000000001</v>
      </c>
      <c r="AE57" s="551">
        <f t="shared" si="25"/>
        <v>0</v>
      </c>
      <c r="AF57" s="422"/>
    </row>
    <row r="58" spans="1:33" x14ac:dyDescent="0.35">
      <c r="A58" s="523" t="s">
        <v>32</v>
      </c>
      <c r="B58" s="524">
        <f t="shared" ref="B58:E59" si="26">B54</f>
        <v>4058.1040000000003</v>
      </c>
      <c r="C58" s="524">
        <f t="shared" si="26"/>
        <v>2212.2193000000002</v>
      </c>
      <c r="D58" s="524">
        <f t="shared" si="26"/>
        <v>1924.4999700000001</v>
      </c>
      <c r="E58" s="524">
        <f t="shared" si="26"/>
        <v>1924.4966899999999</v>
      </c>
      <c r="F58" s="562">
        <f>E58/B58</f>
        <v>0.47423542866323776</v>
      </c>
      <c r="G58" s="562">
        <f>E58/C58</f>
        <v>0.86993938168788232</v>
      </c>
      <c r="H58" s="526">
        <f>H54</f>
        <v>538.10130000000004</v>
      </c>
      <c r="I58" s="526">
        <f t="shared" ref="I58:AE58" si="27">I54</f>
        <v>256.75177000000002</v>
      </c>
      <c r="J58" s="526">
        <f t="shared" si="27"/>
        <v>315.94600000000003</v>
      </c>
      <c r="K58" s="526">
        <f t="shared" si="27"/>
        <v>375.87491999999997</v>
      </c>
      <c r="L58" s="526">
        <f t="shared" si="27"/>
        <v>252.583</v>
      </c>
      <c r="M58" s="526">
        <f t="shared" si="27"/>
        <v>221.87</v>
      </c>
      <c r="N58" s="526">
        <f t="shared" si="27"/>
        <v>544.68899999999996</v>
      </c>
      <c r="O58" s="526">
        <f t="shared" si="27"/>
        <v>293.39999999999998</v>
      </c>
      <c r="P58" s="526">
        <f t="shared" si="27"/>
        <v>304.93</v>
      </c>
      <c r="Q58" s="526">
        <f t="shared" si="27"/>
        <v>488.02</v>
      </c>
      <c r="R58" s="526">
        <f t="shared" si="27"/>
        <v>255.97</v>
      </c>
      <c r="S58" s="526">
        <f t="shared" si="27"/>
        <v>288.58</v>
      </c>
      <c r="T58" s="526">
        <f t="shared" si="27"/>
        <v>387.39</v>
      </c>
      <c r="U58" s="526">
        <f t="shared" si="27"/>
        <v>0</v>
      </c>
      <c r="V58" s="526">
        <f t="shared" si="27"/>
        <v>287.51600000000002</v>
      </c>
      <c r="W58" s="526">
        <f t="shared" si="27"/>
        <v>0</v>
      </c>
      <c r="X58" s="526">
        <f t="shared" si="27"/>
        <v>252.57300000000001</v>
      </c>
      <c r="Y58" s="526">
        <f t="shared" si="27"/>
        <v>0</v>
      </c>
      <c r="Z58" s="526">
        <f t="shared" si="27"/>
        <v>380.38</v>
      </c>
      <c r="AA58" s="526">
        <f t="shared" si="27"/>
        <v>0</v>
      </c>
      <c r="AB58" s="526">
        <f t="shared" si="27"/>
        <v>287.56560000000002</v>
      </c>
      <c r="AC58" s="526">
        <f t="shared" si="27"/>
        <v>0</v>
      </c>
      <c r="AD58" s="526">
        <f t="shared" si="27"/>
        <v>250.46010000000001</v>
      </c>
      <c r="AE58" s="526">
        <f t="shared" si="27"/>
        <v>0</v>
      </c>
      <c r="AF58" s="422"/>
    </row>
    <row r="59" spans="1:33" x14ac:dyDescent="0.35">
      <c r="A59" s="523" t="s">
        <v>33</v>
      </c>
      <c r="B59" s="524">
        <f t="shared" si="26"/>
        <v>22</v>
      </c>
      <c r="C59" s="524">
        <f t="shared" si="26"/>
        <v>22</v>
      </c>
      <c r="D59" s="524">
        <f t="shared" si="26"/>
        <v>0</v>
      </c>
      <c r="E59" s="524">
        <f t="shared" si="26"/>
        <v>0</v>
      </c>
      <c r="F59" s="562">
        <f>E59/B59</f>
        <v>0</v>
      </c>
      <c r="G59" s="562">
        <f>E59/C59</f>
        <v>0</v>
      </c>
      <c r="H59" s="526">
        <f>H55</f>
        <v>0</v>
      </c>
      <c r="I59" s="526">
        <f t="shared" ref="I59:AE59" si="28">I55</f>
        <v>0</v>
      </c>
      <c r="J59" s="526">
        <f t="shared" si="28"/>
        <v>0</v>
      </c>
      <c r="K59" s="526">
        <f t="shared" si="28"/>
        <v>0</v>
      </c>
      <c r="L59" s="526">
        <f t="shared" si="28"/>
        <v>0</v>
      </c>
      <c r="M59" s="526">
        <f t="shared" si="28"/>
        <v>0</v>
      </c>
      <c r="N59" s="526">
        <f t="shared" si="28"/>
        <v>22</v>
      </c>
      <c r="O59" s="526">
        <f t="shared" si="28"/>
        <v>0</v>
      </c>
      <c r="P59" s="526">
        <f t="shared" si="28"/>
        <v>0</v>
      </c>
      <c r="Q59" s="526">
        <f t="shared" si="28"/>
        <v>0</v>
      </c>
      <c r="R59" s="526">
        <f t="shared" si="28"/>
        <v>0</v>
      </c>
      <c r="S59" s="526">
        <f t="shared" si="28"/>
        <v>0</v>
      </c>
      <c r="T59" s="526">
        <f t="shared" si="28"/>
        <v>0</v>
      </c>
      <c r="U59" s="526">
        <f t="shared" si="28"/>
        <v>0</v>
      </c>
      <c r="V59" s="526">
        <f t="shared" si="28"/>
        <v>0</v>
      </c>
      <c r="W59" s="526">
        <f t="shared" si="28"/>
        <v>0</v>
      </c>
      <c r="X59" s="526">
        <f t="shared" si="28"/>
        <v>0</v>
      </c>
      <c r="Y59" s="526">
        <f t="shared" si="28"/>
        <v>0</v>
      </c>
      <c r="Z59" s="526">
        <f t="shared" si="28"/>
        <v>0</v>
      </c>
      <c r="AA59" s="526">
        <f t="shared" si="28"/>
        <v>0</v>
      </c>
      <c r="AB59" s="526">
        <f t="shared" si="28"/>
        <v>0</v>
      </c>
      <c r="AC59" s="526">
        <f t="shared" si="28"/>
        <v>0</v>
      </c>
      <c r="AD59" s="526">
        <f t="shared" si="28"/>
        <v>0</v>
      </c>
      <c r="AE59" s="526">
        <f t="shared" si="28"/>
        <v>0</v>
      </c>
      <c r="AF59" s="422"/>
    </row>
    <row r="60" spans="1:33" x14ac:dyDescent="0.35">
      <c r="A60" s="407" t="s">
        <v>66</v>
      </c>
      <c r="B60" s="531"/>
      <c r="C60" s="532"/>
      <c r="D60" s="532"/>
      <c r="E60" s="532"/>
      <c r="F60" s="532"/>
      <c r="G60" s="532"/>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422"/>
    </row>
    <row r="61" spans="1:33" x14ac:dyDescent="0.35">
      <c r="A61" s="552" t="s">
        <v>31</v>
      </c>
      <c r="B61" s="550">
        <f>B62+B63</f>
        <v>33380.604000000007</v>
      </c>
      <c r="C61" s="550">
        <f>C62+C63</f>
        <v>16879.26022</v>
      </c>
      <c r="D61" s="550">
        <f>D62+D63</f>
        <v>16234.309290000001</v>
      </c>
      <c r="E61" s="550">
        <f>E62+E63</f>
        <v>4267.4878200000003</v>
      </c>
      <c r="F61" s="561">
        <f>E61/B61</f>
        <v>0.12784333740635728</v>
      </c>
      <c r="G61" s="561">
        <f>E61/C61</f>
        <v>0.25282433971504947</v>
      </c>
      <c r="H61" s="551">
        <f>H62+H63</f>
        <v>584.71630000000005</v>
      </c>
      <c r="I61" s="551">
        <f t="shared" ref="I61:AE61" si="29">I62+I63</f>
        <v>269.75177000000002</v>
      </c>
      <c r="J61" s="551">
        <f t="shared" si="29"/>
        <v>1521.7508600000001</v>
      </c>
      <c r="K61" s="551">
        <f t="shared" si="29"/>
        <v>1190.29105</v>
      </c>
      <c r="L61" s="551">
        <f t="shared" si="29"/>
        <v>992.32229000000007</v>
      </c>
      <c r="M61" s="551">
        <f t="shared" si="29"/>
        <v>964.05500000000006</v>
      </c>
      <c r="N61" s="551">
        <f t="shared" si="29"/>
        <v>1870.5998099999999</v>
      </c>
      <c r="O61" s="551">
        <f t="shared" si="29"/>
        <v>1066.79</v>
      </c>
      <c r="P61" s="551">
        <f t="shared" si="29"/>
        <v>1068.5492899999999</v>
      </c>
      <c r="Q61" s="551">
        <f t="shared" si="29"/>
        <v>488.02</v>
      </c>
      <c r="R61" s="551">
        <f t="shared" si="29"/>
        <v>10841.321670000001</v>
      </c>
      <c r="S61" s="551">
        <f t="shared" si="29"/>
        <v>288.58</v>
      </c>
      <c r="T61" s="551">
        <f t="shared" si="29"/>
        <v>7785.6426700000002</v>
      </c>
      <c r="U61" s="551">
        <f t="shared" si="29"/>
        <v>0</v>
      </c>
      <c r="V61" s="551">
        <f t="shared" si="29"/>
        <v>5121.2345700000005</v>
      </c>
      <c r="W61" s="551">
        <f t="shared" si="29"/>
        <v>0</v>
      </c>
      <c r="X61" s="551">
        <f t="shared" si="29"/>
        <v>899.11229000000003</v>
      </c>
      <c r="Y61" s="551">
        <f t="shared" si="29"/>
        <v>0</v>
      </c>
      <c r="Z61" s="551">
        <f t="shared" si="29"/>
        <v>1087.4942900000001</v>
      </c>
      <c r="AA61" s="551">
        <f t="shared" si="29"/>
        <v>0</v>
      </c>
      <c r="AB61" s="551">
        <f t="shared" si="29"/>
        <v>1014.17986</v>
      </c>
      <c r="AC61" s="551">
        <f t="shared" si="29"/>
        <v>0</v>
      </c>
      <c r="AD61" s="551">
        <f t="shared" si="29"/>
        <v>593.68010000000004</v>
      </c>
      <c r="AE61" s="551">
        <f t="shared" si="29"/>
        <v>0</v>
      </c>
      <c r="AF61" s="422"/>
      <c r="AG61" s="566">
        <f>C61-E61</f>
        <v>12611.7724</v>
      </c>
    </row>
    <row r="62" spans="1:33" x14ac:dyDescent="0.35">
      <c r="A62" s="544" t="s">
        <v>32</v>
      </c>
      <c r="B62" s="524">
        <f>B37+B54</f>
        <v>12755.304</v>
      </c>
      <c r="C62" s="524">
        <f>C37+C54</f>
        <v>5814.0192999999999</v>
      </c>
      <c r="D62" s="524">
        <f>D37+D54</f>
        <v>5473.94337</v>
      </c>
      <c r="E62" s="524">
        <f>E37+E54</f>
        <v>2722.3298199999999</v>
      </c>
      <c r="F62" s="562">
        <f>E62/B62</f>
        <v>0.21342727856584209</v>
      </c>
      <c r="G62" s="562">
        <f>E62/C62</f>
        <v>0.46823542880224012</v>
      </c>
      <c r="H62" s="526">
        <f>H37+H54</f>
        <v>553.10130000000004</v>
      </c>
      <c r="I62" s="526">
        <f t="shared" ref="I62:AE62" si="30">I37+I54</f>
        <v>256.75177000000002</v>
      </c>
      <c r="J62" s="526">
        <f t="shared" si="30"/>
        <v>592.346</v>
      </c>
      <c r="K62" s="526">
        <f t="shared" si="30"/>
        <v>646.42804999999998</v>
      </c>
      <c r="L62" s="526">
        <f t="shared" si="30"/>
        <v>517.68299999999999</v>
      </c>
      <c r="M62" s="526">
        <f t="shared" si="30"/>
        <v>481.2</v>
      </c>
      <c r="N62" s="526">
        <f t="shared" si="30"/>
        <v>809.78899999999999</v>
      </c>
      <c r="O62" s="526">
        <f t="shared" si="30"/>
        <v>561.34999999999991</v>
      </c>
      <c r="P62" s="526">
        <f t="shared" si="30"/>
        <v>570.03</v>
      </c>
      <c r="Q62" s="526">
        <f t="shared" si="30"/>
        <v>488.02</v>
      </c>
      <c r="R62" s="526">
        <f t="shared" si="30"/>
        <v>2771.0699999999997</v>
      </c>
      <c r="S62" s="526">
        <f t="shared" si="30"/>
        <v>288.58</v>
      </c>
      <c r="T62" s="526">
        <f t="shared" si="30"/>
        <v>2502.4899999999998</v>
      </c>
      <c r="U62" s="526">
        <f t="shared" si="30"/>
        <v>0</v>
      </c>
      <c r="V62" s="526">
        <f t="shared" si="30"/>
        <v>2344.5160000000001</v>
      </c>
      <c r="W62" s="526">
        <f t="shared" si="30"/>
        <v>0</v>
      </c>
      <c r="X62" s="526">
        <f t="shared" si="30"/>
        <v>476.27300000000002</v>
      </c>
      <c r="Y62" s="526">
        <f t="shared" si="30"/>
        <v>0</v>
      </c>
      <c r="Z62" s="526">
        <f t="shared" si="30"/>
        <v>646.48</v>
      </c>
      <c r="AA62" s="526">
        <f t="shared" si="30"/>
        <v>0</v>
      </c>
      <c r="AB62" s="526">
        <f t="shared" si="30"/>
        <v>552.96559999999999</v>
      </c>
      <c r="AC62" s="526">
        <f t="shared" si="30"/>
        <v>0</v>
      </c>
      <c r="AD62" s="526">
        <f t="shared" si="30"/>
        <v>418.56010000000003</v>
      </c>
      <c r="AE62" s="551">
        <f t="shared" si="30"/>
        <v>0</v>
      </c>
      <c r="AF62" s="422"/>
      <c r="AG62" s="564">
        <f>C62-E62</f>
        <v>3091.68948</v>
      </c>
    </row>
    <row r="63" spans="1:33" x14ac:dyDescent="0.35">
      <c r="A63" s="544" t="s">
        <v>33</v>
      </c>
      <c r="B63" s="524">
        <f>B38+B55</f>
        <v>20625.300000000003</v>
      </c>
      <c r="C63" s="524">
        <f>C38+C55</f>
        <v>11065.24092</v>
      </c>
      <c r="D63" s="524">
        <f>D38</f>
        <v>10760.36592</v>
      </c>
      <c r="E63" s="524">
        <f>E38</f>
        <v>1545.1580000000001</v>
      </c>
      <c r="F63" s="562">
        <f>E63/B63</f>
        <v>7.4915661832797575E-2</v>
      </c>
      <c r="G63" s="562">
        <f>E63/C63</f>
        <v>0.13964070110820506</v>
      </c>
      <c r="H63" s="526">
        <f>H38+H55</f>
        <v>31.614999999999998</v>
      </c>
      <c r="I63" s="526">
        <f t="shared" ref="I63:AE63" si="31">I38+I55</f>
        <v>13</v>
      </c>
      <c r="J63" s="526">
        <f t="shared" si="31"/>
        <v>929.40485999999999</v>
      </c>
      <c r="K63" s="526">
        <f t="shared" si="31"/>
        <v>543.86300000000006</v>
      </c>
      <c r="L63" s="526">
        <f t="shared" si="31"/>
        <v>474.63929000000002</v>
      </c>
      <c r="M63" s="526">
        <f t="shared" si="31"/>
        <v>482.85500000000002</v>
      </c>
      <c r="N63" s="526">
        <f t="shared" si="31"/>
        <v>1060.8108099999999</v>
      </c>
      <c r="O63" s="526">
        <f t="shared" si="31"/>
        <v>505.44</v>
      </c>
      <c r="P63" s="526">
        <f t="shared" si="31"/>
        <v>498.51928999999996</v>
      </c>
      <c r="Q63" s="526">
        <f t="shared" si="31"/>
        <v>0</v>
      </c>
      <c r="R63" s="526">
        <f t="shared" si="31"/>
        <v>8070.2516700000006</v>
      </c>
      <c r="S63" s="526">
        <f t="shared" si="31"/>
        <v>0</v>
      </c>
      <c r="T63" s="526">
        <f t="shared" si="31"/>
        <v>5283.1526700000004</v>
      </c>
      <c r="U63" s="526">
        <f t="shared" si="31"/>
        <v>0</v>
      </c>
      <c r="V63" s="526">
        <f t="shared" si="31"/>
        <v>2776.71857</v>
      </c>
      <c r="W63" s="526">
        <f t="shared" si="31"/>
        <v>0</v>
      </c>
      <c r="X63" s="526">
        <f t="shared" si="31"/>
        <v>422.83929000000001</v>
      </c>
      <c r="Y63" s="526">
        <f t="shared" si="31"/>
        <v>0</v>
      </c>
      <c r="Z63" s="526">
        <f t="shared" si="31"/>
        <v>441.01429000000002</v>
      </c>
      <c r="AA63" s="526">
        <f t="shared" si="31"/>
        <v>0</v>
      </c>
      <c r="AB63" s="526">
        <f t="shared" si="31"/>
        <v>461.21426000000002</v>
      </c>
      <c r="AC63" s="526">
        <f t="shared" si="31"/>
        <v>0</v>
      </c>
      <c r="AD63" s="526">
        <f t="shared" si="31"/>
        <v>175.12</v>
      </c>
      <c r="AE63" s="551">
        <f t="shared" si="31"/>
        <v>0</v>
      </c>
      <c r="AF63" s="422"/>
      <c r="AG63" s="564">
        <f>C63-E63</f>
        <v>9520.0829200000007</v>
      </c>
    </row>
    <row r="64" spans="1:33" s="409" customFormat="1" ht="37.5" x14ac:dyDescent="0.3">
      <c r="A64" s="544" t="s">
        <v>67</v>
      </c>
      <c r="B64" s="547"/>
      <c r="C64" s="547"/>
      <c r="D64" s="547"/>
      <c r="E64" s="547"/>
      <c r="F64" s="524"/>
      <c r="G64" s="524"/>
      <c r="H64" s="548"/>
      <c r="I64" s="548"/>
      <c r="J64" s="548"/>
      <c r="K64" s="548"/>
      <c r="L64" s="548"/>
      <c r="M64" s="548"/>
      <c r="N64" s="548"/>
      <c r="O64" s="548"/>
      <c r="P64" s="548"/>
      <c r="Q64" s="548"/>
      <c r="R64" s="548"/>
      <c r="S64" s="548"/>
      <c r="T64" s="548"/>
      <c r="U64" s="548"/>
      <c r="V64" s="548"/>
      <c r="W64" s="548"/>
      <c r="X64" s="548"/>
      <c r="Y64" s="548"/>
      <c r="Z64" s="548"/>
      <c r="AA64" s="548"/>
      <c r="AB64" s="548"/>
      <c r="AC64" s="548"/>
      <c r="AD64" s="548"/>
      <c r="AE64" s="548"/>
      <c r="AF64" s="420"/>
      <c r="AG64" s="565"/>
    </row>
    <row r="65" spans="1:33" s="409" customFormat="1" ht="20.25" x14ac:dyDescent="0.3">
      <c r="A65" s="552" t="s">
        <v>31</v>
      </c>
      <c r="B65" s="558">
        <f>B66+B67</f>
        <v>33380.604000000007</v>
      </c>
      <c r="C65" s="558">
        <f>C66+C67</f>
        <v>16879.26022</v>
      </c>
      <c r="D65" s="558">
        <f>D66+D67</f>
        <v>16234.309290000001</v>
      </c>
      <c r="E65" s="558">
        <f>E66+E67</f>
        <v>4267.4878200000003</v>
      </c>
      <c r="F65" s="561">
        <f>E65/B65</f>
        <v>0.12784333740635728</v>
      </c>
      <c r="G65" s="561">
        <f>E65/C65</f>
        <v>0.25282433971504947</v>
      </c>
      <c r="H65" s="559">
        <f>H66+H67</f>
        <v>584.71630000000005</v>
      </c>
      <c r="I65" s="559">
        <f t="shared" ref="I65:AE65" si="32">I66+I67</f>
        <v>269.75177000000002</v>
      </c>
      <c r="J65" s="559">
        <f t="shared" si="32"/>
        <v>1521.7508600000001</v>
      </c>
      <c r="K65" s="559">
        <f t="shared" si="32"/>
        <v>1190.29105</v>
      </c>
      <c r="L65" s="559">
        <f t="shared" si="32"/>
        <v>992.32229000000007</v>
      </c>
      <c r="M65" s="559">
        <f t="shared" si="32"/>
        <v>964.05500000000006</v>
      </c>
      <c r="N65" s="559">
        <f t="shared" si="32"/>
        <v>1870.5998099999999</v>
      </c>
      <c r="O65" s="559">
        <f t="shared" si="32"/>
        <v>1066.79</v>
      </c>
      <c r="P65" s="559">
        <f t="shared" si="32"/>
        <v>1068.5492899999999</v>
      </c>
      <c r="Q65" s="559">
        <f t="shared" si="32"/>
        <v>488.02</v>
      </c>
      <c r="R65" s="559">
        <f t="shared" si="32"/>
        <v>10841.321670000001</v>
      </c>
      <c r="S65" s="559">
        <f t="shared" si="32"/>
        <v>288.58</v>
      </c>
      <c r="T65" s="559">
        <f t="shared" si="32"/>
        <v>7785.6426700000002</v>
      </c>
      <c r="U65" s="559">
        <f t="shared" si="32"/>
        <v>0</v>
      </c>
      <c r="V65" s="559">
        <f t="shared" si="32"/>
        <v>5121.2345700000005</v>
      </c>
      <c r="W65" s="559">
        <f t="shared" si="32"/>
        <v>0</v>
      </c>
      <c r="X65" s="559">
        <f t="shared" si="32"/>
        <v>899.11229000000003</v>
      </c>
      <c r="Y65" s="559">
        <f t="shared" si="32"/>
        <v>0</v>
      </c>
      <c r="Z65" s="559">
        <f t="shared" si="32"/>
        <v>1087.4942900000001</v>
      </c>
      <c r="AA65" s="559">
        <f t="shared" si="32"/>
        <v>0</v>
      </c>
      <c r="AB65" s="559">
        <f t="shared" si="32"/>
        <v>1014.17986</v>
      </c>
      <c r="AC65" s="559">
        <f t="shared" si="32"/>
        <v>0</v>
      </c>
      <c r="AD65" s="559">
        <f t="shared" si="32"/>
        <v>593.68010000000004</v>
      </c>
      <c r="AE65" s="559">
        <f t="shared" si="32"/>
        <v>0</v>
      </c>
      <c r="AF65" s="420"/>
      <c r="AG65" s="565"/>
    </row>
    <row r="66" spans="1:33" s="409" customFormat="1" ht="20.25" x14ac:dyDescent="0.3">
      <c r="A66" s="523" t="s">
        <v>32</v>
      </c>
      <c r="B66" s="545">
        <f t="shared" ref="B66:E67" si="33">B62</f>
        <v>12755.304</v>
      </c>
      <c r="C66" s="545">
        <f t="shared" si="33"/>
        <v>5814.0192999999999</v>
      </c>
      <c r="D66" s="545">
        <f t="shared" si="33"/>
        <v>5473.94337</v>
      </c>
      <c r="E66" s="545">
        <f t="shared" si="33"/>
        <v>2722.3298199999999</v>
      </c>
      <c r="F66" s="562">
        <f>E66/B66</f>
        <v>0.21342727856584209</v>
      </c>
      <c r="G66" s="562">
        <f>E66/C66</f>
        <v>0.46823542880224012</v>
      </c>
      <c r="H66" s="546">
        <f>H62</f>
        <v>553.10130000000004</v>
      </c>
      <c r="I66" s="546">
        <f t="shared" ref="I66:AE66" si="34">I62</f>
        <v>256.75177000000002</v>
      </c>
      <c r="J66" s="546">
        <f t="shared" si="34"/>
        <v>592.346</v>
      </c>
      <c r="K66" s="546">
        <f t="shared" si="34"/>
        <v>646.42804999999998</v>
      </c>
      <c r="L66" s="546">
        <f t="shared" si="34"/>
        <v>517.68299999999999</v>
      </c>
      <c r="M66" s="546">
        <f t="shared" si="34"/>
        <v>481.2</v>
      </c>
      <c r="N66" s="546">
        <f t="shared" si="34"/>
        <v>809.78899999999999</v>
      </c>
      <c r="O66" s="546">
        <f t="shared" si="34"/>
        <v>561.34999999999991</v>
      </c>
      <c r="P66" s="546">
        <f t="shared" si="34"/>
        <v>570.03</v>
      </c>
      <c r="Q66" s="546">
        <f t="shared" si="34"/>
        <v>488.02</v>
      </c>
      <c r="R66" s="546">
        <f t="shared" si="34"/>
        <v>2771.0699999999997</v>
      </c>
      <c r="S66" s="546">
        <f t="shared" si="34"/>
        <v>288.58</v>
      </c>
      <c r="T66" s="546">
        <f t="shared" si="34"/>
        <v>2502.4899999999998</v>
      </c>
      <c r="U66" s="546">
        <f t="shared" si="34"/>
        <v>0</v>
      </c>
      <c r="V66" s="546">
        <f t="shared" si="34"/>
        <v>2344.5160000000001</v>
      </c>
      <c r="W66" s="546">
        <f t="shared" si="34"/>
        <v>0</v>
      </c>
      <c r="X66" s="546">
        <f t="shared" si="34"/>
        <v>476.27300000000002</v>
      </c>
      <c r="Y66" s="546">
        <f t="shared" si="34"/>
        <v>0</v>
      </c>
      <c r="Z66" s="546">
        <f t="shared" si="34"/>
        <v>646.48</v>
      </c>
      <c r="AA66" s="546">
        <f t="shared" si="34"/>
        <v>0</v>
      </c>
      <c r="AB66" s="546">
        <f t="shared" si="34"/>
        <v>552.96559999999999</v>
      </c>
      <c r="AC66" s="546">
        <f t="shared" si="34"/>
        <v>0</v>
      </c>
      <c r="AD66" s="546">
        <f t="shared" si="34"/>
        <v>418.56010000000003</v>
      </c>
      <c r="AE66" s="546">
        <f t="shared" si="34"/>
        <v>0</v>
      </c>
      <c r="AF66" s="420"/>
      <c r="AG66" s="565"/>
    </row>
    <row r="67" spans="1:33" s="409" customFormat="1" ht="20.25" x14ac:dyDescent="0.3">
      <c r="A67" s="523" t="s">
        <v>33</v>
      </c>
      <c r="B67" s="545">
        <f t="shared" si="33"/>
        <v>20625.300000000003</v>
      </c>
      <c r="C67" s="545">
        <f t="shared" si="33"/>
        <v>11065.24092</v>
      </c>
      <c r="D67" s="545">
        <f t="shared" si="33"/>
        <v>10760.36592</v>
      </c>
      <c r="E67" s="545">
        <f t="shared" si="33"/>
        <v>1545.1580000000001</v>
      </c>
      <c r="F67" s="562">
        <f>E67/B67</f>
        <v>7.4915661832797575E-2</v>
      </c>
      <c r="G67" s="562">
        <f>E67/C67</f>
        <v>0.13964070110820506</v>
      </c>
      <c r="H67" s="546">
        <f>H63</f>
        <v>31.614999999999998</v>
      </c>
      <c r="I67" s="546">
        <f t="shared" ref="I67:AE67" si="35">I63</f>
        <v>13</v>
      </c>
      <c r="J67" s="546">
        <f t="shared" si="35"/>
        <v>929.40485999999999</v>
      </c>
      <c r="K67" s="546">
        <f t="shared" si="35"/>
        <v>543.86300000000006</v>
      </c>
      <c r="L67" s="546">
        <f t="shared" si="35"/>
        <v>474.63929000000002</v>
      </c>
      <c r="M67" s="546">
        <f t="shared" si="35"/>
        <v>482.85500000000002</v>
      </c>
      <c r="N67" s="546">
        <f t="shared" si="35"/>
        <v>1060.8108099999999</v>
      </c>
      <c r="O67" s="546">
        <f t="shared" si="35"/>
        <v>505.44</v>
      </c>
      <c r="P67" s="546">
        <f t="shared" si="35"/>
        <v>498.51928999999996</v>
      </c>
      <c r="Q67" s="546">
        <f t="shared" si="35"/>
        <v>0</v>
      </c>
      <c r="R67" s="546">
        <f t="shared" si="35"/>
        <v>8070.2516700000006</v>
      </c>
      <c r="S67" s="546">
        <f t="shared" si="35"/>
        <v>0</v>
      </c>
      <c r="T67" s="546">
        <f t="shared" si="35"/>
        <v>5283.1526700000004</v>
      </c>
      <c r="U67" s="546">
        <f t="shared" si="35"/>
        <v>0</v>
      </c>
      <c r="V67" s="546">
        <f t="shared" si="35"/>
        <v>2776.71857</v>
      </c>
      <c r="W67" s="546">
        <f t="shared" si="35"/>
        <v>0</v>
      </c>
      <c r="X67" s="546">
        <f t="shared" si="35"/>
        <v>422.83929000000001</v>
      </c>
      <c r="Y67" s="546">
        <f t="shared" si="35"/>
        <v>0</v>
      </c>
      <c r="Z67" s="546">
        <f t="shared" si="35"/>
        <v>441.01429000000002</v>
      </c>
      <c r="AA67" s="546">
        <f t="shared" si="35"/>
        <v>0</v>
      </c>
      <c r="AB67" s="546">
        <f t="shared" si="35"/>
        <v>461.21426000000002</v>
      </c>
      <c r="AC67" s="546">
        <f t="shared" si="35"/>
        <v>0</v>
      </c>
      <c r="AD67" s="546">
        <f t="shared" si="35"/>
        <v>175.12</v>
      </c>
      <c r="AE67" s="546">
        <f t="shared" si="35"/>
        <v>0</v>
      </c>
      <c r="AF67" s="420"/>
      <c r="AG67" s="565"/>
    </row>
    <row r="68" spans="1:33" s="409" customFormat="1" ht="20.25" x14ac:dyDescent="0.3">
      <c r="F68" s="410"/>
      <c r="G68" s="410"/>
      <c r="P68" s="560"/>
      <c r="Q68" s="560"/>
      <c r="R68" s="560"/>
      <c r="S68" s="560"/>
      <c r="T68" s="560"/>
      <c r="U68" s="560"/>
      <c r="V68" s="560"/>
      <c r="AG68" s="565"/>
    </row>
    <row r="69" spans="1:33" hidden="1" x14ac:dyDescent="0.35"/>
    <row r="70" spans="1:33" hidden="1" x14ac:dyDescent="0.35"/>
    <row r="71" spans="1:33" hidden="1" x14ac:dyDescent="0.35"/>
    <row r="72" spans="1:33" hidden="1" x14ac:dyDescent="0.35"/>
    <row r="73" spans="1:33" hidden="1" x14ac:dyDescent="0.35"/>
    <row r="74" spans="1:33" ht="23.25" x14ac:dyDescent="0.35">
      <c r="E74" s="709"/>
    </row>
    <row r="75" spans="1:33" ht="38.25" x14ac:dyDescent="0.35">
      <c r="A75" s="411" t="s">
        <v>475</v>
      </c>
      <c r="B75" s="412"/>
      <c r="C75" s="412"/>
      <c r="D75" s="413" t="s">
        <v>476</v>
      </c>
      <c r="E75" s="413"/>
    </row>
    <row r="76" spans="1:33" x14ac:dyDescent="0.35">
      <c r="A76" s="411"/>
      <c r="B76" s="414" t="s">
        <v>68</v>
      </c>
      <c r="C76" s="414"/>
      <c r="D76" s="415"/>
    </row>
    <row r="77" spans="1:33" ht="37.5" x14ac:dyDescent="0.35">
      <c r="A77" s="416" t="s">
        <v>477</v>
      </c>
      <c r="B77" s="416"/>
      <c r="C77" s="416"/>
      <c r="D77" s="411"/>
    </row>
  </sheetData>
  <customSheetViews>
    <customSheetView guid="{7C130984-112A-4861-AA43-E2940708E3DC}" scale="85" hiddenRows="1" state="hidden">
      <pane xSplit="1" ySplit="6" topLeftCell="B57" activePane="bottomRight" state="frozen"/>
      <selection pane="bottomRight" activeCell="F77" sqref="F77"/>
      <pageMargins left="0.7" right="0.7" top="0.75" bottom="0.75" header="0.3" footer="0.3"/>
      <pageSetup paperSize="9" orientation="portrait" r:id="rId1"/>
    </customSheetView>
    <customSheetView guid="{3C3F523F-5F34-4CF7-831E-F1ABC4278CEB}" scale="85" hiddenRows="1">
      <pane xSplit="1" ySplit="6" topLeftCell="B57" activePane="bottomRight" state="frozen"/>
      <selection pane="bottomRight" activeCell="F77" sqref="F77"/>
      <pageMargins left="0.7" right="0.7" top="0.75" bottom="0.75" header="0.3" footer="0.3"/>
      <pageSetup paperSize="9" orientation="portrait" r:id="rId2"/>
    </customSheetView>
    <customSheetView guid="{D01FA037-9AEC-4167-ADB8-2F327C01ECE6}" scale="85" hiddenRows="1">
      <pane xSplit="1" ySplit="6" topLeftCell="B57" activePane="bottomRight" state="frozen"/>
      <selection pane="bottomRight" activeCell="F77" sqref="F77"/>
      <pageMargins left="0.7" right="0.7" top="0.75" bottom="0.75" header="0.3" footer="0.3"/>
      <pageSetup paperSize="9" orientation="portrait" r:id="rId3"/>
    </customSheetView>
    <customSheetView guid="{602C8EDB-B9EF-4C85-B0D5-0558C3A0ABAB}" scale="85" hiddenRows="1">
      <pane xSplit="1" ySplit="6" topLeftCell="B57" activePane="bottomRight" state="frozen"/>
      <selection pane="bottomRight" activeCell="F77" sqref="F77"/>
      <pageMargins left="0.7" right="0.7" top="0.75" bottom="0.75" header="0.3" footer="0.3"/>
      <pageSetup paperSize="9" orientation="portrait" r:id="rId4"/>
    </customSheetView>
    <customSheetView guid="{69DABE6F-6182-4403-A4A2-969F10F1C13A}" scale="85" hiddenRows="1">
      <pane xSplit="1" ySplit="6" topLeftCell="B57" activePane="bottomRight" state="frozen"/>
      <selection pane="bottomRight" activeCell="F77" sqref="F77"/>
      <pageMargins left="0.7" right="0.7" top="0.75" bottom="0.75" header="0.3" footer="0.3"/>
      <pageSetup paperSize="9" orientation="portrait" r:id="rId5"/>
    </customSheetView>
    <customSheetView guid="{E508E171-4ED9-4B07-84DF-DA28C60E1969}" scale="85" hiddenRows="1">
      <pane xSplit="1" ySplit="6" topLeftCell="B57" activePane="bottomRight" state="frozen"/>
      <selection pane="bottomRight" activeCell="F77" sqref="F77"/>
      <pageMargins left="0.7" right="0.7" top="0.75" bottom="0.75" header="0.3" footer="0.3"/>
      <pageSetup paperSize="9" orientation="portrait" r:id="rId6"/>
    </customSheetView>
    <customSheetView guid="{AC2D5927-4079-4C74-AF69-1BFAC505648F}" scale="85" hiddenRows="1">
      <pane xSplit="1" ySplit="6" topLeftCell="B53" activePane="bottomRight" state="frozen"/>
      <selection pane="bottomRight" activeCell="E61" sqref="E61"/>
      <pageMargins left="0.7" right="0.7" top="0.75" bottom="0.75" header="0.3" footer="0.3"/>
      <pageSetup paperSize="9" orientation="portrait" r:id="rId7"/>
    </customSheetView>
    <customSheetView guid="{442F2C94-DD1B-4A01-8694-513D4D6F3BD9}" scale="85" hiddenRows="1">
      <pane xSplit="1" ySplit="6" topLeftCell="B53" activePane="bottomRight" state="frozen"/>
      <selection pane="bottomRight" activeCell="E61" sqref="E61"/>
      <pageMargins left="0.7" right="0.7" top="0.75" bottom="0.75" header="0.3" footer="0.3"/>
      <pageSetup paperSize="9" orientation="portrait" r:id="rId8"/>
    </customSheetView>
    <customSheetView guid="{CE1CCA00-200D-4EAA-9FBE-F8EE7C5F82FE}" scale="85" hiddenRows="1">
      <pane xSplit="1" ySplit="6" topLeftCell="B53" activePane="bottomRight" state="frozen"/>
      <selection pane="bottomRight" activeCell="E61" sqref="E61"/>
      <pageMargins left="0.7" right="0.7" top="0.75" bottom="0.75" header="0.3" footer="0.3"/>
      <pageSetup paperSize="9" orientation="portrait" r:id="rId9"/>
    </customSheetView>
    <customSheetView guid="{4D0DFB57-2CBA-42F2-9A97-C453A6851FBA}" scale="85" hiddenRows="1">
      <pane xSplit="1" ySplit="6" topLeftCell="B53" activePane="bottomRight" state="frozen"/>
      <selection pane="bottomRight" activeCell="E61" sqref="E61"/>
      <pageMargins left="0.7" right="0.7" top="0.75" bottom="0.75" header="0.3" footer="0.3"/>
      <pageSetup paperSize="9" orientation="portrait" r:id="rId10"/>
    </customSheetView>
    <customSheetView guid="{85F4575B-DBC5-482A-9916-255D8F0BC94E}" scale="50" hiddenRows="1">
      <pane xSplit="1" ySplit="6" topLeftCell="B49" activePane="bottomRight" state="frozen"/>
      <selection pane="bottomRight" activeCell="E75" sqref="E75"/>
      <pageMargins left="0.7" right="0.7" top="0.75" bottom="0.75" header="0.3" footer="0.3"/>
      <pageSetup paperSize="9" orientation="portrait" r:id="rId11"/>
    </customSheetView>
    <customSheetView guid="{B1BF08D1-D416-4B47-ADD0-4F59132DC9E8}" scale="50" hiddenRows="1">
      <pane xSplit="1" ySplit="6" topLeftCell="B49" activePane="bottomRight" state="frozen"/>
      <selection pane="bottomRight" activeCell="E75" sqref="E75"/>
      <pageMargins left="0.7" right="0.7" top="0.75" bottom="0.75" header="0.3" footer="0.3"/>
      <pageSetup paperSize="9" orientation="portrait" r:id="rId12"/>
    </customSheetView>
    <customSheetView guid="{BCD82A82-B724-4763-8580-D765356E09BA}" scale="60">
      <pane xSplit="1" ySplit="6" topLeftCell="B7" activePane="bottomRight" state="frozen"/>
      <selection pane="bottomRight" activeCell="O23" sqref="O23"/>
      <pageMargins left="0.7" right="0.7" top="0.75" bottom="0.75" header="0.3" footer="0.3"/>
      <pageSetup paperSize="9" orientation="portrait" r:id="rId13"/>
    </customSheetView>
    <customSheetView guid="{C236B307-BD63-48C4-A75F-B3F3717BF55C}" scale="85" hiddenRows="1">
      <pane xSplit="1" ySplit="6" topLeftCell="B45" activePane="bottomRight" state="frozen"/>
      <selection pane="bottomRight" activeCell="I48" sqref="I48"/>
      <pageMargins left="0.7" right="0.7" top="0.75" bottom="0.75" header="0.3" footer="0.3"/>
      <pageSetup paperSize="9" orientation="portrait" r:id="rId14"/>
    </customSheetView>
    <customSheetView guid="{874882D1-E741-4CCA-BF0D-E72FA60B771D}" scale="85" hiddenRows="1">
      <pane xSplit="1" ySplit="6" topLeftCell="B45" activePane="bottomRight" state="frozen"/>
      <selection pane="bottomRight" activeCell="I48" sqref="I48"/>
      <pageMargins left="0.7" right="0.7" top="0.75" bottom="0.75" header="0.3" footer="0.3"/>
      <pageSetup paperSize="9" orientation="portrait" r:id="rId15"/>
    </customSheetView>
    <customSheetView guid="{B82BA08A-1A30-4F4D-A478-74A6BD09EA97}" scale="85" hiddenRows="1">
      <pane xSplit="1" ySplit="6" topLeftCell="B45" activePane="bottomRight" state="frozen"/>
      <selection pane="bottomRight" activeCell="I48" sqref="I48"/>
      <pageMargins left="0.7" right="0.7" top="0.75" bottom="0.75" header="0.3" footer="0.3"/>
      <pageSetup paperSize="9" orientation="portrait" r:id="rId16"/>
    </customSheetView>
    <customSheetView guid="{770624BF-07F3-44B6-94C3-4CC447CDD45C}" scale="85" hiddenRows="1">
      <pane xSplit="1" ySplit="6" topLeftCell="P36" activePane="bottomRight" state="frozen"/>
      <selection pane="bottomRight" activeCell="Y39" sqref="Y39"/>
      <pageMargins left="0.7" right="0.7" top="0.75" bottom="0.75" header="0.3" footer="0.3"/>
      <pageSetup paperSize="9" orientation="portrait" r:id="rId17"/>
    </customSheetView>
    <customSheetView guid="{009B3074-D8EC-4952-BF50-43CD64449612}" scale="85" hiddenRows="1">
      <pane xSplit="1" ySplit="6" topLeftCell="P36" activePane="bottomRight" state="frozen"/>
      <selection pane="bottomRight" activeCell="Y39" sqref="Y39"/>
      <pageMargins left="0.7" right="0.7" top="0.75" bottom="0.75" header="0.3" footer="0.3"/>
      <pageSetup paperSize="9" orientation="portrait" r:id="rId18"/>
    </customSheetView>
    <customSheetView guid="{F679EF4A-C5FD-4B86-B87B-D85968E0F2CA}" scale="50" hiddenRows="1">
      <pane xSplit="1" ySplit="6" topLeftCell="B49" activePane="bottomRight" state="frozen"/>
      <selection pane="bottomRight" activeCell="E75" sqref="E75"/>
      <pageMargins left="0.7" right="0.7" top="0.75" bottom="0.75" header="0.3" footer="0.3"/>
      <pageSetup paperSize="9" orientation="portrait" r:id="rId19"/>
    </customSheetView>
    <customSheetView guid="{959E901C-5DDE-42EE-AE94-AB8976B5E00B}" scale="50" hiddenRows="1">
      <pane xSplit="1" ySplit="6" topLeftCell="B49" activePane="bottomRight" state="frozen"/>
      <selection pane="bottomRight" activeCell="E75" sqref="E75"/>
      <pageMargins left="0.7" right="0.7" top="0.75" bottom="0.75" header="0.3" footer="0.3"/>
      <pageSetup paperSize="9" orientation="portrait" r:id="rId20"/>
    </customSheetView>
    <customSheetView guid="{533DC55B-6AD4-4674-9488-685EF2039F3E}" scale="85" hiddenRows="1">
      <pane xSplit="1" ySplit="6" topLeftCell="B62" activePane="bottomRight" state="frozen"/>
      <selection pane="bottomRight" activeCell="H78" sqref="H78"/>
      <pageMargins left="0.7" right="0.7" top="0.75" bottom="0.75" header="0.3" footer="0.3"/>
      <pageSetup paperSize="9" orientation="portrait" r:id="rId21"/>
    </customSheetView>
    <customSheetView guid="{87218168-6C8E-4D5B-A5E5-DCCC26803AA3}" scale="85" hiddenRows="1">
      <pane xSplit="1" ySplit="6" topLeftCell="B53" activePane="bottomRight" state="frozen"/>
      <selection pane="bottomRight" activeCell="E61" sqref="E61"/>
      <pageMargins left="0.7" right="0.7" top="0.75" bottom="0.75" header="0.3" footer="0.3"/>
      <pageSetup paperSize="9" orientation="portrait" r:id="rId22"/>
    </customSheetView>
    <customSheetView guid="{DAA8A688-7558-4B5B-8DBD-E2629BD9E9A8}" scale="85" hiddenRows="1">
      <pane xSplit="1" ySplit="6" topLeftCell="B53" activePane="bottomRight" state="frozen"/>
      <selection pane="bottomRight" activeCell="E61" sqref="E61"/>
      <pageMargins left="0.7" right="0.7" top="0.75" bottom="0.75" header="0.3" footer="0.3"/>
      <pageSetup paperSize="9" orientation="portrait" r:id="rId23"/>
    </customSheetView>
    <customSheetView guid="{391AB76E-B386-49C1-800F-016A48AA1A46}" scale="85" hiddenRows="1">
      <pane xSplit="1" ySplit="6" topLeftCell="B53" activePane="bottomRight" state="frozen"/>
      <selection pane="bottomRight" activeCell="E61" sqref="E61"/>
      <pageMargins left="0.7" right="0.7" top="0.75" bottom="0.75" header="0.3" footer="0.3"/>
      <pageSetup paperSize="9" orientation="portrait" r:id="rId24"/>
    </customSheetView>
    <customSheetView guid="{09C3E205-981E-4A4E-BE89-8B7044192060}" scale="85" hiddenRows="1">
      <pane xSplit="1" ySplit="6" topLeftCell="B23" activePane="bottomRight" state="frozen"/>
      <selection pane="bottomRight" activeCell="C49" sqref="C49"/>
      <pageMargins left="0.7" right="0.7" top="0.75" bottom="0.75" header="0.3" footer="0.3"/>
      <pageSetup paperSize="9" orientation="portrait" r:id="rId25"/>
    </customSheetView>
    <customSheetView guid="{84867370-1F3E-4368-AF79-FBCE46FFFE92}" scale="85" hiddenRows="1">
      <pane xSplit="1" ySplit="6" topLeftCell="B26" activePane="bottomRight" state="frozen"/>
      <selection pane="bottomRight" activeCell="C35" sqref="C35"/>
      <pageMargins left="0.7" right="0.7" top="0.75" bottom="0.75" header="0.3" footer="0.3"/>
      <pageSetup paperSize="9" orientation="portrait" r:id="rId26"/>
    </customSheetView>
    <customSheetView guid="{0C2B9C2A-7B94-41EF-A2E6-F8AC9A67DE25}" scale="85" hiddenRows="1">
      <pane xSplit="1" ySplit="6" topLeftCell="B57" activePane="bottomRight" state="frozen"/>
      <selection pane="bottomRight" activeCell="F77" sqref="F77"/>
      <pageMargins left="0.7" right="0.7" top="0.75" bottom="0.75" header="0.3" footer="0.3"/>
      <pageSetup paperSize="9" orientation="portrait" r:id="rId27"/>
    </customSheetView>
    <customSheetView guid="{CB4792DB-A624-4844-AEB6-A6ADA80946BB}" scale="85" hiddenRows="1">
      <pane xSplit="1" ySplit="6" topLeftCell="B57" activePane="bottomRight" state="frozen"/>
      <selection pane="bottomRight" activeCell="F77" sqref="F77"/>
      <pageMargins left="0.7" right="0.7" top="0.75" bottom="0.75" header="0.3" footer="0.3"/>
      <pageSetup paperSize="9" orientation="portrait" r:id="rId28"/>
    </customSheetView>
    <customSheetView guid="{74870EE6-26B9-40F7-9DC9-260EF16D8959}" scale="85" hiddenRows="1">
      <pane xSplit="1" ySplit="6" topLeftCell="B57" activePane="bottomRight" state="frozen"/>
      <selection pane="bottomRight" activeCell="F77" sqref="F77"/>
      <pageMargins left="0.7" right="0.7" top="0.75" bottom="0.75" header="0.3" footer="0.3"/>
      <pageSetup paperSize="9" orientation="portrait" r:id="rId29"/>
    </customSheetView>
    <customSheetView guid="{6A602CB8-B24C-4ED4-B378-B27354BE0A1A}" scale="85" hiddenRows="1">
      <pane xSplit="1" ySplit="6" topLeftCell="B57" activePane="bottomRight" state="frozen"/>
      <selection pane="bottomRight" activeCell="F77" sqref="F77"/>
      <pageMargins left="0.7" right="0.7" top="0.75" bottom="0.75" header="0.3" footer="0.3"/>
      <pageSetup paperSize="9" orientation="portrait" r:id="rId30"/>
    </customSheetView>
    <customSheetView guid="{4F41B9CC-959D-442C-80B0-1F0DB2C76D27}" scale="85" hiddenRows="1">
      <pane xSplit="1" ySplit="5" topLeftCell="B57" activePane="bottomRight" state="frozen"/>
      <selection pane="bottomRight" activeCell="F77" sqref="F77"/>
      <pageMargins left="0.7" right="0.7" top="0.75" bottom="0.75" header="0.3" footer="0.3"/>
      <pageSetup paperSize="9" orientation="portrait" r:id="rId31"/>
    </customSheetView>
    <customSheetView guid="{47B983AB-FE5F-4725-860C-A2F29420596D}" scale="85" hiddenRows="1">
      <pane xSplit="1" ySplit="6" topLeftCell="B57" activePane="bottomRight" state="frozen"/>
      <selection pane="bottomRight" activeCell="F77" sqref="F77"/>
      <pageMargins left="0.7" right="0.7" top="0.75" bottom="0.75" header="0.3" footer="0.3"/>
      <pageSetup paperSize="9" orientation="portrait" r:id="rId32"/>
    </customSheetView>
  </customSheetViews>
  <mergeCells count="21">
    <mergeCell ref="A1:AF1"/>
    <mergeCell ref="A2:AE2"/>
    <mergeCell ref="A3:A4"/>
    <mergeCell ref="AF3:AF5"/>
    <mergeCell ref="T3:U4"/>
    <mergeCell ref="V3:W4"/>
    <mergeCell ref="X3:Y4"/>
    <mergeCell ref="Z3:AA4"/>
    <mergeCell ref="AB3:AC4"/>
    <mergeCell ref="AD3:AE4"/>
    <mergeCell ref="H3:I4"/>
    <mergeCell ref="J3:K4"/>
    <mergeCell ref="L3:M4"/>
    <mergeCell ref="N3:O4"/>
    <mergeCell ref="P3:Q4"/>
    <mergeCell ref="R3:S4"/>
    <mergeCell ref="B3:B4"/>
    <mergeCell ref="C3:C4"/>
    <mergeCell ref="D3:D4"/>
    <mergeCell ref="E3:E4"/>
    <mergeCell ref="F3:G4"/>
  </mergeCells>
  <hyperlinks>
    <hyperlink ref="A2:AE2" location="Оглавление!A1" display=" &quot;Содействие занятости населения города Когалыма&quot;"/>
  </hyperlinks>
  <pageMargins left="0.7" right="0.7" top="0.75" bottom="0.75" header="0.3" footer="0.3"/>
  <pageSetup paperSize="9" orientation="portrait" r:id="rId33"/>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
  <sheetViews>
    <sheetView zoomScale="75" zoomScaleNormal="75" workbookViewId="0">
      <pane ySplit="4" topLeftCell="A32" activePane="bottomLeft" state="frozen"/>
      <selection pane="bottomLeft" activeCell="G46" sqref="G46"/>
    </sheetView>
  </sheetViews>
  <sheetFormatPr defaultColWidth="9.140625" defaultRowHeight="15" x14ac:dyDescent="0.25"/>
  <cols>
    <col min="1" max="1" width="34.42578125" style="226" customWidth="1"/>
    <col min="2" max="5" width="14.85546875" style="226" customWidth="1"/>
    <col min="6" max="6" width="11.140625" style="226" customWidth="1"/>
    <col min="7" max="7" width="11.85546875" style="226" customWidth="1"/>
    <col min="8" max="11" width="10.5703125" style="226" customWidth="1"/>
    <col min="12" max="12" width="12.5703125" style="226" customWidth="1"/>
    <col min="13" max="22" width="10.5703125" style="226" customWidth="1"/>
    <col min="23" max="27" width="9.140625" style="226"/>
    <col min="28" max="28" width="12" style="226" customWidth="1"/>
    <col min="29" max="29" width="9.140625" style="226"/>
    <col min="30" max="30" width="13.42578125" style="226" customWidth="1"/>
    <col min="31" max="31" width="9.140625" style="226"/>
    <col min="32" max="32" width="52.85546875" style="226" customWidth="1"/>
    <col min="33" max="16384" width="9.140625" style="226"/>
  </cols>
  <sheetData>
    <row r="1" spans="1:32" ht="36.75" customHeight="1" x14ac:dyDescent="0.3">
      <c r="A1" s="982" t="s">
        <v>382</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274"/>
      <c r="AF1" s="274"/>
    </row>
    <row r="2" spans="1:32" ht="47.25" x14ac:dyDescent="0.25">
      <c r="A2" s="983" t="s">
        <v>383</v>
      </c>
      <c r="B2" s="983" t="s">
        <v>384</v>
      </c>
      <c r="C2" s="983" t="s">
        <v>602</v>
      </c>
      <c r="D2" s="983" t="s">
        <v>603</v>
      </c>
      <c r="E2" s="983" t="s">
        <v>604</v>
      </c>
      <c r="F2" s="985" t="s">
        <v>385</v>
      </c>
      <c r="G2" s="986"/>
      <c r="H2" s="975" t="s">
        <v>7</v>
      </c>
      <c r="I2" s="976"/>
      <c r="J2" s="975" t="s">
        <v>8</v>
      </c>
      <c r="K2" s="976"/>
      <c r="L2" s="975" t="s">
        <v>9</v>
      </c>
      <c r="M2" s="976"/>
      <c r="N2" s="975" t="s">
        <v>10</v>
      </c>
      <c r="O2" s="976"/>
      <c r="P2" s="975" t="s">
        <v>11</v>
      </c>
      <c r="Q2" s="976"/>
      <c r="R2" s="975" t="s">
        <v>12</v>
      </c>
      <c r="S2" s="976"/>
      <c r="T2" s="975" t="s">
        <v>13</v>
      </c>
      <c r="U2" s="976"/>
      <c r="V2" s="975" t="s">
        <v>14</v>
      </c>
      <c r="W2" s="976"/>
      <c r="X2" s="975" t="s">
        <v>15</v>
      </c>
      <c r="Y2" s="976"/>
      <c r="Z2" s="975" t="s">
        <v>16</v>
      </c>
      <c r="AA2" s="976"/>
      <c r="AB2" s="975" t="s">
        <v>17</v>
      </c>
      <c r="AC2" s="976"/>
      <c r="AD2" s="975" t="s">
        <v>18</v>
      </c>
      <c r="AE2" s="976"/>
      <c r="AF2" s="987" t="s">
        <v>19</v>
      </c>
    </row>
    <row r="3" spans="1:32" ht="47.25" x14ac:dyDescent="0.25">
      <c r="A3" s="984"/>
      <c r="B3" s="984"/>
      <c r="C3" s="984"/>
      <c r="D3" s="984"/>
      <c r="E3" s="984"/>
      <c r="F3" s="275" t="s">
        <v>386</v>
      </c>
      <c r="G3" s="275" t="s">
        <v>21</v>
      </c>
      <c r="H3" s="276" t="s">
        <v>165</v>
      </c>
      <c r="I3" s="276" t="s">
        <v>23</v>
      </c>
      <c r="J3" s="276" t="s">
        <v>165</v>
      </c>
      <c r="K3" s="276" t="s">
        <v>23</v>
      </c>
      <c r="L3" s="276" t="s">
        <v>165</v>
      </c>
      <c r="M3" s="276" t="s">
        <v>23</v>
      </c>
      <c r="N3" s="276" t="s">
        <v>165</v>
      </c>
      <c r="O3" s="276" t="s">
        <v>23</v>
      </c>
      <c r="P3" s="276" t="s">
        <v>165</v>
      </c>
      <c r="Q3" s="276" t="s">
        <v>23</v>
      </c>
      <c r="R3" s="276" t="s">
        <v>165</v>
      </c>
      <c r="S3" s="276" t="s">
        <v>23</v>
      </c>
      <c r="T3" s="276" t="s">
        <v>165</v>
      </c>
      <c r="U3" s="276" t="s">
        <v>23</v>
      </c>
      <c r="V3" s="276" t="s">
        <v>165</v>
      </c>
      <c r="W3" s="276" t="s">
        <v>23</v>
      </c>
      <c r="X3" s="276" t="s">
        <v>165</v>
      </c>
      <c r="Y3" s="276" t="s">
        <v>23</v>
      </c>
      <c r="Z3" s="276" t="s">
        <v>165</v>
      </c>
      <c r="AA3" s="276" t="s">
        <v>23</v>
      </c>
      <c r="AB3" s="276" t="s">
        <v>165</v>
      </c>
      <c r="AC3" s="276" t="s">
        <v>23</v>
      </c>
      <c r="AD3" s="276" t="s">
        <v>165</v>
      </c>
      <c r="AE3" s="276" t="s">
        <v>23</v>
      </c>
      <c r="AF3" s="987"/>
    </row>
    <row r="4" spans="1:32" ht="15.75" x14ac:dyDescent="0.25">
      <c r="A4" s="277">
        <v>1</v>
      </c>
      <c r="B4" s="277">
        <v>2</v>
      </c>
      <c r="C4" s="277">
        <v>3</v>
      </c>
      <c r="D4" s="277">
        <v>4</v>
      </c>
      <c r="E4" s="277">
        <v>5</v>
      </c>
      <c r="F4" s="277">
        <v>6</v>
      </c>
      <c r="G4" s="277">
        <v>7</v>
      </c>
      <c r="H4" s="276">
        <v>8</v>
      </c>
      <c r="I4" s="276">
        <v>9</v>
      </c>
      <c r="J4" s="276">
        <v>10</v>
      </c>
      <c r="K4" s="276">
        <v>11</v>
      </c>
      <c r="L4" s="276">
        <v>12</v>
      </c>
      <c r="M4" s="276">
        <v>13</v>
      </c>
      <c r="N4" s="276">
        <v>14</v>
      </c>
      <c r="O4" s="276">
        <v>15</v>
      </c>
      <c r="P4" s="276">
        <v>16</v>
      </c>
      <c r="Q4" s="276">
        <v>17</v>
      </c>
      <c r="R4" s="276">
        <v>18</v>
      </c>
      <c r="S4" s="276">
        <v>19</v>
      </c>
      <c r="T4" s="276">
        <v>20</v>
      </c>
      <c r="U4" s="276">
        <v>21</v>
      </c>
      <c r="V4" s="276">
        <v>22</v>
      </c>
      <c r="W4" s="276">
        <v>23</v>
      </c>
      <c r="X4" s="276">
        <v>24</v>
      </c>
      <c r="Y4" s="276">
        <v>25</v>
      </c>
      <c r="Z4" s="276">
        <v>26</v>
      </c>
      <c r="AA4" s="276">
        <v>27</v>
      </c>
      <c r="AB4" s="276">
        <v>28</v>
      </c>
      <c r="AC4" s="276">
        <v>29</v>
      </c>
      <c r="AD4" s="276">
        <v>30</v>
      </c>
      <c r="AE4" s="276">
        <v>31</v>
      </c>
      <c r="AF4" s="276">
        <v>32</v>
      </c>
    </row>
    <row r="5" spans="1:32" ht="15.75" x14ac:dyDescent="0.25">
      <c r="A5" s="977" t="s">
        <v>387</v>
      </c>
      <c r="B5" s="977"/>
      <c r="C5" s="977"/>
      <c r="D5" s="977"/>
      <c r="E5" s="977"/>
      <c r="F5" s="977"/>
      <c r="G5" s="977"/>
      <c r="H5" s="977"/>
      <c r="I5" s="977"/>
      <c r="J5" s="977"/>
      <c r="K5" s="977"/>
      <c r="L5" s="977"/>
      <c r="M5" s="977"/>
      <c r="N5" s="977"/>
      <c r="O5" s="977"/>
      <c r="P5" s="977"/>
      <c r="Q5" s="977"/>
      <c r="R5" s="977"/>
      <c r="S5" s="977"/>
      <c r="T5" s="977"/>
      <c r="U5" s="977"/>
      <c r="V5" s="977"/>
      <c r="W5" s="977"/>
      <c r="X5" s="977"/>
      <c r="Y5" s="977"/>
      <c r="Z5" s="977"/>
      <c r="AA5" s="977"/>
      <c r="AB5" s="977"/>
      <c r="AC5" s="977"/>
      <c r="AD5" s="978"/>
      <c r="AE5" s="278"/>
      <c r="AF5" s="278"/>
    </row>
    <row r="6" spans="1:32" ht="15.75" x14ac:dyDescent="0.25">
      <c r="A6" s="973" t="s">
        <v>54</v>
      </c>
      <c r="B6" s="973"/>
      <c r="C6" s="973"/>
      <c r="D6" s="973"/>
      <c r="E6" s="973"/>
      <c r="F6" s="973"/>
      <c r="G6" s="973"/>
      <c r="H6" s="973"/>
      <c r="I6" s="973"/>
      <c r="J6" s="973"/>
      <c r="K6" s="973"/>
      <c r="L6" s="973"/>
      <c r="M6" s="973"/>
      <c r="N6" s="973"/>
      <c r="O6" s="973"/>
      <c r="P6" s="973"/>
      <c r="Q6" s="973"/>
      <c r="R6" s="973"/>
      <c r="S6" s="973"/>
      <c r="T6" s="973"/>
      <c r="U6" s="973"/>
      <c r="V6" s="973"/>
      <c r="W6" s="973"/>
      <c r="X6" s="973"/>
      <c r="Y6" s="973"/>
      <c r="Z6" s="973"/>
      <c r="AA6" s="973"/>
      <c r="AB6" s="973"/>
      <c r="AC6" s="973"/>
      <c r="AD6" s="973"/>
      <c r="AE6" s="974"/>
      <c r="AF6" s="278"/>
    </row>
    <row r="7" spans="1:32" ht="15.75" x14ac:dyDescent="0.25">
      <c r="A7" s="279" t="s">
        <v>388</v>
      </c>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80"/>
      <c r="AE7" s="278"/>
      <c r="AF7" s="278"/>
    </row>
    <row r="8" spans="1:32" ht="15.75" x14ac:dyDescent="0.25">
      <c r="A8" s="281" t="s">
        <v>31</v>
      </c>
      <c r="B8" s="282">
        <f>B9</f>
        <v>3453.3</v>
      </c>
      <c r="C8" s="282">
        <f>C9</f>
        <v>0</v>
      </c>
      <c r="D8" s="282">
        <f t="shared" ref="D8:E8" si="0">D9</f>
        <v>0</v>
      </c>
      <c r="E8" s="282">
        <f t="shared" si="0"/>
        <v>0</v>
      </c>
      <c r="F8" s="282">
        <f t="shared" ref="F8:F18" si="1">IFERROR(E8/B8*100,0)</f>
        <v>0</v>
      </c>
      <c r="G8" s="282">
        <f t="shared" ref="G8:G18" si="2">IFERROR(E8/C8*100,0)</f>
        <v>0</v>
      </c>
      <c r="H8" s="282">
        <f>H9</f>
        <v>0</v>
      </c>
      <c r="I8" s="282">
        <f t="shared" ref="I8:AE8" si="3">I9</f>
        <v>0</v>
      </c>
      <c r="J8" s="282">
        <f t="shared" si="3"/>
        <v>0</v>
      </c>
      <c r="K8" s="282">
        <f t="shared" si="3"/>
        <v>0</v>
      </c>
      <c r="L8" s="282">
        <f t="shared" si="3"/>
        <v>0</v>
      </c>
      <c r="M8" s="282">
        <f t="shared" si="3"/>
        <v>0</v>
      </c>
      <c r="N8" s="282">
        <f t="shared" si="3"/>
        <v>0</v>
      </c>
      <c r="O8" s="282">
        <f t="shared" si="3"/>
        <v>0</v>
      </c>
      <c r="P8" s="282">
        <f t="shared" si="3"/>
        <v>0</v>
      </c>
      <c r="Q8" s="282">
        <f t="shared" si="3"/>
        <v>0</v>
      </c>
      <c r="R8" s="282">
        <f t="shared" si="3"/>
        <v>0</v>
      </c>
      <c r="S8" s="282">
        <f t="shared" si="3"/>
        <v>0</v>
      </c>
      <c r="T8" s="282">
        <f t="shared" si="3"/>
        <v>0</v>
      </c>
      <c r="U8" s="282">
        <f t="shared" si="3"/>
        <v>0</v>
      </c>
      <c r="V8" s="282">
        <f t="shared" si="3"/>
        <v>0</v>
      </c>
      <c r="W8" s="282">
        <f t="shared" si="3"/>
        <v>0</v>
      </c>
      <c r="X8" s="282">
        <f t="shared" si="3"/>
        <v>0</v>
      </c>
      <c r="Y8" s="282">
        <f t="shared" si="3"/>
        <v>0</v>
      </c>
      <c r="Z8" s="282">
        <f t="shared" si="3"/>
        <v>0</v>
      </c>
      <c r="AA8" s="282">
        <f t="shared" si="3"/>
        <v>0</v>
      </c>
      <c r="AB8" s="282">
        <f t="shared" si="3"/>
        <v>2992.4</v>
      </c>
      <c r="AC8" s="282">
        <f t="shared" si="3"/>
        <v>0</v>
      </c>
      <c r="AD8" s="282">
        <f t="shared" si="3"/>
        <v>460.9</v>
      </c>
      <c r="AE8" s="282">
        <f t="shared" si="3"/>
        <v>0</v>
      </c>
      <c r="AF8" s="283"/>
    </row>
    <row r="9" spans="1:32" ht="15.75" x14ac:dyDescent="0.25">
      <c r="A9" s="284" t="s">
        <v>33</v>
      </c>
      <c r="B9" s="285">
        <f t="shared" ref="B9" si="4">H9+J9+L9+N9+P9+R9+T9+V9+X9+Z9+AB9+AD9</f>
        <v>3453.3</v>
      </c>
      <c r="C9" s="285">
        <f>C12</f>
        <v>0</v>
      </c>
      <c r="D9" s="285">
        <f>D12</f>
        <v>0</v>
      </c>
      <c r="E9" s="285">
        <f>I9+K9+M9+O9+Q9+S9+U9+W9+Y9+AA9+AC9+AE9</f>
        <v>0</v>
      </c>
      <c r="F9" s="285">
        <f t="shared" si="1"/>
        <v>0</v>
      </c>
      <c r="G9" s="285">
        <f t="shared" si="2"/>
        <v>0</v>
      </c>
      <c r="H9" s="285">
        <f>H12+H15</f>
        <v>0</v>
      </c>
      <c r="I9" s="285">
        <f t="shared" ref="I9:AE9" si="5">I12+I15</f>
        <v>0</v>
      </c>
      <c r="J9" s="285">
        <f t="shared" si="5"/>
        <v>0</v>
      </c>
      <c r="K9" s="285">
        <f t="shared" si="5"/>
        <v>0</v>
      </c>
      <c r="L9" s="285">
        <f t="shared" si="5"/>
        <v>0</v>
      </c>
      <c r="M9" s="285">
        <f t="shared" si="5"/>
        <v>0</v>
      </c>
      <c r="N9" s="285">
        <f t="shared" si="5"/>
        <v>0</v>
      </c>
      <c r="O9" s="285">
        <f t="shared" si="5"/>
        <v>0</v>
      </c>
      <c r="P9" s="285">
        <f t="shared" si="5"/>
        <v>0</v>
      </c>
      <c r="Q9" s="285">
        <f t="shared" si="5"/>
        <v>0</v>
      </c>
      <c r="R9" s="285">
        <f t="shared" si="5"/>
        <v>0</v>
      </c>
      <c r="S9" s="285">
        <f t="shared" si="5"/>
        <v>0</v>
      </c>
      <c r="T9" s="285">
        <f t="shared" si="5"/>
        <v>0</v>
      </c>
      <c r="U9" s="285">
        <f t="shared" si="5"/>
        <v>0</v>
      </c>
      <c r="V9" s="285">
        <f t="shared" si="5"/>
        <v>0</v>
      </c>
      <c r="W9" s="285">
        <f t="shared" si="5"/>
        <v>0</v>
      </c>
      <c r="X9" s="285">
        <f t="shared" si="5"/>
        <v>0</v>
      </c>
      <c r="Y9" s="285">
        <f t="shared" si="5"/>
        <v>0</v>
      </c>
      <c r="Z9" s="285">
        <f t="shared" si="5"/>
        <v>0</v>
      </c>
      <c r="AA9" s="285">
        <f t="shared" si="5"/>
        <v>0</v>
      </c>
      <c r="AB9" s="285">
        <f t="shared" si="5"/>
        <v>2992.4</v>
      </c>
      <c r="AC9" s="285">
        <f t="shared" si="5"/>
        <v>0</v>
      </c>
      <c r="AD9" s="285">
        <f t="shared" si="5"/>
        <v>460.9</v>
      </c>
      <c r="AE9" s="285">
        <f t="shared" si="5"/>
        <v>0</v>
      </c>
      <c r="AF9" s="286"/>
    </row>
    <row r="10" spans="1:32" ht="15.75" x14ac:dyDescent="0.25">
      <c r="A10" s="279" t="s">
        <v>389</v>
      </c>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6"/>
    </row>
    <row r="11" spans="1:32" ht="15.75" x14ac:dyDescent="0.25">
      <c r="A11" s="281" t="s">
        <v>31</v>
      </c>
      <c r="B11" s="282">
        <f>B12</f>
        <v>460.9</v>
      </c>
      <c r="C11" s="282">
        <f t="shared" ref="C11:E11" si="6">C12</f>
        <v>0</v>
      </c>
      <c r="D11" s="282">
        <f t="shared" si="6"/>
        <v>0</v>
      </c>
      <c r="E11" s="282">
        <f t="shared" si="6"/>
        <v>0</v>
      </c>
      <c r="F11" s="282">
        <f t="shared" si="1"/>
        <v>0</v>
      </c>
      <c r="G11" s="282">
        <f t="shared" si="2"/>
        <v>0</v>
      </c>
      <c r="H11" s="282">
        <f>H12</f>
        <v>0</v>
      </c>
      <c r="I11" s="282">
        <f t="shared" ref="I11:AE11" si="7">I12</f>
        <v>0</v>
      </c>
      <c r="J11" s="282">
        <f t="shared" si="7"/>
        <v>0</v>
      </c>
      <c r="K11" s="282">
        <f t="shared" si="7"/>
        <v>0</v>
      </c>
      <c r="L11" s="282">
        <f t="shared" si="7"/>
        <v>0</v>
      </c>
      <c r="M11" s="282">
        <f t="shared" si="7"/>
        <v>0</v>
      </c>
      <c r="N11" s="282">
        <f t="shared" si="7"/>
        <v>0</v>
      </c>
      <c r="O11" s="282">
        <f t="shared" si="7"/>
        <v>0</v>
      </c>
      <c r="P11" s="282">
        <f t="shared" si="7"/>
        <v>0</v>
      </c>
      <c r="Q11" s="282">
        <f t="shared" si="7"/>
        <v>0</v>
      </c>
      <c r="R11" s="282">
        <f t="shared" si="7"/>
        <v>0</v>
      </c>
      <c r="S11" s="282">
        <f t="shared" si="7"/>
        <v>0</v>
      </c>
      <c r="T11" s="282">
        <f t="shared" si="7"/>
        <v>0</v>
      </c>
      <c r="U11" s="282">
        <f t="shared" si="7"/>
        <v>0</v>
      </c>
      <c r="V11" s="282">
        <f t="shared" si="7"/>
        <v>0</v>
      </c>
      <c r="W11" s="282">
        <f t="shared" si="7"/>
        <v>0</v>
      </c>
      <c r="X11" s="282">
        <f t="shared" si="7"/>
        <v>0</v>
      </c>
      <c r="Y11" s="282">
        <f t="shared" si="7"/>
        <v>0</v>
      </c>
      <c r="Z11" s="282">
        <f t="shared" si="7"/>
        <v>0</v>
      </c>
      <c r="AA11" s="282">
        <f t="shared" si="7"/>
        <v>0</v>
      </c>
      <c r="AB11" s="282">
        <f t="shared" si="7"/>
        <v>0</v>
      </c>
      <c r="AC11" s="282">
        <f t="shared" si="7"/>
        <v>0</v>
      </c>
      <c r="AD11" s="282">
        <f t="shared" si="7"/>
        <v>460.9</v>
      </c>
      <c r="AE11" s="282">
        <f t="shared" si="7"/>
        <v>0</v>
      </c>
      <c r="AF11" s="287"/>
    </row>
    <row r="12" spans="1:32" ht="15.75" x14ac:dyDescent="0.25">
      <c r="A12" s="284" t="s">
        <v>33</v>
      </c>
      <c r="B12" s="285">
        <f>H12+J12+L12+N12+P12+R12+T12+V12+X12+Z12+AB12+AD12</f>
        <v>460.9</v>
      </c>
      <c r="C12" s="285">
        <f>H12+J12+L12+N12+P12</f>
        <v>0</v>
      </c>
      <c r="D12" s="285">
        <f>D15</f>
        <v>0</v>
      </c>
      <c r="E12" s="285">
        <f>I12+K12+M12+O12+Q12+S12+U12+W12+Y12+AA12+AC12+AE12</f>
        <v>0</v>
      </c>
      <c r="F12" s="285">
        <f t="shared" si="1"/>
        <v>0</v>
      </c>
      <c r="G12" s="285">
        <f t="shared" si="2"/>
        <v>0</v>
      </c>
      <c r="H12" s="288">
        <v>0</v>
      </c>
      <c r="I12" s="288">
        <v>0</v>
      </c>
      <c r="J12" s="288">
        <v>0</v>
      </c>
      <c r="K12" s="288">
        <v>0</v>
      </c>
      <c r="L12" s="288">
        <v>0</v>
      </c>
      <c r="M12" s="288">
        <v>0</v>
      </c>
      <c r="N12" s="288">
        <v>0</v>
      </c>
      <c r="O12" s="288">
        <v>0</v>
      </c>
      <c r="P12" s="288">
        <v>0</v>
      </c>
      <c r="Q12" s="288">
        <v>0</v>
      </c>
      <c r="R12" s="288">
        <v>0</v>
      </c>
      <c r="S12" s="288">
        <v>0</v>
      </c>
      <c r="T12" s="288">
        <v>0</v>
      </c>
      <c r="U12" s="288">
        <v>0</v>
      </c>
      <c r="V12" s="288">
        <v>0</v>
      </c>
      <c r="W12" s="288">
        <v>0</v>
      </c>
      <c r="X12" s="288">
        <v>0</v>
      </c>
      <c r="Y12" s="288">
        <v>0</v>
      </c>
      <c r="Z12" s="288">
        <v>0</v>
      </c>
      <c r="AA12" s="288">
        <v>0</v>
      </c>
      <c r="AB12" s="288">
        <v>0</v>
      </c>
      <c r="AC12" s="288">
        <v>0</v>
      </c>
      <c r="AD12" s="288">
        <v>460.9</v>
      </c>
      <c r="AE12" s="288">
        <v>0</v>
      </c>
      <c r="AF12" s="286"/>
    </row>
    <row r="13" spans="1:32" ht="15.75" x14ac:dyDescent="0.25">
      <c r="A13" s="279" t="s">
        <v>390</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6"/>
    </row>
    <row r="14" spans="1:32" ht="15.75" x14ac:dyDescent="0.25">
      <c r="A14" s="281" t="s">
        <v>31</v>
      </c>
      <c r="B14" s="282">
        <f>B15</f>
        <v>2992.4</v>
      </c>
      <c r="C14" s="282">
        <f t="shared" ref="C14:E14" si="8">C15</f>
        <v>0</v>
      </c>
      <c r="D14" s="282">
        <f t="shared" si="8"/>
        <v>0</v>
      </c>
      <c r="E14" s="282">
        <f t="shared" si="8"/>
        <v>0</v>
      </c>
      <c r="F14" s="282">
        <f t="shared" ref="F14:F15" si="9">IFERROR(E14/B14*100,0)</f>
        <v>0</v>
      </c>
      <c r="G14" s="282">
        <f t="shared" ref="G14:G15" si="10">IFERROR(E14/C14*100,0)</f>
        <v>0</v>
      </c>
      <c r="H14" s="282">
        <f>H15</f>
        <v>0</v>
      </c>
      <c r="I14" s="282">
        <f t="shared" ref="I14:AE14" si="11">I15</f>
        <v>0</v>
      </c>
      <c r="J14" s="282">
        <f t="shared" si="11"/>
        <v>0</v>
      </c>
      <c r="K14" s="282">
        <f t="shared" si="11"/>
        <v>0</v>
      </c>
      <c r="L14" s="282">
        <f t="shared" si="11"/>
        <v>0</v>
      </c>
      <c r="M14" s="282">
        <f t="shared" si="11"/>
        <v>0</v>
      </c>
      <c r="N14" s="282">
        <f t="shared" si="11"/>
        <v>0</v>
      </c>
      <c r="O14" s="282">
        <f t="shared" si="11"/>
        <v>0</v>
      </c>
      <c r="P14" s="282">
        <f t="shared" si="11"/>
        <v>0</v>
      </c>
      <c r="Q14" s="282">
        <f t="shared" si="11"/>
        <v>0</v>
      </c>
      <c r="R14" s="282">
        <f t="shared" si="11"/>
        <v>0</v>
      </c>
      <c r="S14" s="282">
        <f t="shared" si="11"/>
        <v>0</v>
      </c>
      <c r="T14" s="282">
        <f t="shared" si="11"/>
        <v>0</v>
      </c>
      <c r="U14" s="282">
        <f t="shared" si="11"/>
        <v>0</v>
      </c>
      <c r="V14" s="282">
        <f t="shared" si="11"/>
        <v>0</v>
      </c>
      <c r="W14" s="282">
        <f t="shared" si="11"/>
        <v>0</v>
      </c>
      <c r="X14" s="282">
        <f t="shared" si="11"/>
        <v>0</v>
      </c>
      <c r="Y14" s="282">
        <f t="shared" si="11"/>
        <v>0</v>
      </c>
      <c r="Z14" s="282">
        <f t="shared" si="11"/>
        <v>0</v>
      </c>
      <c r="AA14" s="282">
        <f t="shared" si="11"/>
        <v>0</v>
      </c>
      <c r="AB14" s="282">
        <f t="shared" si="11"/>
        <v>2992.4</v>
      </c>
      <c r="AC14" s="282">
        <f t="shared" si="11"/>
        <v>0</v>
      </c>
      <c r="AD14" s="282">
        <f t="shared" si="11"/>
        <v>0</v>
      </c>
      <c r="AE14" s="282">
        <f t="shared" si="11"/>
        <v>0</v>
      </c>
      <c r="AF14" s="287"/>
    </row>
    <row r="15" spans="1:32" ht="15.75" x14ac:dyDescent="0.25">
      <c r="A15" s="284" t="s">
        <v>33</v>
      </c>
      <c r="B15" s="285">
        <f>H15+J15+L15+N15+P15+R15+T15+V15+X15+Z15+AB15+AD15</f>
        <v>2992.4</v>
      </c>
      <c r="C15" s="285">
        <f>H15+J15+L15+N15+P15</f>
        <v>0</v>
      </c>
      <c r="D15" s="285">
        <f>D18</f>
        <v>0</v>
      </c>
      <c r="E15" s="285">
        <f>I15+K15+M15+O15+Q15+S15+U15+W15+Y15+AA15+AC15+AE15</f>
        <v>0</v>
      </c>
      <c r="F15" s="285">
        <f t="shared" si="9"/>
        <v>0</v>
      </c>
      <c r="G15" s="285">
        <f t="shared" si="10"/>
        <v>0</v>
      </c>
      <c r="H15" s="288">
        <v>0</v>
      </c>
      <c r="I15" s="288">
        <v>0</v>
      </c>
      <c r="J15" s="288">
        <v>0</v>
      </c>
      <c r="K15" s="288">
        <v>0</v>
      </c>
      <c r="L15" s="288">
        <v>0</v>
      </c>
      <c r="M15" s="288">
        <v>0</v>
      </c>
      <c r="N15" s="288">
        <v>0</v>
      </c>
      <c r="O15" s="288">
        <v>0</v>
      </c>
      <c r="P15" s="288">
        <v>0</v>
      </c>
      <c r="Q15" s="288">
        <v>0</v>
      </c>
      <c r="R15" s="288">
        <v>0</v>
      </c>
      <c r="S15" s="288">
        <v>0</v>
      </c>
      <c r="T15" s="288">
        <v>0</v>
      </c>
      <c r="U15" s="288">
        <v>0</v>
      </c>
      <c r="V15" s="288">
        <v>0</v>
      </c>
      <c r="W15" s="288">
        <v>0</v>
      </c>
      <c r="X15" s="288">
        <v>0</v>
      </c>
      <c r="Y15" s="288">
        <v>0</v>
      </c>
      <c r="Z15" s="288">
        <v>0</v>
      </c>
      <c r="AA15" s="288">
        <v>0</v>
      </c>
      <c r="AB15" s="288">
        <v>2992.4</v>
      </c>
      <c r="AC15" s="288">
        <v>0</v>
      </c>
      <c r="AD15" s="288">
        <v>0</v>
      </c>
      <c r="AE15" s="288">
        <v>0</v>
      </c>
      <c r="AF15" s="286"/>
    </row>
    <row r="16" spans="1:32" ht="15.75" x14ac:dyDescent="0.25">
      <c r="A16" s="289" t="s">
        <v>53</v>
      </c>
      <c r="B16" s="285"/>
      <c r="C16" s="285"/>
      <c r="D16" s="285"/>
      <c r="E16" s="285"/>
      <c r="F16" s="285"/>
      <c r="G16" s="285"/>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6"/>
    </row>
    <row r="17" spans="1:32" ht="126" x14ac:dyDescent="0.25">
      <c r="A17" s="290" t="s">
        <v>31</v>
      </c>
      <c r="B17" s="282">
        <f>B18</f>
        <v>3453.3</v>
      </c>
      <c r="C17" s="282">
        <f t="shared" ref="C17:E17" si="12">C18</f>
        <v>0</v>
      </c>
      <c r="D17" s="282">
        <f t="shared" si="12"/>
        <v>0</v>
      </c>
      <c r="E17" s="282">
        <f t="shared" si="12"/>
        <v>0</v>
      </c>
      <c r="F17" s="282">
        <f t="shared" si="1"/>
        <v>0</v>
      </c>
      <c r="G17" s="282">
        <f t="shared" si="2"/>
        <v>0</v>
      </c>
      <c r="H17" s="282">
        <f>H18</f>
        <v>0</v>
      </c>
      <c r="I17" s="282">
        <f t="shared" ref="I17:AE17" si="13">I18</f>
        <v>0</v>
      </c>
      <c r="J17" s="282">
        <f t="shared" si="13"/>
        <v>0</v>
      </c>
      <c r="K17" s="282">
        <f t="shared" si="13"/>
        <v>0</v>
      </c>
      <c r="L17" s="282">
        <f t="shared" si="13"/>
        <v>0</v>
      </c>
      <c r="M17" s="282">
        <f t="shared" si="13"/>
        <v>0</v>
      </c>
      <c r="N17" s="282">
        <f t="shared" si="13"/>
        <v>0</v>
      </c>
      <c r="O17" s="282">
        <f t="shared" si="13"/>
        <v>0</v>
      </c>
      <c r="P17" s="282">
        <f t="shared" si="13"/>
        <v>0</v>
      </c>
      <c r="Q17" s="282">
        <f t="shared" si="13"/>
        <v>0</v>
      </c>
      <c r="R17" s="282">
        <f t="shared" si="13"/>
        <v>0</v>
      </c>
      <c r="S17" s="282">
        <f t="shared" si="13"/>
        <v>0</v>
      </c>
      <c r="T17" s="282">
        <f t="shared" si="13"/>
        <v>0</v>
      </c>
      <c r="U17" s="282">
        <f t="shared" si="13"/>
        <v>0</v>
      </c>
      <c r="V17" s="282">
        <f t="shared" si="13"/>
        <v>0</v>
      </c>
      <c r="W17" s="282">
        <f t="shared" si="13"/>
        <v>0</v>
      </c>
      <c r="X17" s="282">
        <f t="shared" si="13"/>
        <v>0</v>
      </c>
      <c r="Y17" s="282">
        <f t="shared" si="13"/>
        <v>0</v>
      </c>
      <c r="Z17" s="282">
        <f t="shared" si="13"/>
        <v>0</v>
      </c>
      <c r="AA17" s="282">
        <f t="shared" si="13"/>
        <v>0</v>
      </c>
      <c r="AB17" s="282">
        <f t="shared" si="13"/>
        <v>2992.4</v>
      </c>
      <c r="AC17" s="282">
        <f t="shared" si="13"/>
        <v>0</v>
      </c>
      <c r="AD17" s="282">
        <f t="shared" si="13"/>
        <v>460.9</v>
      </c>
      <c r="AE17" s="282">
        <f t="shared" si="13"/>
        <v>0</v>
      </c>
      <c r="AF17" s="936" t="s">
        <v>570</v>
      </c>
    </row>
    <row r="18" spans="1:32" ht="15.75" x14ac:dyDescent="0.25">
      <c r="A18" s="291" t="s">
        <v>33</v>
      </c>
      <c r="B18" s="285">
        <f>H18+J18+L18+N18+P18+R18+T18+V18+X18+Z18+AB18+AD18</f>
        <v>3453.3</v>
      </c>
      <c r="C18" s="285">
        <f>H18+J18+L18+N18+P18</f>
        <v>0</v>
      </c>
      <c r="D18" s="285">
        <f>I18+K18+M18+O18+Q18</f>
        <v>0</v>
      </c>
      <c r="E18" s="285">
        <f t="shared" ref="E18" si="14">I18+K18+M18+O18+Q18+S18+U18+W18+Y18+AA18+AC18+AE18</f>
        <v>0</v>
      </c>
      <c r="F18" s="285">
        <f t="shared" si="1"/>
        <v>0</v>
      </c>
      <c r="G18" s="285">
        <f t="shared" si="2"/>
        <v>0</v>
      </c>
      <c r="H18" s="288">
        <f t="shared" ref="H18:AE18" si="15">H9</f>
        <v>0</v>
      </c>
      <c r="I18" s="288">
        <f t="shared" si="15"/>
        <v>0</v>
      </c>
      <c r="J18" s="288">
        <f t="shared" si="15"/>
        <v>0</v>
      </c>
      <c r="K18" s="288">
        <f t="shared" si="15"/>
        <v>0</v>
      </c>
      <c r="L18" s="288">
        <f t="shared" si="15"/>
        <v>0</v>
      </c>
      <c r="M18" s="288">
        <f t="shared" si="15"/>
        <v>0</v>
      </c>
      <c r="N18" s="288">
        <f t="shared" si="15"/>
        <v>0</v>
      </c>
      <c r="O18" s="288">
        <f t="shared" si="15"/>
        <v>0</v>
      </c>
      <c r="P18" s="288">
        <f t="shared" si="15"/>
        <v>0</v>
      </c>
      <c r="Q18" s="288">
        <f t="shared" si="15"/>
        <v>0</v>
      </c>
      <c r="R18" s="288">
        <f t="shared" si="15"/>
        <v>0</v>
      </c>
      <c r="S18" s="288">
        <f t="shared" si="15"/>
        <v>0</v>
      </c>
      <c r="T18" s="288">
        <f t="shared" si="15"/>
        <v>0</v>
      </c>
      <c r="U18" s="288">
        <f t="shared" si="15"/>
        <v>0</v>
      </c>
      <c r="V18" s="288">
        <f t="shared" si="15"/>
        <v>0</v>
      </c>
      <c r="W18" s="288">
        <f t="shared" si="15"/>
        <v>0</v>
      </c>
      <c r="X18" s="288">
        <f t="shared" si="15"/>
        <v>0</v>
      </c>
      <c r="Y18" s="288">
        <f t="shared" si="15"/>
        <v>0</v>
      </c>
      <c r="Z18" s="288">
        <f t="shared" si="15"/>
        <v>0</v>
      </c>
      <c r="AA18" s="288">
        <f t="shared" si="15"/>
        <v>0</v>
      </c>
      <c r="AB18" s="288">
        <f t="shared" si="15"/>
        <v>2992.4</v>
      </c>
      <c r="AC18" s="288">
        <f t="shared" si="15"/>
        <v>0</v>
      </c>
      <c r="AD18" s="288">
        <f t="shared" si="15"/>
        <v>460.9</v>
      </c>
      <c r="AE18" s="288">
        <f t="shared" si="15"/>
        <v>0</v>
      </c>
      <c r="AF18" s="286" t="s">
        <v>571</v>
      </c>
    </row>
    <row r="19" spans="1:32" ht="15.75" x14ac:dyDescent="0.25">
      <c r="A19" s="977" t="s">
        <v>391</v>
      </c>
      <c r="B19" s="977"/>
      <c r="C19" s="977"/>
      <c r="D19" s="977"/>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8"/>
      <c r="AE19" s="292"/>
      <c r="AF19" s="286" t="s">
        <v>572</v>
      </c>
    </row>
    <row r="20" spans="1:32" ht="15.75" x14ac:dyDescent="0.25">
      <c r="A20" s="973" t="s">
        <v>54</v>
      </c>
      <c r="B20" s="973"/>
      <c r="C20" s="97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4"/>
      <c r="AF20" s="292"/>
    </row>
    <row r="21" spans="1:32" ht="15.75" x14ac:dyDescent="0.25">
      <c r="A21" s="279" t="s">
        <v>392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4"/>
      <c r="AF21" s="283"/>
    </row>
    <row r="22" spans="1:32" ht="15.75" x14ac:dyDescent="0.25">
      <c r="A22" s="295" t="s">
        <v>31</v>
      </c>
      <c r="B22" s="282">
        <f>B23+B24+B26</f>
        <v>57990.5</v>
      </c>
      <c r="C22" s="282">
        <f t="shared" ref="C22:D22" si="16">C23+C24+C26</f>
        <v>0</v>
      </c>
      <c r="D22" s="282">
        <f t="shared" si="16"/>
        <v>0</v>
      </c>
      <c r="E22" s="282">
        <f>E23+E24+E26</f>
        <v>0</v>
      </c>
      <c r="F22" s="282">
        <f>IFERROR(E22/B22*100,0)</f>
        <v>0</v>
      </c>
      <c r="G22" s="282">
        <f>IFERROR(E22/C22*100,0)</f>
        <v>0</v>
      </c>
      <c r="H22" s="282">
        <f>H23+H24+H26</f>
        <v>0</v>
      </c>
      <c r="I22" s="282">
        <f t="shared" ref="I22:AE22" si="17">I23+I24+I26</f>
        <v>0</v>
      </c>
      <c r="J22" s="282">
        <f t="shared" si="17"/>
        <v>0</v>
      </c>
      <c r="K22" s="282">
        <f t="shared" si="17"/>
        <v>0</v>
      </c>
      <c r="L22" s="282">
        <f t="shared" si="17"/>
        <v>0</v>
      </c>
      <c r="M22" s="282">
        <f t="shared" si="17"/>
        <v>0</v>
      </c>
      <c r="N22" s="282">
        <f t="shared" si="17"/>
        <v>0</v>
      </c>
      <c r="O22" s="282">
        <f t="shared" si="17"/>
        <v>0</v>
      </c>
      <c r="P22" s="282">
        <f t="shared" si="17"/>
        <v>0</v>
      </c>
      <c r="Q22" s="282">
        <f t="shared" si="17"/>
        <v>0</v>
      </c>
      <c r="R22" s="282">
        <f t="shared" si="17"/>
        <v>0</v>
      </c>
      <c r="S22" s="282">
        <f t="shared" si="17"/>
        <v>0</v>
      </c>
      <c r="T22" s="282">
        <f t="shared" si="17"/>
        <v>0</v>
      </c>
      <c r="U22" s="282">
        <f t="shared" si="17"/>
        <v>0</v>
      </c>
      <c r="V22" s="282">
        <f t="shared" si="17"/>
        <v>0</v>
      </c>
      <c r="W22" s="282">
        <f t="shared" si="17"/>
        <v>0</v>
      </c>
      <c r="X22" s="282">
        <f t="shared" si="17"/>
        <v>0</v>
      </c>
      <c r="Y22" s="282">
        <f t="shared" si="17"/>
        <v>0</v>
      </c>
      <c r="Z22" s="282">
        <f t="shared" si="17"/>
        <v>0</v>
      </c>
      <c r="AA22" s="282">
        <f t="shared" si="17"/>
        <v>0</v>
      </c>
      <c r="AB22" s="282">
        <f t="shared" si="17"/>
        <v>0</v>
      </c>
      <c r="AC22" s="282">
        <f t="shared" si="17"/>
        <v>0</v>
      </c>
      <c r="AD22" s="282">
        <f t="shared" si="17"/>
        <v>57990.5</v>
      </c>
      <c r="AE22" s="282">
        <f t="shared" si="17"/>
        <v>0</v>
      </c>
      <c r="AF22" s="283"/>
    </row>
    <row r="23" spans="1:32" ht="15.75" x14ac:dyDescent="0.25">
      <c r="A23" s="284" t="s">
        <v>32</v>
      </c>
      <c r="B23" s="288">
        <f>B29</f>
        <v>46392.4</v>
      </c>
      <c r="C23" s="285">
        <f>H23+J23+L23+N23</f>
        <v>0</v>
      </c>
      <c r="D23" s="285">
        <f>I23+K23+M23+O23</f>
        <v>0</v>
      </c>
      <c r="E23" s="288">
        <f>I23+K23+M23+O23</f>
        <v>0</v>
      </c>
      <c r="F23" s="285">
        <f t="shared" ref="F23:F38" si="18">IFERROR(E23/B23*100,0)</f>
        <v>0</v>
      </c>
      <c r="G23" s="285">
        <f t="shared" ref="G23:G38" si="19">IFERROR(E23/C23*100,0)</f>
        <v>0</v>
      </c>
      <c r="H23" s="288">
        <f>H29</f>
        <v>0</v>
      </c>
      <c r="I23" s="288">
        <f t="shared" ref="I23:AE26" si="20">I29</f>
        <v>0</v>
      </c>
      <c r="J23" s="288">
        <f t="shared" si="20"/>
        <v>0</v>
      </c>
      <c r="K23" s="288">
        <f>K29</f>
        <v>0</v>
      </c>
      <c r="L23" s="288">
        <f t="shared" si="20"/>
        <v>0</v>
      </c>
      <c r="M23" s="288">
        <f t="shared" si="20"/>
        <v>0</v>
      </c>
      <c r="N23" s="288">
        <f t="shared" si="20"/>
        <v>0</v>
      </c>
      <c r="O23" s="288">
        <f t="shared" si="20"/>
        <v>0</v>
      </c>
      <c r="P23" s="288">
        <f t="shared" si="20"/>
        <v>0</v>
      </c>
      <c r="Q23" s="288">
        <f t="shared" si="20"/>
        <v>0</v>
      </c>
      <c r="R23" s="288">
        <f t="shared" si="20"/>
        <v>0</v>
      </c>
      <c r="S23" s="288">
        <f t="shared" si="20"/>
        <v>0</v>
      </c>
      <c r="T23" s="288">
        <f t="shared" si="20"/>
        <v>0</v>
      </c>
      <c r="U23" s="288">
        <f t="shared" si="20"/>
        <v>0</v>
      </c>
      <c r="V23" s="288">
        <f t="shared" si="20"/>
        <v>0</v>
      </c>
      <c r="W23" s="288">
        <f t="shared" si="20"/>
        <v>0</v>
      </c>
      <c r="X23" s="288">
        <f t="shared" si="20"/>
        <v>0</v>
      </c>
      <c r="Y23" s="288">
        <f t="shared" si="20"/>
        <v>0</v>
      </c>
      <c r="Z23" s="288">
        <f t="shared" si="20"/>
        <v>0</v>
      </c>
      <c r="AA23" s="288">
        <f t="shared" si="20"/>
        <v>0</v>
      </c>
      <c r="AB23" s="288">
        <f t="shared" si="20"/>
        <v>0</v>
      </c>
      <c r="AC23" s="288">
        <f t="shared" si="20"/>
        <v>0</v>
      </c>
      <c r="AD23" s="288">
        <f t="shared" si="20"/>
        <v>46392.4</v>
      </c>
      <c r="AE23" s="288">
        <f t="shared" si="20"/>
        <v>0</v>
      </c>
      <c r="AF23" s="286"/>
    </row>
    <row r="24" spans="1:32" ht="15.75" x14ac:dyDescent="0.25">
      <c r="A24" s="284" t="s">
        <v>33</v>
      </c>
      <c r="B24" s="288">
        <f t="shared" ref="B24:B26" si="21">B30</f>
        <v>11598.1</v>
      </c>
      <c r="C24" s="285">
        <f t="shared" ref="C24:D26" si="22">H24+J24+L24+N24</f>
        <v>0</v>
      </c>
      <c r="D24" s="285">
        <f t="shared" si="22"/>
        <v>0</v>
      </c>
      <c r="E24" s="288">
        <f t="shared" ref="E24:E26" si="23">I24+K24+M24+O24</f>
        <v>0</v>
      </c>
      <c r="F24" s="285">
        <f t="shared" si="18"/>
        <v>0</v>
      </c>
      <c r="G24" s="285">
        <f t="shared" si="19"/>
        <v>0</v>
      </c>
      <c r="H24" s="288">
        <f>H30</f>
        <v>0</v>
      </c>
      <c r="I24" s="288">
        <f t="shared" si="20"/>
        <v>0</v>
      </c>
      <c r="J24" s="288">
        <f t="shared" si="20"/>
        <v>0</v>
      </c>
      <c r="K24" s="288">
        <f t="shared" si="20"/>
        <v>0</v>
      </c>
      <c r="L24" s="288">
        <f t="shared" si="20"/>
        <v>0</v>
      </c>
      <c r="M24" s="288">
        <f t="shared" si="20"/>
        <v>0</v>
      </c>
      <c r="N24" s="288">
        <f t="shared" si="20"/>
        <v>0</v>
      </c>
      <c r="O24" s="288">
        <f t="shared" si="20"/>
        <v>0</v>
      </c>
      <c r="P24" s="288">
        <f t="shared" si="20"/>
        <v>0</v>
      </c>
      <c r="Q24" s="288">
        <f t="shared" si="20"/>
        <v>0</v>
      </c>
      <c r="R24" s="288">
        <f t="shared" si="20"/>
        <v>0</v>
      </c>
      <c r="S24" s="288">
        <f t="shared" si="20"/>
        <v>0</v>
      </c>
      <c r="T24" s="288">
        <f t="shared" si="20"/>
        <v>0</v>
      </c>
      <c r="U24" s="288">
        <f t="shared" si="20"/>
        <v>0</v>
      </c>
      <c r="V24" s="288">
        <f t="shared" si="20"/>
        <v>0</v>
      </c>
      <c r="W24" s="288">
        <f t="shared" si="20"/>
        <v>0</v>
      </c>
      <c r="X24" s="288">
        <f t="shared" si="20"/>
        <v>0</v>
      </c>
      <c r="Y24" s="288">
        <f t="shared" si="20"/>
        <v>0</v>
      </c>
      <c r="Z24" s="288">
        <f t="shared" si="20"/>
        <v>0</v>
      </c>
      <c r="AA24" s="288">
        <f t="shared" si="20"/>
        <v>0</v>
      </c>
      <c r="AB24" s="288">
        <f t="shared" si="20"/>
        <v>0</v>
      </c>
      <c r="AC24" s="288">
        <f t="shared" si="20"/>
        <v>0</v>
      </c>
      <c r="AD24" s="288">
        <f t="shared" si="20"/>
        <v>11598.1</v>
      </c>
      <c r="AE24" s="288">
        <f t="shared" si="20"/>
        <v>0</v>
      </c>
      <c r="AF24" s="286"/>
    </row>
    <row r="25" spans="1:32" ht="31.5" x14ac:dyDescent="0.25">
      <c r="A25" s="296" t="s">
        <v>174</v>
      </c>
      <c r="B25" s="288">
        <f t="shared" si="21"/>
        <v>11598.1</v>
      </c>
      <c r="C25" s="285">
        <f t="shared" si="22"/>
        <v>0</v>
      </c>
      <c r="D25" s="285">
        <f t="shared" si="22"/>
        <v>0</v>
      </c>
      <c r="E25" s="288">
        <f t="shared" si="23"/>
        <v>0</v>
      </c>
      <c r="F25" s="285">
        <f t="shared" si="18"/>
        <v>0</v>
      </c>
      <c r="G25" s="285">
        <f t="shared" si="19"/>
        <v>0</v>
      </c>
      <c r="H25" s="285">
        <f>H31</f>
        <v>0</v>
      </c>
      <c r="I25" s="285">
        <f t="shared" si="20"/>
        <v>0</v>
      </c>
      <c r="J25" s="285">
        <f t="shared" si="20"/>
        <v>0</v>
      </c>
      <c r="K25" s="285">
        <f t="shared" si="20"/>
        <v>0</v>
      </c>
      <c r="L25" s="285">
        <f t="shared" si="20"/>
        <v>0</v>
      </c>
      <c r="M25" s="285">
        <f t="shared" si="20"/>
        <v>0</v>
      </c>
      <c r="N25" s="285">
        <f t="shared" si="20"/>
        <v>0</v>
      </c>
      <c r="O25" s="285">
        <f t="shared" si="20"/>
        <v>0</v>
      </c>
      <c r="P25" s="285">
        <f t="shared" si="20"/>
        <v>0</v>
      </c>
      <c r="Q25" s="285">
        <f t="shared" si="20"/>
        <v>0</v>
      </c>
      <c r="R25" s="285">
        <f t="shared" si="20"/>
        <v>0</v>
      </c>
      <c r="S25" s="285">
        <f t="shared" si="20"/>
        <v>0</v>
      </c>
      <c r="T25" s="285">
        <f t="shared" si="20"/>
        <v>0</v>
      </c>
      <c r="U25" s="285">
        <f t="shared" si="20"/>
        <v>0</v>
      </c>
      <c r="V25" s="285">
        <f t="shared" si="20"/>
        <v>0</v>
      </c>
      <c r="W25" s="285">
        <f t="shared" si="20"/>
        <v>0</v>
      </c>
      <c r="X25" s="285">
        <f t="shared" si="20"/>
        <v>0</v>
      </c>
      <c r="Y25" s="285">
        <f t="shared" si="20"/>
        <v>0</v>
      </c>
      <c r="Z25" s="285">
        <f t="shared" si="20"/>
        <v>0</v>
      </c>
      <c r="AA25" s="285">
        <f t="shared" si="20"/>
        <v>0</v>
      </c>
      <c r="AB25" s="285">
        <f t="shared" si="20"/>
        <v>0</v>
      </c>
      <c r="AC25" s="285">
        <f t="shared" si="20"/>
        <v>0</v>
      </c>
      <c r="AD25" s="285">
        <f t="shared" si="20"/>
        <v>11598.1</v>
      </c>
      <c r="AE25" s="285">
        <f t="shared" si="20"/>
        <v>0</v>
      </c>
      <c r="AF25" s="286"/>
    </row>
    <row r="26" spans="1:32" ht="31.5" x14ac:dyDescent="0.25">
      <c r="A26" s="284" t="s">
        <v>374</v>
      </c>
      <c r="B26" s="288">
        <f t="shared" si="21"/>
        <v>0</v>
      </c>
      <c r="C26" s="285">
        <f t="shared" si="22"/>
        <v>0</v>
      </c>
      <c r="D26" s="285">
        <f t="shared" si="22"/>
        <v>0</v>
      </c>
      <c r="E26" s="288">
        <f t="shared" si="23"/>
        <v>0</v>
      </c>
      <c r="F26" s="285">
        <f t="shared" si="18"/>
        <v>0</v>
      </c>
      <c r="G26" s="285">
        <f t="shared" si="19"/>
        <v>0</v>
      </c>
      <c r="H26" s="285">
        <f>H32</f>
        <v>0</v>
      </c>
      <c r="I26" s="285">
        <f t="shared" si="20"/>
        <v>0</v>
      </c>
      <c r="J26" s="285">
        <f t="shared" si="20"/>
        <v>0</v>
      </c>
      <c r="K26" s="285">
        <f t="shared" si="20"/>
        <v>0</v>
      </c>
      <c r="L26" s="285">
        <f t="shared" si="20"/>
        <v>0</v>
      </c>
      <c r="M26" s="285">
        <f t="shared" si="20"/>
        <v>0</v>
      </c>
      <c r="N26" s="285">
        <f t="shared" si="20"/>
        <v>0</v>
      </c>
      <c r="O26" s="285">
        <f t="shared" si="20"/>
        <v>0</v>
      </c>
      <c r="P26" s="285">
        <f t="shared" si="20"/>
        <v>0</v>
      </c>
      <c r="Q26" s="285">
        <f t="shared" si="20"/>
        <v>0</v>
      </c>
      <c r="R26" s="285">
        <f t="shared" si="20"/>
        <v>0</v>
      </c>
      <c r="S26" s="285">
        <f t="shared" si="20"/>
        <v>0</v>
      </c>
      <c r="T26" s="285">
        <f t="shared" si="20"/>
        <v>0</v>
      </c>
      <c r="U26" s="285">
        <f t="shared" si="20"/>
        <v>0</v>
      </c>
      <c r="V26" s="285">
        <f t="shared" si="20"/>
        <v>0</v>
      </c>
      <c r="W26" s="285">
        <f t="shared" si="20"/>
        <v>0</v>
      </c>
      <c r="X26" s="285">
        <f t="shared" si="20"/>
        <v>0</v>
      </c>
      <c r="Y26" s="285">
        <f t="shared" si="20"/>
        <v>0</v>
      </c>
      <c r="Z26" s="285">
        <f t="shared" si="20"/>
        <v>0</v>
      </c>
      <c r="AA26" s="285">
        <f t="shared" si="20"/>
        <v>0</v>
      </c>
      <c r="AB26" s="285">
        <f t="shared" si="20"/>
        <v>0</v>
      </c>
      <c r="AC26" s="285">
        <f t="shared" si="20"/>
        <v>0</v>
      </c>
      <c r="AD26" s="285">
        <f t="shared" si="20"/>
        <v>0</v>
      </c>
      <c r="AE26" s="285">
        <f t="shared" si="20"/>
        <v>0</v>
      </c>
      <c r="AF26" s="286"/>
    </row>
    <row r="27" spans="1:32" ht="15.75" x14ac:dyDescent="0.25">
      <c r="A27" s="279" t="s">
        <v>393</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97"/>
    </row>
    <row r="28" spans="1:32" ht="126" x14ac:dyDescent="0.25">
      <c r="A28" s="295" t="s">
        <v>31</v>
      </c>
      <c r="B28" s="282">
        <f>B29+B30+B32</f>
        <v>57990.5</v>
      </c>
      <c r="C28" s="282">
        <f t="shared" ref="C28:E28" si="24">C29+C30+C32</f>
        <v>0</v>
      </c>
      <c r="D28" s="282">
        <f t="shared" si="24"/>
        <v>0</v>
      </c>
      <c r="E28" s="282">
        <f t="shared" si="24"/>
        <v>0</v>
      </c>
      <c r="F28" s="282">
        <f t="shared" si="18"/>
        <v>0</v>
      </c>
      <c r="G28" s="282">
        <f t="shared" si="19"/>
        <v>0</v>
      </c>
      <c r="H28" s="282">
        <f>H29+H30+H32</f>
        <v>0</v>
      </c>
      <c r="I28" s="282">
        <f t="shared" ref="I28:AE28" si="25">I29+I30+I32</f>
        <v>0</v>
      </c>
      <c r="J28" s="282">
        <f t="shared" si="25"/>
        <v>0</v>
      </c>
      <c r="K28" s="282">
        <f t="shared" si="25"/>
        <v>0</v>
      </c>
      <c r="L28" s="282">
        <f t="shared" si="25"/>
        <v>0</v>
      </c>
      <c r="M28" s="282">
        <f t="shared" si="25"/>
        <v>0</v>
      </c>
      <c r="N28" s="282">
        <f t="shared" si="25"/>
        <v>0</v>
      </c>
      <c r="O28" s="282">
        <f t="shared" si="25"/>
        <v>0</v>
      </c>
      <c r="P28" s="282">
        <f t="shared" si="25"/>
        <v>0</v>
      </c>
      <c r="Q28" s="282">
        <f t="shared" si="25"/>
        <v>0</v>
      </c>
      <c r="R28" s="282">
        <f t="shared" si="25"/>
        <v>0</v>
      </c>
      <c r="S28" s="282">
        <f t="shared" si="25"/>
        <v>0</v>
      </c>
      <c r="T28" s="282">
        <f t="shared" si="25"/>
        <v>0</v>
      </c>
      <c r="U28" s="282">
        <f t="shared" si="25"/>
        <v>0</v>
      </c>
      <c r="V28" s="282">
        <f t="shared" si="25"/>
        <v>0</v>
      </c>
      <c r="W28" s="282">
        <f t="shared" si="25"/>
        <v>0</v>
      </c>
      <c r="X28" s="282">
        <f t="shared" si="25"/>
        <v>0</v>
      </c>
      <c r="Y28" s="282">
        <f t="shared" si="25"/>
        <v>0</v>
      </c>
      <c r="Z28" s="282">
        <f t="shared" si="25"/>
        <v>0</v>
      </c>
      <c r="AA28" s="282">
        <f t="shared" si="25"/>
        <v>0</v>
      </c>
      <c r="AB28" s="282">
        <f t="shared" si="25"/>
        <v>0</v>
      </c>
      <c r="AC28" s="282">
        <f t="shared" si="25"/>
        <v>0</v>
      </c>
      <c r="AD28" s="282">
        <f t="shared" si="25"/>
        <v>57990.5</v>
      </c>
      <c r="AE28" s="282">
        <f t="shared" si="25"/>
        <v>0</v>
      </c>
      <c r="AF28" s="979" t="s">
        <v>394</v>
      </c>
    </row>
    <row r="29" spans="1:32" ht="15.75" x14ac:dyDescent="0.25">
      <c r="A29" s="284" t="s">
        <v>32</v>
      </c>
      <c r="B29" s="285">
        <f>H29+J29+L29+N29+P29+R29+T29+V29+X29+Z29+AB29+AD29</f>
        <v>46392.4</v>
      </c>
      <c r="C29" s="285">
        <f>H29+J29</f>
        <v>0</v>
      </c>
      <c r="D29" s="285">
        <f>D32+K32</f>
        <v>0</v>
      </c>
      <c r="E29" s="285">
        <f t="shared" ref="E29" si="26">I29+K29+M29+O29+Q29+S29+U29+W29+Y29+AA29+AC29+AE29</f>
        <v>0</v>
      </c>
      <c r="F29" s="285">
        <f t="shared" si="18"/>
        <v>0</v>
      </c>
      <c r="G29" s="285">
        <f t="shared" si="19"/>
        <v>0</v>
      </c>
      <c r="H29" s="288">
        <v>0</v>
      </c>
      <c r="I29" s="288">
        <v>0</v>
      </c>
      <c r="J29" s="288">
        <v>0</v>
      </c>
      <c r="K29" s="288">
        <v>0</v>
      </c>
      <c r="L29" s="288">
        <v>0</v>
      </c>
      <c r="M29" s="288">
        <v>0</v>
      </c>
      <c r="N29" s="288">
        <v>0</v>
      </c>
      <c r="O29" s="288">
        <v>0</v>
      </c>
      <c r="P29" s="288">
        <v>0</v>
      </c>
      <c r="Q29" s="288">
        <v>0</v>
      </c>
      <c r="R29" s="288">
        <v>0</v>
      </c>
      <c r="S29" s="288">
        <v>0</v>
      </c>
      <c r="T29" s="288">
        <v>0</v>
      </c>
      <c r="U29" s="288">
        <v>0</v>
      </c>
      <c r="V29" s="288">
        <v>0</v>
      </c>
      <c r="W29" s="288">
        <v>0</v>
      </c>
      <c r="X29" s="288">
        <v>0</v>
      </c>
      <c r="Y29" s="288">
        <v>0</v>
      </c>
      <c r="Z29" s="288">
        <v>0</v>
      </c>
      <c r="AA29" s="288">
        <v>0</v>
      </c>
      <c r="AB29" s="288">
        <v>0</v>
      </c>
      <c r="AC29" s="288">
        <v>0</v>
      </c>
      <c r="AD29" s="288">
        <v>46392.4</v>
      </c>
      <c r="AE29" s="288">
        <v>0</v>
      </c>
      <c r="AF29" s="980"/>
    </row>
    <row r="30" spans="1:32" ht="15.75" x14ac:dyDescent="0.25">
      <c r="A30" s="284" t="s">
        <v>33</v>
      </c>
      <c r="B30" s="285">
        <f>H30+J30+L30+N30+P30+R30+T30+V30+X30+Z30+AB30+AD30</f>
        <v>11598.1</v>
      </c>
      <c r="C30" s="285">
        <f>H30+J30</f>
        <v>0</v>
      </c>
      <c r="D30" s="285">
        <f>D33+K33</f>
        <v>0</v>
      </c>
      <c r="E30" s="285">
        <f>I30+K30+M30+O30+Q30+S30+U30+W30+Y30+AA30+AC30+AE30</f>
        <v>0</v>
      </c>
      <c r="F30" s="285">
        <f t="shared" si="18"/>
        <v>0</v>
      </c>
      <c r="G30" s="285">
        <f t="shared" si="19"/>
        <v>0</v>
      </c>
      <c r="H30" s="285">
        <v>0</v>
      </c>
      <c r="I30" s="285">
        <v>0</v>
      </c>
      <c r="J30" s="285">
        <v>0</v>
      </c>
      <c r="K30" s="285">
        <v>0</v>
      </c>
      <c r="L30" s="285">
        <v>0</v>
      </c>
      <c r="M30" s="285">
        <v>0</v>
      </c>
      <c r="N30" s="285">
        <v>0</v>
      </c>
      <c r="O30" s="285">
        <v>0</v>
      </c>
      <c r="P30" s="285">
        <v>0</v>
      </c>
      <c r="Q30" s="285">
        <v>0</v>
      </c>
      <c r="R30" s="285">
        <v>0</v>
      </c>
      <c r="S30" s="285">
        <v>0</v>
      </c>
      <c r="T30" s="285">
        <v>0</v>
      </c>
      <c r="U30" s="285">
        <v>0</v>
      </c>
      <c r="V30" s="285">
        <v>0</v>
      </c>
      <c r="W30" s="285">
        <v>0</v>
      </c>
      <c r="X30" s="285">
        <v>0</v>
      </c>
      <c r="Y30" s="285">
        <v>0</v>
      </c>
      <c r="Z30" s="285">
        <v>0</v>
      </c>
      <c r="AA30" s="285">
        <v>0</v>
      </c>
      <c r="AB30" s="285">
        <v>0</v>
      </c>
      <c r="AC30" s="285">
        <v>0</v>
      </c>
      <c r="AD30" s="285">
        <v>11598.1</v>
      </c>
      <c r="AE30" s="285">
        <v>0</v>
      </c>
      <c r="AF30" s="980"/>
    </row>
    <row r="31" spans="1:32" ht="31.5" x14ac:dyDescent="0.25">
      <c r="A31" s="296" t="s">
        <v>174</v>
      </c>
      <c r="B31" s="285">
        <f>H31+J31+L31+N31+P31+R31+T31+V31+X31+Z31+AB31+AD31</f>
        <v>11598.1</v>
      </c>
      <c r="C31" s="285">
        <f>H31+J31</f>
        <v>0</v>
      </c>
      <c r="D31" s="285">
        <f>D34+K34</f>
        <v>0</v>
      </c>
      <c r="E31" s="285">
        <f t="shared" ref="E31:E32" si="27">I31+K31+M31+O31+Q31+S31+U31+W31+Y31+AA31+AC31+AE31</f>
        <v>0</v>
      </c>
      <c r="F31" s="285">
        <f t="shared" si="18"/>
        <v>0</v>
      </c>
      <c r="G31" s="285">
        <f t="shared" si="19"/>
        <v>0</v>
      </c>
      <c r="H31" s="285">
        <v>0</v>
      </c>
      <c r="I31" s="285">
        <v>0</v>
      </c>
      <c r="J31" s="285">
        <v>0</v>
      </c>
      <c r="K31" s="285">
        <v>0</v>
      </c>
      <c r="L31" s="285">
        <v>0</v>
      </c>
      <c r="M31" s="285">
        <v>0</v>
      </c>
      <c r="N31" s="285">
        <v>0</v>
      </c>
      <c r="O31" s="285">
        <v>0</v>
      </c>
      <c r="P31" s="285">
        <v>0</v>
      </c>
      <c r="Q31" s="285">
        <v>0</v>
      </c>
      <c r="R31" s="285">
        <v>0</v>
      </c>
      <c r="S31" s="285">
        <v>0</v>
      </c>
      <c r="T31" s="285">
        <v>0</v>
      </c>
      <c r="U31" s="285">
        <v>0</v>
      </c>
      <c r="V31" s="285">
        <v>0</v>
      </c>
      <c r="W31" s="285">
        <v>0</v>
      </c>
      <c r="X31" s="285">
        <v>0</v>
      </c>
      <c r="Y31" s="285">
        <v>0</v>
      </c>
      <c r="Z31" s="285">
        <v>0</v>
      </c>
      <c r="AA31" s="285">
        <v>0</v>
      </c>
      <c r="AB31" s="285">
        <v>0</v>
      </c>
      <c r="AC31" s="285">
        <v>0</v>
      </c>
      <c r="AD31" s="285">
        <v>11598.1</v>
      </c>
      <c r="AE31" s="285">
        <v>0</v>
      </c>
      <c r="AF31" s="980"/>
    </row>
    <row r="32" spans="1:32" ht="31.5" x14ac:dyDescent="0.25">
      <c r="A32" s="284" t="s">
        <v>374</v>
      </c>
      <c r="B32" s="285">
        <f>H32+J32+L32+N32+P32+R32+T32+V32+X32+Z32+AB32+AD32</f>
        <v>0</v>
      </c>
      <c r="C32" s="285">
        <f>H32+J32</f>
        <v>0</v>
      </c>
      <c r="D32" s="285">
        <f>D35+K35</f>
        <v>0</v>
      </c>
      <c r="E32" s="285">
        <f t="shared" si="27"/>
        <v>0</v>
      </c>
      <c r="F32" s="285">
        <f t="shared" si="18"/>
        <v>0</v>
      </c>
      <c r="G32" s="285">
        <f t="shared" si="19"/>
        <v>0</v>
      </c>
      <c r="H32" s="285">
        <v>0</v>
      </c>
      <c r="I32" s="285">
        <v>0</v>
      </c>
      <c r="J32" s="285">
        <v>0</v>
      </c>
      <c r="K32" s="285">
        <v>0</v>
      </c>
      <c r="L32" s="285">
        <v>0</v>
      </c>
      <c r="M32" s="285">
        <v>0</v>
      </c>
      <c r="N32" s="285">
        <v>0</v>
      </c>
      <c r="O32" s="285">
        <v>0</v>
      </c>
      <c r="P32" s="285">
        <v>0</v>
      </c>
      <c r="Q32" s="285">
        <v>0</v>
      </c>
      <c r="R32" s="285">
        <v>0</v>
      </c>
      <c r="S32" s="285">
        <v>0</v>
      </c>
      <c r="T32" s="285">
        <v>0</v>
      </c>
      <c r="U32" s="285">
        <v>0</v>
      </c>
      <c r="V32" s="285">
        <v>0</v>
      </c>
      <c r="W32" s="285">
        <v>0</v>
      </c>
      <c r="X32" s="285">
        <v>0</v>
      </c>
      <c r="Y32" s="285">
        <v>0</v>
      </c>
      <c r="Z32" s="285">
        <v>0</v>
      </c>
      <c r="AA32" s="285">
        <v>0</v>
      </c>
      <c r="AB32" s="285">
        <v>0</v>
      </c>
      <c r="AC32" s="285">
        <v>0</v>
      </c>
      <c r="AD32" s="285">
        <v>0</v>
      </c>
      <c r="AE32" s="285">
        <v>0</v>
      </c>
      <c r="AF32" s="981"/>
    </row>
    <row r="33" spans="1:32" ht="15.75" x14ac:dyDescent="0.25">
      <c r="A33" s="289" t="s">
        <v>35</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981"/>
    </row>
    <row r="34" spans="1:32" ht="15.75" x14ac:dyDescent="0.25">
      <c r="A34" s="290" t="s">
        <v>31</v>
      </c>
      <c r="B34" s="282">
        <f>B35+B36+B38</f>
        <v>57990.5</v>
      </c>
      <c r="C34" s="282">
        <f t="shared" ref="C34:E34" si="28">C35+C36+C38</f>
        <v>0</v>
      </c>
      <c r="D34" s="282">
        <f t="shared" si="28"/>
        <v>0</v>
      </c>
      <c r="E34" s="282">
        <f t="shared" si="28"/>
        <v>0</v>
      </c>
      <c r="F34" s="282">
        <f t="shared" si="18"/>
        <v>0</v>
      </c>
      <c r="G34" s="282">
        <f t="shared" si="19"/>
        <v>0</v>
      </c>
      <c r="H34" s="282">
        <f>H35+H36+H38</f>
        <v>0</v>
      </c>
      <c r="I34" s="282">
        <f t="shared" ref="I34:AE34" si="29">I35+I36+I38</f>
        <v>0</v>
      </c>
      <c r="J34" s="282">
        <f t="shared" si="29"/>
        <v>0</v>
      </c>
      <c r="K34" s="282">
        <f t="shared" si="29"/>
        <v>0</v>
      </c>
      <c r="L34" s="282">
        <f t="shared" si="29"/>
        <v>0</v>
      </c>
      <c r="M34" s="282">
        <f t="shared" si="29"/>
        <v>0</v>
      </c>
      <c r="N34" s="282">
        <f t="shared" si="29"/>
        <v>0</v>
      </c>
      <c r="O34" s="282">
        <f t="shared" si="29"/>
        <v>0</v>
      </c>
      <c r="P34" s="282">
        <f t="shared" si="29"/>
        <v>0</v>
      </c>
      <c r="Q34" s="282">
        <f t="shared" si="29"/>
        <v>0</v>
      </c>
      <c r="R34" s="282">
        <f t="shared" si="29"/>
        <v>0</v>
      </c>
      <c r="S34" s="282">
        <f t="shared" si="29"/>
        <v>0</v>
      </c>
      <c r="T34" s="282">
        <f t="shared" si="29"/>
        <v>0</v>
      </c>
      <c r="U34" s="282">
        <f t="shared" si="29"/>
        <v>0</v>
      </c>
      <c r="V34" s="282">
        <f t="shared" si="29"/>
        <v>0</v>
      </c>
      <c r="W34" s="282">
        <f t="shared" si="29"/>
        <v>0</v>
      </c>
      <c r="X34" s="282">
        <f t="shared" si="29"/>
        <v>0</v>
      </c>
      <c r="Y34" s="282">
        <f t="shared" si="29"/>
        <v>0</v>
      </c>
      <c r="Z34" s="282">
        <f t="shared" si="29"/>
        <v>0</v>
      </c>
      <c r="AA34" s="282">
        <f t="shared" si="29"/>
        <v>0</v>
      </c>
      <c r="AB34" s="282">
        <f t="shared" si="29"/>
        <v>0</v>
      </c>
      <c r="AC34" s="282">
        <f t="shared" si="29"/>
        <v>0</v>
      </c>
      <c r="AD34" s="282">
        <f>AD35+AD36+AD38</f>
        <v>57990.5</v>
      </c>
      <c r="AE34" s="282">
        <f t="shared" si="29"/>
        <v>0</v>
      </c>
      <c r="AF34" s="283"/>
    </row>
    <row r="35" spans="1:32" ht="15.75" x14ac:dyDescent="0.25">
      <c r="A35" s="291" t="s">
        <v>32</v>
      </c>
      <c r="B35" s="285">
        <f t="shared" ref="B35:B38" si="30">H35+J35+L35+N35+P35+R35+T35+V35+X35+Z35+AB35+AD35</f>
        <v>46392.4</v>
      </c>
      <c r="C35" s="285">
        <f>H35+J35</f>
        <v>0</v>
      </c>
      <c r="D35" s="285">
        <f>D38+K38</f>
        <v>0</v>
      </c>
      <c r="E35" s="285">
        <f t="shared" ref="E35:E38" si="31">E23</f>
        <v>0</v>
      </c>
      <c r="F35" s="285">
        <f t="shared" si="18"/>
        <v>0</v>
      </c>
      <c r="G35" s="285">
        <f t="shared" si="19"/>
        <v>0</v>
      </c>
      <c r="H35" s="285">
        <f t="shared" ref="H35:AE38" si="32">H23</f>
        <v>0</v>
      </c>
      <c r="I35" s="285">
        <f t="shared" si="32"/>
        <v>0</v>
      </c>
      <c r="J35" s="285">
        <f t="shared" si="32"/>
        <v>0</v>
      </c>
      <c r="K35" s="285">
        <f t="shared" si="32"/>
        <v>0</v>
      </c>
      <c r="L35" s="285">
        <f t="shared" si="32"/>
        <v>0</v>
      </c>
      <c r="M35" s="285">
        <f t="shared" si="32"/>
        <v>0</v>
      </c>
      <c r="N35" s="285">
        <f t="shared" si="32"/>
        <v>0</v>
      </c>
      <c r="O35" s="285">
        <f t="shared" si="32"/>
        <v>0</v>
      </c>
      <c r="P35" s="285">
        <f t="shared" si="32"/>
        <v>0</v>
      </c>
      <c r="Q35" s="285">
        <f t="shared" si="32"/>
        <v>0</v>
      </c>
      <c r="R35" s="285">
        <f t="shared" si="32"/>
        <v>0</v>
      </c>
      <c r="S35" s="285">
        <f t="shared" si="32"/>
        <v>0</v>
      </c>
      <c r="T35" s="285">
        <f t="shared" si="32"/>
        <v>0</v>
      </c>
      <c r="U35" s="285">
        <f t="shared" si="32"/>
        <v>0</v>
      </c>
      <c r="V35" s="285">
        <f t="shared" si="32"/>
        <v>0</v>
      </c>
      <c r="W35" s="285">
        <f t="shared" si="32"/>
        <v>0</v>
      </c>
      <c r="X35" s="285">
        <f t="shared" si="32"/>
        <v>0</v>
      </c>
      <c r="Y35" s="285">
        <f t="shared" si="32"/>
        <v>0</v>
      </c>
      <c r="Z35" s="285">
        <f t="shared" si="32"/>
        <v>0</v>
      </c>
      <c r="AA35" s="285">
        <f t="shared" si="32"/>
        <v>0</v>
      </c>
      <c r="AB35" s="285">
        <f t="shared" si="32"/>
        <v>0</v>
      </c>
      <c r="AC35" s="285">
        <f t="shared" si="32"/>
        <v>0</v>
      </c>
      <c r="AD35" s="285">
        <f t="shared" si="32"/>
        <v>46392.4</v>
      </c>
      <c r="AE35" s="285">
        <f t="shared" si="32"/>
        <v>0</v>
      </c>
      <c r="AF35" s="286"/>
    </row>
    <row r="36" spans="1:32" ht="15.75" x14ac:dyDescent="0.25">
      <c r="A36" s="291" t="s">
        <v>33</v>
      </c>
      <c r="B36" s="285">
        <f>H36+J36+L36+N36+P36+R36+T36+V36+X36+Z36+AB36+AD36</f>
        <v>11598.1</v>
      </c>
      <c r="C36" s="285">
        <f>H36+J36</f>
        <v>0</v>
      </c>
      <c r="D36" s="285">
        <f>D39+K39</f>
        <v>0</v>
      </c>
      <c r="E36" s="285">
        <f t="shared" si="31"/>
        <v>0</v>
      </c>
      <c r="F36" s="285">
        <f t="shared" si="18"/>
        <v>0</v>
      </c>
      <c r="G36" s="285">
        <f t="shared" si="19"/>
        <v>0</v>
      </c>
      <c r="H36" s="285">
        <f t="shared" si="32"/>
        <v>0</v>
      </c>
      <c r="I36" s="285">
        <f t="shared" si="32"/>
        <v>0</v>
      </c>
      <c r="J36" s="285">
        <f t="shared" si="32"/>
        <v>0</v>
      </c>
      <c r="K36" s="285">
        <f t="shared" si="32"/>
        <v>0</v>
      </c>
      <c r="L36" s="285">
        <f t="shared" si="32"/>
        <v>0</v>
      </c>
      <c r="M36" s="285">
        <f t="shared" si="32"/>
        <v>0</v>
      </c>
      <c r="N36" s="285">
        <f t="shared" si="32"/>
        <v>0</v>
      </c>
      <c r="O36" s="285">
        <f t="shared" si="32"/>
        <v>0</v>
      </c>
      <c r="P36" s="285">
        <f t="shared" si="32"/>
        <v>0</v>
      </c>
      <c r="Q36" s="285">
        <f t="shared" si="32"/>
        <v>0</v>
      </c>
      <c r="R36" s="285">
        <f t="shared" si="32"/>
        <v>0</v>
      </c>
      <c r="S36" s="285">
        <f t="shared" si="32"/>
        <v>0</v>
      </c>
      <c r="T36" s="285">
        <f t="shared" si="32"/>
        <v>0</v>
      </c>
      <c r="U36" s="285">
        <f t="shared" si="32"/>
        <v>0</v>
      </c>
      <c r="V36" s="285">
        <f t="shared" si="32"/>
        <v>0</v>
      </c>
      <c r="W36" s="285">
        <f t="shared" si="32"/>
        <v>0</v>
      </c>
      <c r="X36" s="285">
        <f t="shared" si="32"/>
        <v>0</v>
      </c>
      <c r="Y36" s="285">
        <f t="shared" si="32"/>
        <v>0</v>
      </c>
      <c r="Z36" s="285">
        <f t="shared" si="32"/>
        <v>0</v>
      </c>
      <c r="AA36" s="285">
        <f t="shared" si="32"/>
        <v>0</v>
      </c>
      <c r="AB36" s="285">
        <f t="shared" si="32"/>
        <v>0</v>
      </c>
      <c r="AC36" s="285">
        <f t="shared" si="32"/>
        <v>0</v>
      </c>
      <c r="AD36" s="285">
        <f>AD24</f>
        <v>11598.1</v>
      </c>
      <c r="AE36" s="285">
        <f t="shared" si="32"/>
        <v>0</v>
      </c>
      <c r="AF36" s="286"/>
    </row>
    <row r="37" spans="1:32" ht="31.5" x14ac:dyDescent="0.25">
      <c r="A37" s="298" t="s">
        <v>174</v>
      </c>
      <c r="B37" s="285">
        <f t="shared" si="30"/>
        <v>11598.1</v>
      </c>
      <c r="C37" s="285">
        <f>H37+J37</f>
        <v>0</v>
      </c>
      <c r="D37" s="285">
        <f>D40+K40</f>
        <v>0</v>
      </c>
      <c r="E37" s="285">
        <f t="shared" si="31"/>
        <v>0</v>
      </c>
      <c r="F37" s="285">
        <f t="shared" si="18"/>
        <v>0</v>
      </c>
      <c r="G37" s="285">
        <f t="shared" si="19"/>
        <v>0</v>
      </c>
      <c r="H37" s="285">
        <f t="shared" si="32"/>
        <v>0</v>
      </c>
      <c r="I37" s="285">
        <f t="shared" si="32"/>
        <v>0</v>
      </c>
      <c r="J37" s="285">
        <f t="shared" si="32"/>
        <v>0</v>
      </c>
      <c r="K37" s="285">
        <f t="shared" si="32"/>
        <v>0</v>
      </c>
      <c r="L37" s="285">
        <f t="shared" si="32"/>
        <v>0</v>
      </c>
      <c r="M37" s="285">
        <f t="shared" si="32"/>
        <v>0</v>
      </c>
      <c r="N37" s="285">
        <f t="shared" si="32"/>
        <v>0</v>
      </c>
      <c r="O37" s="285">
        <f t="shared" si="32"/>
        <v>0</v>
      </c>
      <c r="P37" s="285">
        <f t="shared" si="32"/>
        <v>0</v>
      </c>
      <c r="Q37" s="285">
        <f t="shared" si="32"/>
        <v>0</v>
      </c>
      <c r="R37" s="285">
        <f t="shared" si="32"/>
        <v>0</v>
      </c>
      <c r="S37" s="285">
        <f t="shared" si="32"/>
        <v>0</v>
      </c>
      <c r="T37" s="285">
        <f t="shared" si="32"/>
        <v>0</v>
      </c>
      <c r="U37" s="285">
        <f t="shared" si="32"/>
        <v>0</v>
      </c>
      <c r="V37" s="285">
        <f t="shared" si="32"/>
        <v>0</v>
      </c>
      <c r="W37" s="285">
        <f t="shared" si="32"/>
        <v>0</v>
      </c>
      <c r="X37" s="285">
        <f t="shared" si="32"/>
        <v>0</v>
      </c>
      <c r="Y37" s="285">
        <f t="shared" si="32"/>
        <v>0</v>
      </c>
      <c r="Z37" s="285">
        <f t="shared" si="32"/>
        <v>0</v>
      </c>
      <c r="AA37" s="285">
        <f t="shared" si="32"/>
        <v>0</v>
      </c>
      <c r="AB37" s="285">
        <f t="shared" si="32"/>
        <v>0</v>
      </c>
      <c r="AC37" s="285">
        <f t="shared" si="32"/>
        <v>0</v>
      </c>
      <c r="AD37" s="285">
        <f t="shared" si="32"/>
        <v>11598.1</v>
      </c>
      <c r="AE37" s="285">
        <f t="shared" si="32"/>
        <v>0</v>
      </c>
      <c r="AF37" s="286"/>
    </row>
    <row r="38" spans="1:32" ht="31.5" x14ac:dyDescent="0.25">
      <c r="A38" s="291" t="s">
        <v>374</v>
      </c>
      <c r="B38" s="285">
        <f t="shared" si="30"/>
        <v>0</v>
      </c>
      <c r="C38" s="285">
        <f>H38+J38</f>
        <v>0</v>
      </c>
      <c r="D38" s="285">
        <f>D41+K41</f>
        <v>0</v>
      </c>
      <c r="E38" s="285">
        <f t="shared" si="31"/>
        <v>0</v>
      </c>
      <c r="F38" s="285">
        <f t="shared" si="18"/>
        <v>0</v>
      </c>
      <c r="G38" s="285">
        <f t="shared" si="19"/>
        <v>0</v>
      </c>
      <c r="H38" s="285">
        <f t="shared" si="32"/>
        <v>0</v>
      </c>
      <c r="I38" s="285">
        <f t="shared" si="32"/>
        <v>0</v>
      </c>
      <c r="J38" s="285">
        <f t="shared" si="32"/>
        <v>0</v>
      </c>
      <c r="K38" s="285">
        <f t="shared" si="32"/>
        <v>0</v>
      </c>
      <c r="L38" s="285">
        <f t="shared" si="32"/>
        <v>0</v>
      </c>
      <c r="M38" s="285">
        <f t="shared" si="32"/>
        <v>0</v>
      </c>
      <c r="N38" s="285">
        <f t="shared" si="32"/>
        <v>0</v>
      </c>
      <c r="O38" s="285">
        <f t="shared" si="32"/>
        <v>0</v>
      </c>
      <c r="P38" s="285">
        <f t="shared" si="32"/>
        <v>0</v>
      </c>
      <c r="Q38" s="285">
        <f t="shared" si="32"/>
        <v>0</v>
      </c>
      <c r="R38" s="285">
        <f t="shared" si="32"/>
        <v>0</v>
      </c>
      <c r="S38" s="285">
        <f t="shared" si="32"/>
        <v>0</v>
      </c>
      <c r="T38" s="285">
        <f t="shared" si="32"/>
        <v>0</v>
      </c>
      <c r="U38" s="285">
        <f t="shared" si="32"/>
        <v>0</v>
      </c>
      <c r="V38" s="285">
        <f t="shared" si="32"/>
        <v>0</v>
      </c>
      <c r="W38" s="285">
        <f t="shared" si="32"/>
        <v>0</v>
      </c>
      <c r="X38" s="285">
        <f t="shared" si="32"/>
        <v>0</v>
      </c>
      <c r="Y38" s="285">
        <f t="shared" si="32"/>
        <v>0</v>
      </c>
      <c r="Z38" s="285">
        <f t="shared" si="32"/>
        <v>0</v>
      </c>
      <c r="AA38" s="285">
        <f t="shared" si="32"/>
        <v>0</v>
      </c>
      <c r="AB38" s="285">
        <f t="shared" si="32"/>
        <v>0</v>
      </c>
      <c r="AC38" s="285">
        <f t="shared" si="32"/>
        <v>0</v>
      </c>
      <c r="AD38" s="285">
        <f t="shared" si="32"/>
        <v>0</v>
      </c>
      <c r="AE38" s="285">
        <f t="shared" si="32"/>
        <v>0</v>
      </c>
      <c r="AF38" s="286"/>
    </row>
    <row r="39" spans="1:32" ht="15.75" x14ac:dyDescent="0.25">
      <c r="A39" s="977" t="s">
        <v>610</v>
      </c>
      <c r="B39" s="977"/>
      <c r="C39" s="977"/>
      <c r="D39" s="977"/>
      <c r="E39" s="977"/>
      <c r="F39" s="977"/>
      <c r="G39" s="977"/>
      <c r="H39" s="977"/>
      <c r="I39" s="977"/>
      <c r="J39" s="977"/>
      <c r="K39" s="977"/>
      <c r="L39" s="977"/>
      <c r="M39" s="977"/>
      <c r="N39" s="977"/>
      <c r="O39" s="977"/>
      <c r="P39" s="977"/>
      <c r="Q39" s="977"/>
      <c r="R39" s="977"/>
      <c r="S39" s="977"/>
      <c r="T39" s="977"/>
      <c r="U39" s="977"/>
      <c r="V39" s="977"/>
      <c r="W39" s="977"/>
      <c r="X39" s="977"/>
      <c r="Y39" s="977"/>
      <c r="Z39" s="977"/>
      <c r="AA39" s="977"/>
      <c r="AB39" s="977"/>
      <c r="AC39" s="977"/>
      <c r="AD39" s="978"/>
      <c r="AE39" s="292"/>
      <c r="AF39" s="292"/>
    </row>
    <row r="40" spans="1:32" ht="15.75" x14ac:dyDescent="0.25">
      <c r="A40" s="973" t="s">
        <v>54</v>
      </c>
      <c r="B40" s="973"/>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4"/>
      <c r="AF40" s="292"/>
    </row>
    <row r="41" spans="1:32" ht="15.75" x14ac:dyDescent="0.25">
      <c r="A41" s="279" t="s">
        <v>395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4"/>
      <c r="AF41" s="292"/>
    </row>
    <row r="42" spans="1:32" ht="15.75" x14ac:dyDescent="0.25">
      <c r="A42" s="281" t="s">
        <v>31</v>
      </c>
      <c r="B42" s="282">
        <f>B43+B44+B46</f>
        <v>146517.29937000002</v>
      </c>
      <c r="C42" s="282">
        <f>C43+C44+C46</f>
        <v>52149.114939999999</v>
      </c>
      <c r="D42" s="282">
        <f t="shared" ref="D42" si="33">D43+D44+D46</f>
        <v>16900.631939999999</v>
      </c>
      <c r="E42" s="282">
        <f>E43+E44+E46</f>
        <v>16900.631939999999</v>
      </c>
      <c r="F42" s="282">
        <f>IFERROR(E42/B42*100,0)</f>
        <v>11.534905443022701</v>
      </c>
      <c r="G42" s="282">
        <f t="shared" ref="G42:G75" si="34">IFERROR(E42/C42*100,0)</f>
        <v>32.408281443405066</v>
      </c>
      <c r="H42" s="282">
        <f>H43+H44+H46</f>
        <v>0</v>
      </c>
      <c r="I42" s="282">
        <f t="shared" ref="I42:AE42" si="35">I43+I44+I46</f>
        <v>0</v>
      </c>
      <c r="J42" s="282">
        <f t="shared" si="35"/>
        <v>2609.3220000000001</v>
      </c>
      <c r="K42" s="282">
        <f t="shared" si="35"/>
        <v>0</v>
      </c>
      <c r="L42" s="282">
        <f t="shared" si="35"/>
        <v>30792.012999999999</v>
      </c>
      <c r="M42" s="282">
        <f t="shared" si="35"/>
        <v>0</v>
      </c>
      <c r="N42" s="282">
        <f t="shared" si="35"/>
        <v>0</v>
      </c>
      <c r="O42" s="282">
        <f t="shared" si="35"/>
        <v>0</v>
      </c>
      <c r="P42" s="282">
        <f t="shared" si="35"/>
        <v>0</v>
      </c>
      <c r="Q42" s="282">
        <f t="shared" si="35"/>
        <v>0</v>
      </c>
      <c r="R42" s="282">
        <f>R43+R44+R46</f>
        <v>1847.1479999999999</v>
      </c>
      <c r="S42" s="282">
        <f t="shared" si="35"/>
        <v>0</v>
      </c>
      <c r="T42" s="282">
        <f t="shared" si="35"/>
        <v>16900.631939999999</v>
      </c>
      <c r="U42" s="282">
        <f t="shared" si="35"/>
        <v>16900.631939999999</v>
      </c>
      <c r="V42" s="282">
        <f t="shared" si="35"/>
        <v>446.6</v>
      </c>
      <c r="W42" s="282">
        <f t="shared" si="35"/>
        <v>0</v>
      </c>
      <c r="X42" s="282">
        <f t="shared" si="35"/>
        <v>118</v>
      </c>
      <c r="Y42" s="282">
        <f t="shared" si="35"/>
        <v>0</v>
      </c>
      <c r="Z42" s="282">
        <f t="shared" si="35"/>
        <v>0</v>
      </c>
      <c r="AA42" s="282">
        <f t="shared" si="35"/>
        <v>0</v>
      </c>
      <c r="AB42" s="282">
        <f t="shared" si="35"/>
        <v>0</v>
      </c>
      <c r="AC42" s="282">
        <f t="shared" si="35"/>
        <v>0</v>
      </c>
      <c r="AD42" s="282">
        <f>AD43+AD44+AD46</f>
        <v>93803.584429999988</v>
      </c>
      <c r="AE42" s="282">
        <f t="shared" si="35"/>
        <v>0</v>
      </c>
      <c r="AF42" s="283"/>
    </row>
    <row r="43" spans="1:32" ht="15.75" x14ac:dyDescent="0.25">
      <c r="A43" s="284" t="s">
        <v>32</v>
      </c>
      <c r="B43" s="285">
        <f>H43+J43+L43+N43+P43+R43+T43+V43+X43+Z43+AB43+AD43</f>
        <v>80391.3</v>
      </c>
      <c r="C43" s="285">
        <f>H43+J43+L43+P43+R43+T43</f>
        <v>7657.67634</v>
      </c>
      <c r="D43" s="285">
        <f>I43+K43+M43+Q43+S43+U43</f>
        <v>7657.67634</v>
      </c>
      <c r="E43" s="285">
        <f>D43</f>
        <v>7657.67634</v>
      </c>
      <c r="F43" s="285">
        <f t="shared" ref="F43:F72" si="36">IFERROR(E43/B43*100,0)</f>
        <v>9.5255038045161591</v>
      </c>
      <c r="G43" s="285">
        <f t="shared" si="34"/>
        <v>100</v>
      </c>
      <c r="H43" s="285">
        <f>H49</f>
        <v>0</v>
      </c>
      <c r="I43" s="285">
        <f t="shared" ref="I43:AE46" si="37">I49</f>
        <v>0</v>
      </c>
      <c r="J43" s="285">
        <f t="shared" si="37"/>
        <v>0</v>
      </c>
      <c r="K43" s="285">
        <f t="shared" si="37"/>
        <v>0</v>
      </c>
      <c r="L43" s="285">
        <f t="shared" si="37"/>
        <v>0</v>
      </c>
      <c r="M43" s="285">
        <f t="shared" si="37"/>
        <v>0</v>
      </c>
      <c r="N43" s="285">
        <f t="shared" si="37"/>
        <v>0</v>
      </c>
      <c r="O43" s="285">
        <f t="shared" si="37"/>
        <v>0</v>
      </c>
      <c r="P43" s="285">
        <f t="shared" si="37"/>
        <v>0</v>
      </c>
      <c r="Q43" s="285">
        <f t="shared" si="37"/>
        <v>0</v>
      </c>
      <c r="R43" s="285">
        <f>R49+R53+R61</f>
        <v>0</v>
      </c>
      <c r="S43" s="285">
        <f>S49+S53+S61</f>
        <v>0</v>
      </c>
      <c r="T43" s="285">
        <f>T49+T55+T61</f>
        <v>7657.67634</v>
      </c>
      <c r="U43" s="285">
        <f t="shared" ref="U43:AD44" si="38">U49+U55+U61</f>
        <v>7657.67634</v>
      </c>
      <c r="V43" s="285">
        <f t="shared" si="38"/>
        <v>0</v>
      </c>
      <c r="W43" s="285">
        <f t="shared" si="38"/>
        <v>0</v>
      </c>
      <c r="X43" s="285">
        <f t="shared" si="38"/>
        <v>0</v>
      </c>
      <c r="Y43" s="285">
        <f t="shared" si="38"/>
        <v>0</v>
      </c>
      <c r="Z43" s="285">
        <f t="shared" si="38"/>
        <v>0</v>
      </c>
      <c r="AA43" s="285">
        <f t="shared" si="38"/>
        <v>0</v>
      </c>
      <c r="AB43" s="285">
        <f t="shared" si="38"/>
        <v>0</v>
      </c>
      <c r="AC43" s="285">
        <f t="shared" si="38"/>
        <v>0</v>
      </c>
      <c r="AD43" s="285">
        <f t="shared" si="38"/>
        <v>72733.623659999997</v>
      </c>
      <c r="AE43" s="285">
        <f t="shared" si="37"/>
        <v>0</v>
      </c>
      <c r="AF43" s="286"/>
    </row>
    <row r="44" spans="1:32" ht="15.75" x14ac:dyDescent="0.25">
      <c r="A44" s="284" t="s">
        <v>33</v>
      </c>
      <c r="B44" s="285">
        <f>H44+J44+L44+N44+P44+R44+T44+V44+X44+Z44+AB44+AD44</f>
        <v>4456.8</v>
      </c>
      <c r="C44" s="285">
        <f>H44+J44+L44+P44+R44+T44</f>
        <v>510.63559999999995</v>
      </c>
      <c r="D44" s="285">
        <f>I44+K44+M44+Q44+S44+U44</f>
        <v>403.03559999999999</v>
      </c>
      <c r="E44" s="285">
        <f>D44</f>
        <v>403.03559999999999</v>
      </c>
      <c r="F44" s="285">
        <f t="shared" si="36"/>
        <v>9.0431610123855677</v>
      </c>
      <c r="G44" s="285">
        <f t="shared" si="34"/>
        <v>78.92822200410626</v>
      </c>
      <c r="H44" s="285">
        <f t="shared" ref="H44:Q46" si="39">H50</f>
        <v>0</v>
      </c>
      <c r="I44" s="285">
        <f t="shared" si="39"/>
        <v>0</v>
      </c>
      <c r="J44" s="285">
        <f t="shared" si="39"/>
        <v>0</v>
      </c>
      <c r="K44" s="285">
        <f t="shared" si="39"/>
        <v>0</v>
      </c>
      <c r="L44" s="285">
        <f t="shared" si="39"/>
        <v>0</v>
      </c>
      <c r="M44" s="285">
        <f t="shared" si="39"/>
        <v>0</v>
      </c>
      <c r="N44" s="285">
        <f t="shared" si="39"/>
        <v>0</v>
      </c>
      <c r="O44" s="285">
        <f t="shared" si="39"/>
        <v>0</v>
      </c>
      <c r="P44" s="285">
        <f t="shared" si="39"/>
        <v>0</v>
      </c>
      <c r="Q44" s="285">
        <f t="shared" si="39"/>
        <v>0</v>
      </c>
      <c r="R44" s="285">
        <f>R50+R56+R62</f>
        <v>107.6</v>
      </c>
      <c r="S44" s="285">
        <f>S50+S56+S62</f>
        <v>0</v>
      </c>
      <c r="T44" s="285">
        <f>T50+T56+T62</f>
        <v>403.03559999999999</v>
      </c>
      <c r="U44" s="285">
        <f t="shared" si="38"/>
        <v>403.03559999999999</v>
      </c>
      <c r="V44" s="285">
        <f t="shared" si="38"/>
        <v>0</v>
      </c>
      <c r="W44" s="285">
        <f t="shared" si="38"/>
        <v>0</v>
      </c>
      <c r="X44" s="285">
        <f t="shared" si="38"/>
        <v>118</v>
      </c>
      <c r="Y44" s="285">
        <f t="shared" si="38"/>
        <v>0</v>
      </c>
      <c r="Z44" s="285">
        <f t="shared" si="38"/>
        <v>0</v>
      </c>
      <c r="AA44" s="285">
        <f t="shared" si="38"/>
        <v>0</v>
      </c>
      <c r="AB44" s="285">
        <f t="shared" si="38"/>
        <v>0</v>
      </c>
      <c r="AC44" s="285">
        <f t="shared" si="38"/>
        <v>0</v>
      </c>
      <c r="AD44" s="285">
        <f t="shared" si="38"/>
        <v>3828.1644000000001</v>
      </c>
      <c r="AE44" s="285">
        <f t="shared" si="37"/>
        <v>0</v>
      </c>
      <c r="AF44" s="286"/>
    </row>
    <row r="45" spans="1:32" ht="31.5" x14ac:dyDescent="0.25">
      <c r="A45" s="296" t="s">
        <v>174</v>
      </c>
      <c r="B45" s="285">
        <f t="shared" ref="B45" si="40">H45+J45+L45+N45+P45+R45+T45+V45+X45+Z45+AB45+AD45</f>
        <v>4231.2</v>
      </c>
      <c r="C45" s="285">
        <f>H45+J45+L45+N45+P45</f>
        <v>0</v>
      </c>
      <c r="D45" s="285">
        <f>D51</f>
        <v>0</v>
      </c>
      <c r="E45" s="285">
        <f t="shared" ref="D45:E46" si="41">E51</f>
        <v>0</v>
      </c>
      <c r="F45" s="285">
        <f t="shared" si="36"/>
        <v>0</v>
      </c>
      <c r="G45" s="285">
        <f t="shared" si="34"/>
        <v>0</v>
      </c>
      <c r="H45" s="285">
        <f t="shared" si="39"/>
        <v>0</v>
      </c>
      <c r="I45" s="285">
        <f t="shared" si="39"/>
        <v>0</v>
      </c>
      <c r="J45" s="285">
        <f t="shared" si="39"/>
        <v>0</v>
      </c>
      <c r="K45" s="285">
        <f t="shared" si="39"/>
        <v>0</v>
      </c>
      <c r="L45" s="285">
        <f t="shared" si="39"/>
        <v>0</v>
      </c>
      <c r="M45" s="285">
        <f t="shared" si="39"/>
        <v>0</v>
      </c>
      <c r="N45" s="285">
        <f t="shared" si="39"/>
        <v>0</v>
      </c>
      <c r="O45" s="285">
        <f t="shared" si="39"/>
        <v>0</v>
      </c>
      <c r="P45" s="285">
        <f t="shared" si="39"/>
        <v>0</v>
      </c>
      <c r="Q45" s="285">
        <f t="shared" si="39"/>
        <v>0</v>
      </c>
      <c r="R45" s="285">
        <f>R51+R57+R63</f>
        <v>0</v>
      </c>
      <c r="S45" s="285">
        <f t="shared" ref="S45:AD46" si="42">S51+S57+S63</f>
        <v>0</v>
      </c>
      <c r="T45" s="285">
        <f t="shared" si="42"/>
        <v>403.03559999999999</v>
      </c>
      <c r="U45" s="285">
        <f t="shared" si="42"/>
        <v>0</v>
      </c>
      <c r="V45" s="285">
        <f t="shared" si="42"/>
        <v>0</v>
      </c>
      <c r="W45" s="285">
        <f t="shared" si="42"/>
        <v>0</v>
      </c>
      <c r="X45" s="285">
        <f t="shared" si="42"/>
        <v>0</v>
      </c>
      <c r="Y45" s="285">
        <f t="shared" si="42"/>
        <v>0</v>
      </c>
      <c r="Z45" s="285">
        <f t="shared" si="42"/>
        <v>0</v>
      </c>
      <c r="AA45" s="285">
        <f t="shared" si="42"/>
        <v>0</v>
      </c>
      <c r="AB45" s="285">
        <f t="shared" si="42"/>
        <v>0</v>
      </c>
      <c r="AC45" s="285">
        <f t="shared" si="42"/>
        <v>0</v>
      </c>
      <c r="AD45" s="285">
        <f t="shared" si="42"/>
        <v>3828.1644000000001</v>
      </c>
      <c r="AE45" s="285">
        <f t="shared" si="37"/>
        <v>0</v>
      </c>
      <c r="AF45" s="286"/>
    </row>
    <row r="46" spans="1:32" ht="31.5" x14ac:dyDescent="0.25">
      <c r="A46" s="284" t="s">
        <v>374</v>
      </c>
      <c r="B46" s="285">
        <f>H46+J46+L46+N46+P46+R46+T46+V46+X46+Z46+AB46+AD46</f>
        <v>61669.199370000002</v>
      </c>
      <c r="C46" s="285">
        <f>H46+J46+L46+N46+P46+R46+T46</f>
        <v>43980.803</v>
      </c>
      <c r="D46" s="285">
        <f t="shared" si="41"/>
        <v>8839.92</v>
      </c>
      <c r="E46" s="285">
        <f t="shared" si="41"/>
        <v>8839.92</v>
      </c>
      <c r="F46" s="285">
        <f t="shared" si="36"/>
        <v>14.334416678515085</v>
      </c>
      <c r="G46" s="285">
        <f t="shared" si="34"/>
        <v>20.099496591728897</v>
      </c>
      <c r="H46" s="285">
        <f t="shared" si="39"/>
        <v>0</v>
      </c>
      <c r="I46" s="285">
        <f t="shared" si="39"/>
        <v>0</v>
      </c>
      <c r="J46" s="285">
        <f t="shared" si="39"/>
        <v>2609.3220000000001</v>
      </c>
      <c r="K46" s="285">
        <f t="shared" si="39"/>
        <v>0</v>
      </c>
      <c r="L46" s="285">
        <f t="shared" si="39"/>
        <v>30792.012999999999</v>
      </c>
      <c r="M46" s="285">
        <f t="shared" si="39"/>
        <v>0</v>
      </c>
      <c r="N46" s="285">
        <f t="shared" si="39"/>
        <v>0</v>
      </c>
      <c r="O46" s="285">
        <f t="shared" si="39"/>
        <v>0</v>
      </c>
      <c r="P46" s="285">
        <f t="shared" si="39"/>
        <v>0</v>
      </c>
      <c r="Q46" s="285">
        <f t="shared" si="39"/>
        <v>0</v>
      </c>
      <c r="R46" s="285">
        <f>R52+R58+R64</f>
        <v>1739.548</v>
      </c>
      <c r="S46" s="285">
        <f t="shared" si="42"/>
        <v>0</v>
      </c>
      <c r="T46" s="285">
        <f t="shared" si="42"/>
        <v>8839.92</v>
      </c>
      <c r="U46" s="285">
        <f t="shared" si="42"/>
        <v>8839.92</v>
      </c>
      <c r="V46" s="285">
        <f t="shared" si="42"/>
        <v>446.6</v>
      </c>
      <c r="W46" s="285">
        <f t="shared" si="42"/>
        <v>0</v>
      </c>
      <c r="X46" s="285">
        <f t="shared" si="42"/>
        <v>0</v>
      </c>
      <c r="Y46" s="285">
        <f t="shared" si="42"/>
        <v>0</v>
      </c>
      <c r="Z46" s="285">
        <f t="shared" si="42"/>
        <v>0</v>
      </c>
      <c r="AA46" s="285">
        <f t="shared" si="42"/>
        <v>0</v>
      </c>
      <c r="AB46" s="285">
        <f t="shared" si="42"/>
        <v>0</v>
      </c>
      <c r="AC46" s="285">
        <f t="shared" si="42"/>
        <v>0</v>
      </c>
      <c r="AD46" s="285">
        <f t="shared" si="42"/>
        <v>17241.79637</v>
      </c>
      <c r="AE46" s="285">
        <f t="shared" si="37"/>
        <v>0</v>
      </c>
      <c r="AF46" s="286"/>
    </row>
    <row r="47" spans="1:32" ht="15.75" x14ac:dyDescent="0.25">
      <c r="A47" s="279" t="s">
        <v>548</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300"/>
    </row>
    <row r="48" spans="1:32" ht="196.5" customHeight="1" x14ac:dyDescent="0.25">
      <c r="A48" s="281" t="s">
        <v>31</v>
      </c>
      <c r="B48" s="285">
        <f>B49+B50+B52</f>
        <v>61776.799370000001</v>
      </c>
      <c r="C48" s="285">
        <f>C49+C50+C52</f>
        <v>44088.402999999998</v>
      </c>
      <c r="D48" s="285">
        <f t="shared" ref="D48:E48" si="43">D49+D50+D52</f>
        <v>8839.92</v>
      </c>
      <c r="E48" s="285">
        <f t="shared" si="43"/>
        <v>8839.92</v>
      </c>
      <c r="F48" s="285">
        <f t="shared" si="36"/>
        <v>14.309449648006261</v>
      </c>
      <c r="G48" s="285">
        <f t="shared" si="34"/>
        <v>20.050442743412596</v>
      </c>
      <c r="H48" s="285">
        <f>H49+H50+H52</f>
        <v>0</v>
      </c>
      <c r="I48" s="285">
        <f t="shared" ref="I48:AE48" si="44">I49+I50+I52</f>
        <v>0</v>
      </c>
      <c r="J48" s="285">
        <f t="shared" si="44"/>
        <v>2609.3220000000001</v>
      </c>
      <c r="K48" s="285">
        <f t="shared" si="44"/>
        <v>0</v>
      </c>
      <c r="L48" s="285">
        <f t="shared" si="44"/>
        <v>30792.012999999999</v>
      </c>
      <c r="M48" s="285">
        <f t="shared" si="44"/>
        <v>0</v>
      </c>
      <c r="N48" s="285">
        <f t="shared" si="44"/>
        <v>0</v>
      </c>
      <c r="O48" s="285">
        <f t="shared" si="44"/>
        <v>0</v>
      </c>
      <c r="P48" s="285">
        <f t="shared" si="44"/>
        <v>0</v>
      </c>
      <c r="Q48" s="285">
        <f t="shared" si="44"/>
        <v>0</v>
      </c>
      <c r="R48" s="285">
        <f>R49+R50+R52</f>
        <v>1847.1479999999999</v>
      </c>
      <c r="S48" s="285">
        <f t="shared" si="44"/>
        <v>0</v>
      </c>
      <c r="T48" s="285">
        <f t="shared" si="44"/>
        <v>8839.92</v>
      </c>
      <c r="U48" s="285">
        <f t="shared" si="44"/>
        <v>8839.92</v>
      </c>
      <c r="V48" s="285">
        <f t="shared" si="44"/>
        <v>446.6</v>
      </c>
      <c r="W48" s="285">
        <f t="shared" si="44"/>
        <v>0</v>
      </c>
      <c r="X48" s="285">
        <f t="shared" si="44"/>
        <v>0</v>
      </c>
      <c r="Y48" s="285">
        <f t="shared" si="44"/>
        <v>0</v>
      </c>
      <c r="Z48" s="285">
        <f t="shared" si="44"/>
        <v>0</v>
      </c>
      <c r="AA48" s="285">
        <f t="shared" si="44"/>
        <v>0</v>
      </c>
      <c r="AB48" s="285">
        <f t="shared" si="44"/>
        <v>0</v>
      </c>
      <c r="AC48" s="285">
        <f t="shared" si="44"/>
        <v>0</v>
      </c>
      <c r="AD48" s="285">
        <f t="shared" si="44"/>
        <v>17241.79637</v>
      </c>
      <c r="AE48" s="285">
        <f t="shared" si="44"/>
        <v>0</v>
      </c>
      <c r="AF48" s="593" t="s">
        <v>573</v>
      </c>
    </row>
    <row r="49" spans="1:32" ht="228.75" customHeight="1" x14ac:dyDescent="0.25">
      <c r="A49" s="284" t="s">
        <v>32</v>
      </c>
      <c r="B49" s="285">
        <f t="shared" ref="B49:B51" si="45">H49+J49+L49+N49+P49+R49+T49+V49+X49+Z49+AB49+AD49</f>
        <v>0</v>
      </c>
      <c r="C49" s="285">
        <f>H49+J49+L49+N49+P49+R49</f>
        <v>0</v>
      </c>
      <c r="D49" s="285">
        <v>0</v>
      </c>
      <c r="E49" s="285">
        <f t="shared" ref="E49:E57" si="46">I49+K49+M49+O49+Q49+S49+U49+W49+Y49+AA49+AC49+AE49</f>
        <v>0</v>
      </c>
      <c r="F49" s="285">
        <f t="shared" si="36"/>
        <v>0</v>
      </c>
      <c r="G49" s="285">
        <f t="shared" si="34"/>
        <v>0</v>
      </c>
      <c r="H49" s="285">
        <v>0</v>
      </c>
      <c r="I49" s="285">
        <v>0</v>
      </c>
      <c r="J49" s="285">
        <v>0</v>
      </c>
      <c r="K49" s="285">
        <v>0</v>
      </c>
      <c r="L49" s="285">
        <v>0</v>
      </c>
      <c r="M49" s="285">
        <v>0</v>
      </c>
      <c r="N49" s="285">
        <v>0</v>
      </c>
      <c r="O49" s="285">
        <v>0</v>
      </c>
      <c r="P49" s="285">
        <v>0</v>
      </c>
      <c r="Q49" s="285">
        <v>0</v>
      </c>
      <c r="R49" s="285">
        <v>0</v>
      </c>
      <c r="S49" s="285">
        <v>0</v>
      </c>
      <c r="T49" s="285">
        <v>0</v>
      </c>
      <c r="U49" s="285">
        <v>0</v>
      </c>
      <c r="V49" s="285">
        <v>0</v>
      </c>
      <c r="W49" s="285">
        <v>0</v>
      </c>
      <c r="X49" s="285">
        <v>0</v>
      </c>
      <c r="Y49" s="285">
        <v>0</v>
      </c>
      <c r="Z49" s="285">
        <v>0</v>
      </c>
      <c r="AA49" s="285">
        <v>0</v>
      </c>
      <c r="AB49" s="285">
        <v>0</v>
      </c>
      <c r="AC49" s="285">
        <v>0</v>
      </c>
      <c r="AD49" s="285">
        <v>0</v>
      </c>
      <c r="AE49" s="285">
        <v>0</v>
      </c>
      <c r="AF49" s="593" t="s">
        <v>574</v>
      </c>
    </row>
    <row r="50" spans="1:32" ht="336" customHeight="1" x14ac:dyDescent="0.25">
      <c r="A50" s="284" t="s">
        <v>33</v>
      </c>
      <c r="B50" s="285">
        <f t="shared" si="45"/>
        <v>107.6</v>
      </c>
      <c r="C50" s="285">
        <f>H50+J50+L50+N50+P50+R50</f>
        <v>107.6</v>
      </c>
      <c r="D50" s="285">
        <v>0</v>
      </c>
      <c r="E50" s="285">
        <f t="shared" si="46"/>
        <v>0</v>
      </c>
      <c r="F50" s="285">
        <f t="shared" si="36"/>
        <v>0</v>
      </c>
      <c r="G50" s="285">
        <f t="shared" si="34"/>
        <v>0</v>
      </c>
      <c r="H50" s="285">
        <v>0</v>
      </c>
      <c r="I50" s="285">
        <v>0</v>
      </c>
      <c r="J50" s="285">
        <v>0</v>
      </c>
      <c r="K50" s="285">
        <v>0</v>
      </c>
      <c r="L50" s="285">
        <v>0</v>
      </c>
      <c r="M50" s="285">
        <v>0</v>
      </c>
      <c r="N50" s="285">
        <v>0</v>
      </c>
      <c r="O50" s="285">
        <v>0</v>
      </c>
      <c r="P50" s="285">
        <v>0</v>
      </c>
      <c r="Q50" s="285">
        <v>0</v>
      </c>
      <c r="R50" s="285">
        <v>107.6</v>
      </c>
      <c r="S50" s="285">
        <v>0</v>
      </c>
      <c r="T50" s="285">
        <v>0</v>
      </c>
      <c r="U50" s="285">
        <v>0</v>
      </c>
      <c r="V50" s="285">
        <v>0</v>
      </c>
      <c r="W50" s="285">
        <v>0</v>
      </c>
      <c r="X50" s="285">
        <v>0</v>
      </c>
      <c r="Y50" s="285">
        <v>0</v>
      </c>
      <c r="Z50" s="285">
        <v>0</v>
      </c>
      <c r="AA50" s="285">
        <v>0</v>
      </c>
      <c r="AB50" s="285">
        <v>0</v>
      </c>
      <c r="AC50" s="285">
        <v>0</v>
      </c>
      <c r="AD50" s="285">
        <v>0</v>
      </c>
      <c r="AE50" s="285">
        <v>0</v>
      </c>
      <c r="AF50" s="593" t="s">
        <v>575</v>
      </c>
    </row>
    <row r="51" spans="1:32" ht="31.5" x14ac:dyDescent="0.25">
      <c r="A51" s="296" t="s">
        <v>174</v>
      </c>
      <c r="B51" s="285">
        <f t="shared" si="45"/>
        <v>0</v>
      </c>
      <c r="C51" s="285">
        <f>H51+J51+L51+N51+P51+R51</f>
        <v>0</v>
      </c>
      <c r="D51" s="285">
        <v>0</v>
      </c>
      <c r="E51" s="285">
        <f t="shared" si="46"/>
        <v>0</v>
      </c>
      <c r="F51" s="285">
        <f t="shared" si="36"/>
        <v>0</v>
      </c>
      <c r="G51" s="285">
        <f t="shared" si="34"/>
        <v>0</v>
      </c>
      <c r="H51" s="285">
        <v>0</v>
      </c>
      <c r="I51" s="285">
        <v>0</v>
      </c>
      <c r="J51" s="285">
        <v>0</v>
      </c>
      <c r="K51" s="285">
        <v>0</v>
      </c>
      <c r="L51" s="285">
        <v>0</v>
      </c>
      <c r="M51" s="285">
        <v>0</v>
      </c>
      <c r="N51" s="285">
        <v>0</v>
      </c>
      <c r="O51" s="285">
        <v>0</v>
      </c>
      <c r="P51" s="285">
        <v>0</v>
      </c>
      <c r="Q51" s="285">
        <v>0</v>
      </c>
      <c r="R51" s="285">
        <v>0</v>
      </c>
      <c r="S51" s="285">
        <v>0</v>
      </c>
      <c r="T51" s="285">
        <v>0</v>
      </c>
      <c r="U51" s="285">
        <v>0</v>
      </c>
      <c r="V51" s="285">
        <v>0</v>
      </c>
      <c r="W51" s="285">
        <v>0</v>
      </c>
      <c r="X51" s="285">
        <v>0</v>
      </c>
      <c r="Y51" s="285">
        <v>0</v>
      </c>
      <c r="Z51" s="285">
        <v>0</v>
      </c>
      <c r="AA51" s="285">
        <v>0</v>
      </c>
      <c r="AB51" s="285">
        <v>0</v>
      </c>
      <c r="AC51" s="285">
        <v>0</v>
      </c>
      <c r="AD51" s="285">
        <v>0</v>
      </c>
      <c r="AE51" s="285">
        <v>0</v>
      </c>
      <c r="AF51" s="286"/>
    </row>
    <row r="52" spans="1:32" ht="31.5" x14ac:dyDescent="0.25">
      <c r="A52" s="284" t="s">
        <v>374</v>
      </c>
      <c r="B52" s="285">
        <f>H52+J52+L52+N52+P52+R52+T52+V52+X52+Z52+AB52+AD52</f>
        <v>61669.199370000002</v>
      </c>
      <c r="C52" s="285">
        <f>H52+J52+L52+N52+P52+R52+T52</f>
        <v>43980.803</v>
      </c>
      <c r="D52" s="285">
        <f>E52</f>
        <v>8839.92</v>
      </c>
      <c r="E52" s="285">
        <f t="shared" si="46"/>
        <v>8839.92</v>
      </c>
      <c r="F52" s="285">
        <f t="shared" si="36"/>
        <v>14.334416678515085</v>
      </c>
      <c r="G52" s="285">
        <f t="shared" si="34"/>
        <v>20.099496591728897</v>
      </c>
      <c r="H52" s="285">
        <v>0</v>
      </c>
      <c r="I52" s="285">
        <v>0</v>
      </c>
      <c r="J52" s="285">
        <v>2609.3220000000001</v>
      </c>
      <c r="K52" s="285">
        <v>0</v>
      </c>
      <c r="L52" s="285">
        <v>30792.012999999999</v>
      </c>
      <c r="M52" s="285">
        <v>0</v>
      </c>
      <c r="N52" s="285">
        <v>0</v>
      </c>
      <c r="O52" s="285">
        <v>0</v>
      </c>
      <c r="P52" s="285">
        <v>0</v>
      </c>
      <c r="Q52" s="285">
        <v>0</v>
      </c>
      <c r="R52" s="285">
        <v>1739.548</v>
      </c>
      <c r="S52" s="285">
        <v>0</v>
      </c>
      <c r="T52" s="285">
        <v>8839.92</v>
      </c>
      <c r="U52" s="285">
        <v>8839.92</v>
      </c>
      <c r="V52" s="285">
        <v>446.6</v>
      </c>
      <c r="W52" s="285">
        <v>0</v>
      </c>
      <c r="X52" s="285">
        <v>0</v>
      </c>
      <c r="Y52" s="285">
        <v>0</v>
      </c>
      <c r="Z52" s="285">
        <v>0</v>
      </c>
      <c r="AA52" s="285">
        <v>0</v>
      </c>
      <c r="AB52" s="285">
        <v>0</v>
      </c>
      <c r="AC52" s="285">
        <v>0</v>
      </c>
      <c r="AD52" s="285">
        <v>17241.79637</v>
      </c>
      <c r="AE52" s="285">
        <v>0</v>
      </c>
      <c r="AF52" s="286"/>
    </row>
    <row r="53" spans="1:32" s="992" customFormat="1" ht="189" x14ac:dyDescent="0.25">
      <c r="A53" s="859" t="s">
        <v>549</v>
      </c>
      <c r="B53" s="860">
        <f>T53+AB53</f>
        <v>8060.7119400000001</v>
      </c>
      <c r="C53" s="389">
        <f t="shared" ref="C53:C57" si="47">H53+J53</f>
        <v>0</v>
      </c>
      <c r="D53" s="389">
        <v>0</v>
      </c>
      <c r="E53" s="389">
        <f t="shared" si="46"/>
        <v>0</v>
      </c>
      <c r="F53" s="389">
        <f t="shared" si="36"/>
        <v>0</v>
      </c>
      <c r="G53" s="389">
        <f t="shared" si="34"/>
        <v>0</v>
      </c>
      <c r="H53" s="389">
        <v>0</v>
      </c>
      <c r="I53" s="389">
        <v>0</v>
      </c>
      <c r="J53" s="389">
        <v>0</v>
      </c>
      <c r="K53" s="389">
        <v>0</v>
      </c>
      <c r="L53" s="389">
        <v>0</v>
      </c>
      <c r="M53" s="389">
        <v>0</v>
      </c>
      <c r="N53" s="389">
        <v>0</v>
      </c>
      <c r="O53" s="389">
        <v>0</v>
      </c>
      <c r="P53" s="389">
        <v>0</v>
      </c>
      <c r="Q53" s="389">
        <v>0</v>
      </c>
      <c r="R53" s="389">
        <v>0</v>
      </c>
      <c r="S53" s="389">
        <v>0</v>
      </c>
      <c r="T53" s="860">
        <f>T55+T56</f>
        <v>8060.7119400000001</v>
      </c>
      <c r="U53" s="285">
        <v>0</v>
      </c>
      <c r="V53" s="285">
        <v>0</v>
      </c>
      <c r="W53" s="285">
        <v>0</v>
      </c>
      <c r="X53" s="285">
        <v>0</v>
      </c>
      <c r="Y53" s="285">
        <v>0</v>
      </c>
      <c r="Z53" s="285">
        <v>0</v>
      </c>
      <c r="AA53" s="285">
        <v>0</v>
      </c>
      <c r="AB53" s="860">
        <f>AB55+AB56</f>
        <v>0</v>
      </c>
      <c r="AC53" s="285">
        <v>0</v>
      </c>
      <c r="AD53" s="285">
        <v>0</v>
      </c>
      <c r="AE53" s="285">
        <v>0</v>
      </c>
      <c r="AF53" s="861" t="s">
        <v>611</v>
      </c>
    </row>
    <row r="54" spans="1:32" ht="15.75" x14ac:dyDescent="0.25">
      <c r="A54" s="862" t="s">
        <v>31</v>
      </c>
      <c r="B54" s="863">
        <f>B55+B56+B58</f>
        <v>84622.5</v>
      </c>
      <c r="C54" s="285">
        <f>C55+C56+C58</f>
        <v>0</v>
      </c>
      <c r="D54" s="285">
        <f t="shared" ref="D54:AE54" si="48">D55+D56+D58</f>
        <v>0</v>
      </c>
      <c r="E54" s="285">
        <f t="shared" si="48"/>
        <v>8060.7119400000001</v>
      </c>
      <c r="F54" s="285">
        <f t="shared" si="48"/>
        <v>19.050829953126481</v>
      </c>
      <c r="G54" s="285">
        <f t="shared" si="48"/>
        <v>0</v>
      </c>
      <c r="H54" s="285">
        <f t="shared" si="48"/>
        <v>0</v>
      </c>
      <c r="I54" s="285">
        <f t="shared" si="48"/>
        <v>0</v>
      </c>
      <c r="J54" s="285">
        <f t="shared" si="48"/>
        <v>0</v>
      </c>
      <c r="K54" s="285">
        <f t="shared" si="48"/>
        <v>0</v>
      </c>
      <c r="L54" s="285">
        <f t="shared" si="48"/>
        <v>0</v>
      </c>
      <c r="M54" s="285">
        <f t="shared" si="48"/>
        <v>0</v>
      </c>
      <c r="N54" s="285">
        <f t="shared" si="48"/>
        <v>0</v>
      </c>
      <c r="O54" s="285">
        <f t="shared" si="48"/>
        <v>0</v>
      </c>
      <c r="P54" s="285">
        <f t="shared" si="48"/>
        <v>0</v>
      </c>
      <c r="Q54" s="285">
        <f t="shared" si="48"/>
        <v>0</v>
      </c>
      <c r="R54" s="285">
        <f t="shared" si="48"/>
        <v>0</v>
      </c>
      <c r="S54" s="285">
        <f t="shared" si="48"/>
        <v>0</v>
      </c>
      <c r="T54" s="285">
        <f t="shared" si="48"/>
        <v>8060.7119400000001</v>
      </c>
      <c r="U54" s="285">
        <f t="shared" si="48"/>
        <v>8060.7119400000001</v>
      </c>
      <c r="V54" s="285">
        <f t="shared" si="48"/>
        <v>0</v>
      </c>
      <c r="W54" s="285">
        <f t="shared" si="48"/>
        <v>0</v>
      </c>
      <c r="X54" s="285">
        <f t="shared" si="48"/>
        <v>0</v>
      </c>
      <c r="Y54" s="285">
        <f t="shared" si="48"/>
        <v>0</v>
      </c>
      <c r="Z54" s="285">
        <f t="shared" si="48"/>
        <v>0</v>
      </c>
      <c r="AA54" s="285">
        <f t="shared" si="48"/>
        <v>0</v>
      </c>
      <c r="AB54" s="285">
        <f t="shared" si="48"/>
        <v>0</v>
      </c>
      <c r="AC54" s="285">
        <f t="shared" si="48"/>
        <v>0</v>
      </c>
      <c r="AD54" s="285">
        <f t="shared" si="48"/>
        <v>76561.788059999992</v>
      </c>
      <c r="AE54" s="285">
        <f t="shared" si="48"/>
        <v>0</v>
      </c>
      <c r="AF54" s="864"/>
    </row>
    <row r="55" spans="1:32" ht="31.5" x14ac:dyDescent="0.25">
      <c r="A55" s="507" t="s">
        <v>550</v>
      </c>
      <c r="B55" s="863">
        <f>H55+J55+L55+N55+P55+R55+T55+V55+X55+Z55+AB55+AD55</f>
        <v>80391.3</v>
      </c>
      <c r="C55" s="285">
        <f t="shared" si="47"/>
        <v>0</v>
      </c>
      <c r="D55" s="285">
        <v>0</v>
      </c>
      <c r="E55" s="285">
        <f t="shared" si="46"/>
        <v>7657.67634</v>
      </c>
      <c r="F55" s="285">
        <f t="shared" si="36"/>
        <v>9.5255038045161591</v>
      </c>
      <c r="G55" s="285">
        <f t="shared" si="34"/>
        <v>0</v>
      </c>
      <c r="H55" s="285">
        <v>0</v>
      </c>
      <c r="I55" s="285">
        <v>0</v>
      </c>
      <c r="J55" s="285">
        <v>0</v>
      </c>
      <c r="K55" s="285">
        <v>0</v>
      </c>
      <c r="L55" s="285">
        <v>0</v>
      </c>
      <c r="M55" s="285">
        <v>0</v>
      </c>
      <c r="N55" s="285">
        <v>0</v>
      </c>
      <c r="O55" s="285">
        <v>0</v>
      </c>
      <c r="P55" s="285">
        <v>0</v>
      </c>
      <c r="Q55" s="285">
        <v>0</v>
      </c>
      <c r="R55" s="285">
        <v>0</v>
      </c>
      <c r="S55" s="285">
        <v>0</v>
      </c>
      <c r="T55" s="863">
        <v>7657.67634</v>
      </c>
      <c r="U55" s="285">
        <v>7657.67634</v>
      </c>
      <c r="V55" s="285">
        <v>0</v>
      </c>
      <c r="W55" s="285">
        <v>0</v>
      </c>
      <c r="X55" s="285">
        <v>0</v>
      </c>
      <c r="Y55" s="285">
        <v>0</v>
      </c>
      <c r="Z55" s="285">
        <v>0</v>
      </c>
      <c r="AA55" s="285">
        <v>0</v>
      </c>
      <c r="AB55" s="285">
        <v>0</v>
      </c>
      <c r="AC55" s="285">
        <v>0</v>
      </c>
      <c r="AD55" s="285">
        <v>72733.623659999997</v>
      </c>
      <c r="AE55" s="285">
        <v>0</v>
      </c>
      <c r="AF55" s="864"/>
    </row>
    <row r="56" spans="1:32" ht="15.75" x14ac:dyDescent="0.25">
      <c r="A56" s="507" t="s">
        <v>33</v>
      </c>
      <c r="B56" s="863">
        <f>H56+J56+L56+N56+P56+R56+T56+V56+X56+Z56+AB56+AD56</f>
        <v>4231.2</v>
      </c>
      <c r="C56" s="285">
        <f t="shared" si="47"/>
        <v>0</v>
      </c>
      <c r="D56" s="285">
        <v>0</v>
      </c>
      <c r="E56" s="285">
        <f t="shared" si="46"/>
        <v>403.03559999999999</v>
      </c>
      <c r="F56" s="285">
        <f t="shared" si="36"/>
        <v>9.5253261486103238</v>
      </c>
      <c r="G56" s="285">
        <f t="shared" si="34"/>
        <v>0</v>
      </c>
      <c r="H56" s="285">
        <v>0</v>
      </c>
      <c r="I56" s="285">
        <v>0</v>
      </c>
      <c r="J56" s="285">
        <v>0</v>
      </c>
      <c r="K56" s="285">
        <v>0</v>
      </c>
      <c r="L56" s="285">
        <v>0</v>
      </c>
      <c r="M56" s="285">
        <v>0</v>
      </c>
      <c r="N56" s="285">
        <v>0</v>
      </c>
      <c r="O56" s="285">
        <v>0</v>
      </c>
      <c r="P56" s="285">
        <v>0</v>
      </c>
      <c r="Q56" s="285">
        <v>0</v>
      </c>
      <c r="R56" s="285">
        <v>0</v>
      </c>
      <c r="S56" s="285">
        <v>0</v>
      </c>
      <c r="T56" s="863">
        <v>403.03559999999999</v>
      </c>
      <c r="U56" s="285">
        <v>403.03559999999999</v>
      </c>
      <c r="V56" s="285">
        <v>0</v>
      </c>
      <c r="W56" s="285">
        <v>0</v>
      </c>
      <c r="X56" s="285">
        <v>0</v>
      </c>
      <c r="Y56" s="285">
        <v>0</v>
      </c>
      <c r="Z56" s="285">
        <v>0</v>
      </c>
      <c r="AA56" s="285">
        <v>0</v>
      </c>
      <c r="AB56" s="285">
        <v>0</v>
      </c>
      <c r="AC56" s="285">
        <v>0</v>
      </c>
      <c r="AD56" s="865">
        <v>3828.1644000000001</v>
      </c>
      <c r="AE56" s="285">
        <v>0</v>
      </c>
      <c r="AF56" s="864"/>
    </row>
    <row r="57" spans="1:32" ht="47.25" x14ac:dyDescent="0.25">
      <c r="A57" s="866" t="s">
        <v>174</v>
      </c>
      <c r="B57" s="863">
        <f>B56</f>
        <v>4231.2</v>
      </c>
      <c r="C57" s="285">
        <f t="shared" si="47"/>
        <v>0</v>
      </c>
      <c r="D57" s="285">
        <v>0</v>
      </c>
      <c r="E57" s="285">
        <f t="shared" si="46"/>
        <v>0</v>
      </c>
      <c r="F57" s="285">
        <f t="shared" si="36"/>
        <v>0</v>
      </c>
      <c r="G57" s="285">
        <f t="shared" si="34"/>
        <v>0</v>
      </c>
      <c r="H57" s="285">
        <v>0</v>
      </c>
      <c r="I57" s="285">
        <v>0</v>
      </c>
      <c r="J57" s="285">
        <v>0</v>
      </c>
      <c r="K57" s="285">
        <v>0</v>
      </c>
      <c r="L57" s="285">
        <v>0</v>
      </c>
      <c r="M57" s="285">
        <v>0</v>
      </c>
      <c r="N57" s="285">
        <v>0</v>
      </c>
      <c r="O57" s="285">
        <v>0</v>
      </c>
      <c r="P57" s="285">
        <v>0</v>
      </c>
      <c r="Q57" s="285">
        <v>0</v>
      </c>
      <c r="R57" s="285">
        <v>0</v>
      </c>
      <c r="S57" s="285">
        <v>0</v>
      </c>
      <c r="T57" s="863">
        <f t="shared" ref="T57:AD57" si="49">T56</f>
        <v>403.03559999999999</v>
      </c>
      <c r="U57" s="285">
        <v>0</v>
      </c>
      <c r="V57" s="285">
        <v>0</v>
      </c>
      <c r="W57" s="285">
        <v>0</v>
      </c>
      <c r="X57" s="285">
        <v>0</v>
      </c>
      <c r="Y57" s="285">
        <v>0</v>
      </c>
      <c r="Z57" s="285">
        <v>0</v>
      </c>
      <c r="AA57" s="285">
        <v>0</v>
      </c>
      <c r="AB57" s="285">
        <v>0</v>
      </c>
      <c r="AC57" s="285">
        <v>0</v>
      </c>
      <c r="AD57" s="865">
        <f t="shared" si="49"/>
        <v>3828.1644000000001</v>
      </c>
      <c r="AE57" s="285">
        <v>0</v>
      </c>
      <c r="AF57" s="864"/>
    </row>
    <row r="58" spans="1:32" ht="15.75" x14ac:dyDescent="0.25">
      <c r="A58" s="507" t="s">
        <v>170</v>
      </c>
      <c r="B58" s="285">
        <v>0</v>
      </c>
      <c r="C58" s="285">
        <v>0</v>
      </c>
      <c r="D58" s="285">
        <v>0</v>
      </c>
      <c r="E58" s="285">
        <v>0</v>
      </c>
      <c r="F58" s="285">
        <v>0</v>
      </c>
      <c r="G58" s="285">
        <v>0</v>
      </c>
      <c r="H58" s="285">
        <v>0</v>
      </c>
      <c r="I58" s="285">
        <v>0</v>
      </c>
      <c r="J58" s="285">
        <v>0</v>
      </c>
      <c r="K58" s="285">
        <v>0</v>
      </c>
      <c r="L58" s="285">
        <v>0</v>
      </c>
      <c r="M58" s="285">
        <v>0</v>
      </c>
      <c r="N58" s="285">
        <v>0</v>
      </c>
      <c r="O58" s="285">
        <v>0</v>
      </c>
      <c r="P58" s="285">
        <v>0</v>
      </c>
      <c r="Q58" s="285">
        <v>0</v>
      </c>
      <c r="R58" s="285">
        <v>0</v>
      </c>
      <c r="S58" s="285">
        <v>0</v>
      </c>
      <c r="T58" s="285">
        <v>0</v>
      </c>
      <c r="U58" s="285">
        <v>0</v>
      </c>
      <c r="V58" s="285">
        <v>0</v>
      </c>
      <c r="W58" s="285">
        <v>0</v>
      </c>
      <c r="X58" s="285">
        <v>0</v>
      </c>
      <c r="Y58" s="285">
        <v>0</v>
      </c>
      <c r="Z58" s="285">
        <v>0</v>
      </c>
      <c r="AA58" s="285">
        <v>0</v>
      </c>
      <c r="AB58" s="285">
        <v>0</v>
      </c>
      <c r="AC58" s="285">
        <v>0</v>
      </c>
      <c r="AD58" s="285">
        <v>0</v>
      </c>
      <c r="AE58" s="285">
        <v>0</v>
      </c>
      <c r="AF58" s="867"/>
    </row>
    <row r="59" spans="1:32" ht="78.75" customHeight="1" x14ac:dyDescent="0.25">
      <c r="A59" s="507" t="s">
        <v>576</v>
      </c>
      <c r="B59" s="937">
        <f>B60</f>
        <v>118</v>
      </c>
      <c r="C59" s="285">
        <v>0</v>
      </c>
      <c r="D59" s="285">
        <v>0</v>
      </c>
      <c r="E59" s="285">
        <v>0</v>
      </c>
      <c r="F59" s="285">
        <v>0</v>
      </c>
      <c r="G59" s="285">
        <v>0</v>
      </c>
      <c r="H59" s="285">
        <v>0</v>
      </c>
      <c r="I59" s="285">
        <v>0</v>
      </c>
      <c r="J59" s="285">
        <v>0</v>
      </c>
      <c r="K59" s="285">
        <v>0</v>
      </c>
      <c r="L59" s="285">
        <v>0</v>
      </c>
      <c r="M59" s="285">
        <v>0</v>
      </c>
      <c r="N59" s="285">
        <v>0</v>
      </c>
      <c r="O59" s="285">
        <v>0</v>
      </c>
      <c r="P59" s="285">
        <v>0</v>
      </c>
      <c r="Q59" s="285">
        <v>0</v>
      </c>
      <c r="R59" s="285">
        <v>0</v>
      </c>
      <c r="S59" s="285">
        <v>0</v>
      </c>
      <c r="T59" s="285">
        <v>0</v>
      </c>
      <c r="U59" s="285">
        <v>0</v>
      </c>
      <c r="V59" s="285">
        <v>0</v>
      </c>
      <c r="W59" s="285">
        <v>0</v>
      </c>
      <c r="X59" s="863">
        <f>X62</f>
        <v>118</v>
      </c>
      <c r="Y59" s="285">
        <v>0</v>
      </c>
      <c r="Z59" s="285">
        <v>0</v>
      </c>
      <c r="AA59" s="285">
        <v>0</v>
      </c>
      <c r="AB59" s="285">
        <v>0</v>
      </c>
      <c r="AC59" s="285">
        <v>0</v>
      </c>
      <c r="AD59" s="285">
        <v>0</v>
      </c>
      <c r="AE59" s="285">
        <v>0</v>
      </c>
      <c r="AF59" s="867" t="s">
        <v>612</v>
      </c>
    </row>
    <row r="60" spans="1:32" ht="15.75" customHeight="1" x14ac:dyDescent="0.25">
      <c r="A60" s="507" t="s">
        <v>31</v>
      </c>
      <c r="B60" s="937">
        <f>B61+B62+B64</f>
        <v>118</v>
      </c>
      <c r="C60" s="285">
        <v>0</v>
      </c>
      <c r="D60" s="285">
        <v>0</v>
      </c>
      <c r="E60" s="285">
        <v>0</v>
      </c>
      <c r="F60" s="285">
        <v>0</v>
      </c>
      <c r="G60" s="285">
        <v>0</v>
      </c>
      <c r="H60" s="285">
        <v>0</v>
      </c>
      <c r="I60" s="285">
        <v>0</v>
      </c>
      <c r="J60" s="285">
        <v>0</v>
      </c>
      <c r="K60" s="285">
        <v>0</v>
      </c>
      <c r="L60" s="285">
        <v>0</v>
      </c>
      <c r="M60" s="285">
        <v>0</v>
      </c>
      <c r="N60" s="285">
        <v>0</v>
      </c>
      <c r="O60" s="285">
        <v>0</v>
      </c>
      <c r="P60" s="285">
        <v>0</v>
      </c>
      <c r="Q60" s="285">
        <v>0</v>
      </c>
      <c r="R60" s="285">
        <v>0</v>
      </c>
      <c r="S60" s="285">
        <v>0</v>
      </c>
      <c r="T60" s="285">
        <v>0</v>
      </c>
      <c r="U60" s="285">
        <v>0</v>
      </c>
      <c r="V60" s="285">
        <v>0</v>
      </c>
      <c r="W60" s="285">
        <v>0</v>
      </c>
      <c r="X60" s="937">
        <f>X61+X62+X64</f>
        <v>118</v>
      </c>
      <c r="Y60" s="285">
        <v>0</v>
      </c>
      <c r="Z60" s="285">
        <v>0</v>
      </c>
      <c r="AA60" s="285">
        <v>0</v>
      </c>
      <c r="AB60" s="285">
        <v>0</v>
      </c>
      <c r="AC60" s="285">
        <v>0</v>
      </c>
      <c r="AD60" s="285">
        <v>0</v>
      </c>
      <c r="AE60" s="285">
        <v>0</v>
      </c>
      <c r="AF60" s="867"/>
    </row>
    <row r="61" spans="1:32" ht="31.5" x14ac:dyDescent="0.25">
      <c r="A61" s="507" t="s">
        <v>550</v>
      </c>
      <c r="B61" s="285">
        <v>0</v>
      </c>
      <c r="C61" s="285">
        <v>0</v>
      </c>
      <c r="D61" s="285">
        <v>0</v>
      </c>
      <c r="E61" s="285">
        <v>0</v>
      </c>
      <c r="F61" s="285">
        <v>0</v>
      </c>
      <c r="G61" s="285">
        <v>0</v>
      </c>
      <c r="H61" s="285">
        <v>0</v>
      </c>
      <c r="I61" s="285">
        <v>0</v>
      </c>
      <c r="J61" s="285">
        <v>0</v>
      </c>
      <c r="K61" s="285">
        <v>0</v>
      </c>
      <c r="L61" s="285">
        <v>0</v>
      </c>
      <c r="M61" s="285">
        <v>0</v>
      </c>
      <c r="N61" s="285">
        <v>0</v>
      </c>
      <c r="O61" s="285">
        <v>0</v>
      </c>
      <c r="P61" s="285">
        <v>0</v>
      </c>
      <c r="Q61" s="285">
        <v>0</v>
      </c>
      <c r="R61" s="285">
        <v>0</v>
      </c>
      <c r="S61" s="285">
        <v>0</v>
      </c>
      <c r="T61" s="285">
        <v>0</v>
      </c>
      <c r="U61" s="285">
        <v>0</v>
      </c>
      <c r="V61" s="285">
        <v>0</v>
      </c>
      <c r="W61" s="285">
        <v>0</v>
      </c>
      <c r="X61" s="285">
        <v>0</v>
      </c>
      <c r="Y61" s="285">
        <v>0</v>
      </c>
      <c r="Z61" s="285">
        <v>0</v>
      </c>
      <c r="AA61" s="285">
        <v>0</v>
      </c>
      <c r="AB61" s="285">
        <v>0</v>
      </c>
      <c r="AC61" s="285">
        <v>0</v>
      </c>
      <c r="AD61" s="285">
        <v>0</v>
      </c>
      <c r="AE61" s="285">
        <v>0</v>
      </c>
      <c r="AF61" s="867"/>
    </row>
    <row r="62" spans="1:32" ht="15.75" customHeight="1" x14ac:dyDescent="0.25">
      <c r="A62" s="507" t="s">
        <v>33</v>
      </c>
      <c r="B62" s="937">
        <f>X62</f>
        <v>118</v>
      </c>
      <c r="C62" s="285">
        <v>0</v>
      </c>
      <c r="D62" s="285">
        <v>0</v>
      </c>
      <c r="E62" s="285">
        <v>0</v>
      </c>
      <c r="F62" s="285">
        <v>0</v>
      </c>
      <c r="G62" s="285">
        <v>0</v>
      </c>
      <c r="H62" s="285">
        <v>0</v>
      </c>
      <c r="I62" s="285">
        <v>0</v>
      </c>
      <c r="J62" s="285">
        <v>0</v>
      </c>
      <c r="K62" s="285">
        <v>0</v>
      </c>
      <c r="L62" s="285">
        <v>0</v>
      </c>
      <c r="M62" s="285">
        <v>0</v>
      </c>
      <c r="N62" s="285">
        <v>0</v>
      </c>
      <c r="O62" s="285">
        <v>0</v>
      </c>
      <c r="P62" s="285">
        <v>0</v>
      </c>
      <c r="Q62" s="285">
        <v>0</v>
      </c>
      <c r="R62" s="285">
        <v>0</v>
      </c>
      <c r="S62" s="285">
        <v>0</v>
      </c>
      <c r="T62" s="285">
        <v>0</v>
      </c>
      <c r="U62" s="285">
        <v>0</v>
      </c>
      <c r="V62" s="285">
        <v>0</v>
      </c>
      <c r="W62" s="285">
        <v>0</v>
      </c>
      <c r="X62" s="863">
        <v>118</v>
      </c>
      <c r="Y62" s="285">
        <v>0</v>
      </c>
      <c r="Z62" s="285">
        <v>0</v>
      </c>
      <c r="AA62" s="285">
        <v>0</v>
      </c>
      <c r="AB62" s="285">
        <v>0</v>
      </c>
      <c r="AC62" s="285">
        <v>0</v>
      </c>
      <c r="AD62" s="285">
        <v>0</v>
      </c>
      <c r="AE62" s="863">
        <v>0</v>
      </c>
      <c r="AF62" s="867"/>
    </row>
    <row r="63" spans="1:32" ht="47.25" x14ac:dyDescent="0.25">
      <c r="A63" s="866" t="s">
        <v>174</v>
      </c>
      <c r="B63" s="285">
        <v>0</v>
      </c>
      <c r="C63" s="285">
        <v>0</v>
      </c>
      <c r="D63" s="285">
        <v>0</v>
      </c>
      <c r="E63" s="285">
        <v>0</v>
      </c>
      <c r="F63" s="285">
        <v>0</v>
      </c>
      <c r="G63" s="285">
        <v>0</v>
      </c>
      <c r="H63" s="285">
        <v>0</v>
      </c>
      <c r="I63" s="285">
        <v>0</v>
      </c>
      <c r="J63" s="285">
        <v>0</v>
      </c>
      <c r="K63" s="285">
        <v>0</v>
      </c>
      <c r="L63" s="285">
        <v>0</v>
      </c>
      <c r="M63" s="285">
        <v>0</v>
      </c>
      <c r="N63" s="285">
        <v>0</v>
      </c>
      <c r="O63" s="285">
        <v>0</v>
      </c>
      <c r="P63" s="285">
        <v>0</v>
      </c>
      <c r="Q63" s="285">
        <v>0</v>
      </c>
      <c r="R63" s="285">
        <v>0</v>
      </c>
      <c r="S63" s="285">
        <v>0</v>
      </c>
      <c r="T63" s="285">
        <v>0</v>
      </c>
      <c r="U63" s="285">
        <v>0</v>
      </c>
      <c r="V63" s="285">
        <v>0</v>
      </c>
      <c r="W63" s="285">
        <v>0</v>
      </c>
      <c r="X63" s="285">
        <v>0</v>
      </c>
      <c r="Y63" s="285">
        <v>0</v>
      </c>
      <c r="Z63" s="285">
        <v>0</v>
      </c>
      <c r="AA63" s="285">
        <v>0</v>
      </c>
      <c r="AB63" s="285">
        <v>0</v>
      </c>
      <c r="AC63" s="285">
        <v>0</v>
      </c>
      <c r="AD63" s="285">
        <v>0</v>
      </c>
      <c r="AE63" s="285">
        <v>0</v>
      </c>
      <c r="AF63" s="867"/>
    </row>
    <row r="64" spans="1:32" ht="15.75" customHeight="1" x14ac:dyDescent="0.25">
      <c r="A64" s="507" t="s">
        <v>170</v>
      </c>
      <c r="B64" s="285">
        <v>0</v>
      </c>
      <c r="C64" s="285">
        <v>0</v>
      </c>
      <c r="D64" s="285">
        <v>0</v>
      </c>
      <c r="E64" s="285">
        <v>0</v>
      </c>
      <c r="F64" s="285">
        <v>0</v>
      </c>
      <c r="G64" s="285">
        <v>0</v>
      </c>
      <c r="H64" s="285">
        <v>0</v>
      </c>
      <c r="I64" s="285">
        <v>0</v>
      </c>
      <c r="J64" s="285">
        <v>0</v>
      </c>
      <c r="K64" s="285">
        <v>0</v>
      </c>
      <c r="L64" s="285">
        <v>0</v>
      </c>
      <c r="M64" s="285">
        <v>0</v>
      </c>
      <c r="N64" s="285">
        <v>0</v>
      </c>
      <c r="O64" s="285">
        <v>0</v>
      </c>
      <c r="P64" s="285">
        <v>0</v>
      </c>
      <c r="Q64" s="285">
        <v>0</v>
      </c>
      <c r="R64" s="285">
        <v>0</v>
      </c>
      <c r="S64" s="285">
        <v>0</v>
      </c>
      <c r="T64" s="285">
        <v>0</v>
      </c>
      <c r="U64" s="285">
        <v>0</v>
      </c>
      <c r="V64" s="285">
        <v>0</v>
      </c>
      <c r="W64" s="285">
        <v>0</v>
      </c>
      <c r="X64" s="285">
        <v>0</v>
      </c>
      <c r="Y64" s="285">
        <v>0</v>
      </c>
      <c r="Z64" s="285">
        <v>0</v>
      </c>
      <c r="AA64" s="285">
        <v>0</v>
      </c>
      <c r="AB64" s="285">
        <v>0</v>
      </c>
      <c r="AC64" s="285">
        <v>0</v>
      </c>
      <c r="AD64" s="285">
        <v>0</v>
      </c>
      <c r="AE64" s="285">
        <v>0</v>
      </c>
      <c r="AF64" s="867"/>
    </row>
    <row r="65" spans="1:32" ht="15.75" customHeight="1" x14ac:dyDescent="0.25">
      <c r="A65" s="289" t="s">
        <v>62</v>
      </c>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6"/>
    </row>
    <row r="66" spans="1:32" ht="15.75" x14ac:dyDescent="0.25">
      <c r="A66" s="290" t="s">
        <v>31</v>
      </c>
      <c r="B66" s="282">
        <f>B67+B68+B70</f>
        <v>146517.29937000002</v>
      </c>
      <c r="C66" s="282">
        <f t="shared" ref="C66:E66" si="50">C67+C68+C70</f>
        <v>52149.114939999999</v>
      </c>
      <c r="D66" s="282">
        <f t="shared" si="50"/>
        <v>16900.631939999999</v>
      </c>
      <c r="E66" s="282">
        <f t="shared" si="50"/>
        <v>16900.631939999999</v>
      </c>
      <c r="F66" s="282">
        <f t="shared" si="36"/>
        <v>11.534905443022701</v>
      </c>
      <c r="G66" s="282">
        <f t="shared" si="34"/>
        <v>32.408281443405066</v>
      </c>
      <c r="H66" s="282">
        <f>H67+H68+H70</f>
        <v>0</v>
      </c>
      <c r="I66" s="282">
        <f t="shared" ref="I66:AE66" si="51">I67+I68+I70</f>
        <v>0</v>
      </c>
      <c r="J66" s="282">
        <f t="shared" si="51"/>
        <v>2609.3220000000001</v>
      </c>
      <c r="K66" s="282">
        <f t="shared" si="51"/>
        <v>0</v>
      </c>
      <c r="L66" s="282">
        <f t="shared" si="51"/>
        <v>30792.012999999999</v>
      </c>
      <c r="M66" s="282">
        <f t="shared" si="51"/>
        <v>0</v>
      </c>
      <c r="N66" s="282">
        <f t="shared" si="51"/>
        <v>0</v>
      </c>
      <c r="O66" s="282">
        <f t="shared" si="51"/>
        <v>0</v>
      </c>
      <c r="P66" s="282">
        <f t="shared" si="51"/>
        <v>0</v>
      </c>
      <c r="Q66" s="282">
        <f t="shared" si="51"/>
        <v>0</v>
      </c>
      <c r="R66" s="282">
        <f t="shared" si="51"/>
        <v>1847.1479999999999</v>
      </c>
      <c r="S66" s="282">
        <f t="shared" si="51"/>
        <v>0</v>
      </c>
      <c r="T66" s="282">
        <f t="shared" si="51"/>
        <v>16900.631939999999</v>
      </c>
      <c r="U66" s="282">
        <f t="shared" si="51"/>
        <v>16900.631939999999</v>
      </c>
      <c r="V66" s="282">
        <f t="shared" si="51"/>
        <v>446.6</v>
      </c>
      <c r="W66" s="282">
        <f t="shared" si="51"/>
        <v>0</v>
      </c>
      <c r="X66" s="282">
        <f t="shared" si="51"/>
        <v>118</v>
      </c>
      <c r="Y66" s="282">
        <f t="shared" si="51"/>
        <v>0</v>
      </c>
      <c r="Z66" s="282">
        <f t="shared" si="51"/>
        <v>0</v>
      </c>
      <c r="AA66" s="282">
        <f t="shared" si="51"/>
        <v>0</v>
      </c>
      <c r="AB66" s="282">
        <f t="shared" si="51"/>
        <v>0</v>
      </c>
      <c r="AC66" s="282">
        <f t="shared" si="51"/>
        <v>0</v>
      </c>
      <c r="AD66" s="282">
        <f t="shared" si="51"/>
        <v>93803.584429999988</v>
      </c>
      <c r="AE66" s="282">
        <f t="shared" si="51"/>
        <v>0</v>
      </c>
      <c r="AF66" s="283"/>
    </row>
    <row r="67" spans="1:32" ht="15.75" x14ac:dyDescent="0.25">
      <c r="A67" s="291" t="s">
        <v>32</v>
      </c>
      <c r="B67" s="285">
        <f>B43</f>
        <v>80391.3</v>
      </c>
      <c r="C67" s="285">
        <f t="shared" ref="C67:S70" si="52">C43+C55</f>
        <v>7657.67634</v>
      </c>
      <c r="D67" s="285">
        <f t="shared" si="52"/>
        <v>7657.67634</v>
      </c>
      <c r="E67" s="285">
        <f>E43</f>
        <v>7657.67634</v>
      </c>
      <c r="F67" s="285">
        <f t="shared" si="52"/>
        <v>19.051007609032318</v>
      </c>
      <c r="G67" s="285">
        <f t="shared" si="52"/>
        <v>100</v>
      </c>
      <c r="H67" s="285">
        <f t="shared" si="52"/>
        <v>0</v>
      </c>
      <c r="I67" s="285">
        <f t="shared" si="52"/>
        <v>0</v>
      </c>
      <c r="J67" s="285">
        <f t="shared" si="52"/>
        <v>0</v>
      </c>
      <c r="K67" s="285">
        <f t="shared" si="52"/>
        <v>0</v>
      </c>
      <c r="L67" s="285">
        <f t="shared" si="52"/>
        <v>0</v>
      </c>
      <c r="M67" s="285">
        <f t="shared" si="52"/>
        <v>0</v>
      </c>
      <c r="N67" s="285">
        <f t="shared" si="52"/>
        <v>0</v>
      </c>
      <c r="O67" s="285">
        <f t="shared" si="52"/>
        <v>0</v>
      </c>
      <c r="P67" s="285">
        <f t="shared" si="52"/>
        <v>0</v>
      </c>
      <c r="Q67" s="285">
        <f t="shared" si="52"/>
        <v>0</v>
      </c>
      <c r="R67" s="285">
        <f t="shared" si="52"/>
        <v>0</v>
      </c>
      <c r="S67" s="285">
        <f t="shared" si="52"/>
        <v>0</v>
      </c>
      <c r="T67" s="285">
        <f>T43</f>
        <v>7657.67634</v>
      </c>
      <c r="U67" s="285">
        <f>T43</f>
        <v>7657.67634</v>
      </c>
      <c r="V67" s="285">
        <f t="shared" ref="U67:AA70" si="53">V43+V55</f>
        <v>0</v>
      </c>
      <c r="W67" s="285">
        <f t="shared" si="53"/>
        <v>0</v>
      </c>
      <c r="X67" s="285">
        <f t="shared" si="53"/>
        <v>0</v>
      </c>
      <c r="Y67" s="285">
        <f t="shared" si="53"/>
        <v>0</v>
      </c>
      <c r="Z67" s="285">
        <f t="shared" si="53"/>
        <v>0</v>
      </c>
      <c r="AA67" s="285">
        <f t="shared" si="53"/>
        <v>0</v>
      </c>
      <c r="AB67" s="285">
        <f>AB43</f>
        <v>0</v>
      </c>
      <c r="AC67" s="285">
        <f t="shared" ref="AC67:AD70" si="54">AC43+AC55</f>
        <v>0</v>
      </c>
      <c r="AD67" s="285">
        <f>AD43</f>
        <v>72733.623659999997</v>
      </c>
      <c r="AE67" s="285">
        <f>AE43</f>
        <v>0</v>
      </c>
      <c r="AF67" s="286"/>
    </row>
    <row r="68" spans="1:32" ht="15.75" x14ac:dyDescent="0.25">
      <c r="A68" s="291" t="s">
        <v>33</v>
      </c>
      <c r="B68" s="285">
        <f>B44</f>
        <v>4456.8</v>
      </c>
      <c r="C68" s="285">
        <f t="shared" si="52"/>
        <v>510.63559999999995</v>
      </c>
      <c r="D68" s="285">
        <f t="shared" si="52"/>
        <v>403.03559999999999</v>
      </c>
      <c r="E68" s="285">
        <f>E44</f>
        <v>403.03559999999999</v>
      </c>
      <c r="F68" s="285">
        <f t="shared" si="52"/>
        <v>18.568487160995893</v>
      </c>
      <c r="G68" s="285">
        <f t="shared" si="52"/>
        <v>78.92822200410626</v>
      </c>
      <c r="H68" s="285">
        <f t="shared" si="52"/>
        <v>0</v>
      </c>
      <c r="I68" s="285">
        <f t="shared" si="52"/>
        <v>0</v>
      </c>
      <c r="J68" s="285">
        <f t="shared" si="52"/>
        <v>0</v>
      </c>
      <c r="K68" s="285">
        <f t="shared" si="52"/>
        <v>0</v>
      </c>
      <c r="L68" s="285">
        <f t="shared" si="52"/>
        <v>0</v>
      </c>
      <c r="M68" s="285">
        <f t="shared" si="52"/>
        <v>0</v>
      </c>
      <c r="N68" s="285">
        <f t="shared" si="52"/>
        <v>0</v>
      </c>
      <c r="O68" s="285">
        <f t="shared" si="52"/>
        <v>0</v>
      </c>
      <c r="P68" s="285">
        <f t="shared" si="52"/>
        <v>0</v>
      </c>
      <c r="Q68" s="285">
        <f t="shared" si="52"/>
        <v>0</v>
      </c>
      <c r="R68" s="285">
        <f t="shared" si="52"/>
        <v>107.6</v>
      </c>
      <c r="S68" s="285">
        <f t="shared" si="52"/>
        <v>0</v>
      </c>
      <c r="T68" s="285">
        <f>T44</f>
        <v>403.03559999999999</v>
      </c>
      <c r="U68" s="285">
        <f>U44</f>
        <v>403.03559999999999</v>
      </c>
      <c r="V68" s="285">
        <f t="shared" si="53"/>
        <v>0</v>
      </c>
      <c r="W68" s="285">
        <f t="shared" si="53"/>
        <v>0</v>
      </c>
      <c r="X68" s="285">
        <f t="shared" si="53"/>
        <v>118</v>
      </c>
      <c r="Y68" s="285">
        <f t="shared" si="53"/>
        <v>0</v>
      </c>
      <c r="Z68" s="285">
        <f t="shared" si="53"/>
        <v>0</v>
      </c>
      <c r="AA68" s="285">
        <f t="shared" si="53"/>
        <v>0</v>
      </c>
      <c r="AB68" s="285">
        <f>AB44</f>
        <v>0</v>
      </c>
      <c r="AC68" s="285">
        <f t="shared" si="54"/>
        <v>0</v>
      </c>
      <c r="AD68" s="285">
        <f>AD44</f>
        <v>3828.1644000000001</v>
      </c>
      <c r="AE68" s="285">
        <f>AE44</f>
        <v>0</v>
      </c>
      <c r="AF68" s="286"/>
    </row>
    <row r="69" spans="1:32" ht="31.5" x14ac:dyDescent="0.25">
      <c r="A69" s="298" t="s">
        <v>174</v>
      </c>
      <c r="B69" s="285">
        <f>B45</f>
        <v>4231.2</v>
      </c>
      <c r="C69" s="285">
        <f t="shared" si="52"/>
        <v>0</v>
      </c>
      <c r="D69" s="285">
        <f t="shared" si="52"/>
        <v>0</v>
      </c>
      <c r="E69" s="285">
        <f t="shared" si="52"/>
        <v>0</v>
      </c>
      <c r="F69" s="285">
        <f t="shared" si="52"/>
        <v>0</v>
      </c>
      <c r="G69" s="285">
        <f t="shared" si="52"/>
        <v>0</v>
      </c>
      <c r="H69" s="285">
        <f t="shared" si="52"/>
        <v>0</v>
      </c>
      <c r="I69" s="285">
        <f t="shared" si="52"/>
        <v>0</v>
      </c>
      <c r="J69" s="285">
        <f t="shared" si="52"/>
        <v>0</v>
      </c>
      <c r="K69" s="285">
        <f t="shared" si="52"/>
        <v>0</v>
      </c>
      <c r="L69" s="285">
        <f t="shared" si="52"/>
        <v>0</v>
      </c>
      <c r="M69" s="285">
        <f t="shared" si="52"/>
        <v>0</v>
      </c>
      <c r="N69" s="285">
        <f t="shared" si="52"/>
        <v>0</v>
      </c>
      <c r="O69" s="285">
        <f t="shared" si="52"/>
        <v>0</v>
      </c>
      <c r="P69" s="285">
        <f t="shared" si="52"/>
        <v>0</v>
      </c>
      <c r="Q69" s="285">
        <f t="shared" si="52"/>
        <v>0</v>
      </c>
      <c r="R69" s="285">
        <f t="shared" si="52"/>
        <v>0</v>
      </c>
      <c r="S69" s="285">
        <f t="shared" si="52"/>
        <v>0</v>
      </c>
      <c r="T69" s="285">
        <f>T45+T57</f>
        <v>806.07119999999998</v>
      </c>
      <c r="U69" s="285">
        <f t="shared" si="53"/>
        <v>0</v>
      </c>
      <c r="V69" s="285">
        <f t="shared" si="53"/>
        <v>0</v>
      </c>
      <c r="W69" s="285">
        <f t="shared" si="53"/>
        <v>0</v>
      </c>
      <c r="X69" s="285">
        <f t="shared" si="53"/>
        <v>0</v>
      </c>
      <c r="Y69" s="285">
        <f t="shared" si="53"/>
        <v>0</v>
      </c>
      <c r="Z69" s="285">
        <f t="shared" si="53"/>
        <v>0</v>
      </c>
      <c r="AA69" s="285">
        <f t="shared" si="53"/>
        <v>0</v>
      </c>
      <c r="AB69" s="285">
        <f>AB45+AB57</f>
        <v>0</v>
      </c>
      <c r="AC69" s="285">
        <f t="shared" si="54"/>
        <v>0</v>
      </c>
      <c r="AD69" s="285">
        <f t="shared" si="54"/>
        <v>7656.3288000000002</v>
      </c>
      <c r="AE69" s="285">
        <f>AE45</f>
        <v>0</v>
      </c>
      <c r="AF69" s="286"/>
    </row>
    <row r="70" spans="1:32" ht="15.75" x14ac:dyDescent="0.25">
      <c r="A70" s="291" t="s">
        <v>221</v>
      </c>
      <c r="B70" s="285">
        <f>B46</f>
        <v>61669.199370000002</v>
      </c>
      <c r="C70" s="285">
        <f t="shared" si="52"/>
        <v>43980.803</v>
      </c>
      <c r="D70" s="285">
        <f t="shared" si="52"/>
        <v>8839.92</v>
      </c>
      <c r="E70" s="285">
        <f t="shared" si="52"/>
        <v>8839.92</v>
      </c>
      <c r="F70" s="285">
        <f t="shared" si="52"/>
        <v>14.334416678515085</v>
      </c>
      <c r="G70" s="285">
        <f t="shared" si="52"/>
        <v>20.099496591728897</v>
      </c>
      <c r="H70" s="285">
        <f t="shared" si="52"/>
        <v>0</v>
      </c>
      <c r="I70" s="285">
        <f t="shared" si="52"/>
        <v>0</v>
      </c>
      <c r="J70" s="285">
        <f t="shared" si="52"/>
        <v>2609.3220000000001</v>
      </c>
      <c r="K70" s="285">
        <f t="shared" si="52"/>
        <v>0</v>
      </c>
      <c r="L70" s="285">
        <f t="shared" si="52"/>
        <v>30792.012999999999</v>
      </c>
      <c r="M70" s="285">
        <f t="shared" si="52"/>
        <v>0</v>
      </c>
      <c r="N70" s="285">
        <f t="shared" si="52"/>
        <v>0</v>
      </c>
      <c r="O70" s="285">
        <f t="shared" si="52"/>
        <v>0</v>
      </c>
      <c r="P70" s="285">
        <f t="shared" si="52"/>
        <v>0</v>
      </c>
      <c r="Q70" s="285">
        <f t="shared" si="52"/>
        <v>0</v>
      </c>
      <c r="R70" s="285">
        <f t="shared" si="52"/>
        <v>1739.548</v>
      </c>
      <c r="S70" s="285">
        <f t="shared" si="52"/>
        <v>0</v>
      </c>
      <c r="T70" s="285">
        <f>T46+T58</f>
        <v>8839.92</v>
      </c>
      <c r="U70" s="285">
        <f t="shared" si="53"/>
        <v>8839.92</v>
      </c>
      <c r="V70" s="285">
        <f t="shared" si="53"/>
        <v>446.6</v>
      </c>
      <c r="W70" s="285">
        <f t="shared" si="53"/>
        <v>0</v>
      </c>
      <c r="X70" s="285">
        <f t="shared" si="53"/>
        <v>0</v>
      </c>
      <c r="Y70" s="285">
        <f t="shared" si="53"/>
        <v>0</v>
      </c>
      <c r="Z70" s="285">
        <f t="shared" si="53"/>
        <v>0</v>
      </c>
      <c r="AA70" s="285">
        <f t="shared" si="53"/>
        <v>0</v>
      </c>
      <c r="AB70" s="285">
        <f>AB46+AB58</f>
        <v>0</v>
      </c>
      <c r="AC70" s="285">
        <f t="shared" si="54"/>
        <v>0</v>
      </c>
      <c r="AD70" s="285">
        <f t="shared" si="54"/>
        <v>17241.79637</v>
      </c>
      <c r="AE70" s="285">
        <f>AE46</f>
        <v>0</v>
      </c>
      <c r="AF70" s="286"/>
    </row>
    <row r="71" spans="1:32" ht="31.5" x14ac:dyDescent="0.25">
      <c r="A71" s="301" t="s">
        <v>63</v>
      </c>
      <c r="B71" s="282">
        <f>B72+B73+B75</f>
        <v>207961.09937000001</v>
      </c>
      <c r="C71" s="282">
        <f>C72+C73+C75</f>
        <v>52149.114939999999</v>
      </c>
      <c r="D71" s="282">
        <f t="shared" ref="D71:E71" si="55">D72+D73+D75</f>
        <v>16900.631939999999</v>
      </c>
      <c r="E71" s="282">
        <f t="shared" si="55"/>
        <v>16900.631939999999</v>
      </c>
      <c r="F71" s="282">
        <f t="shared" si="36"/>
        <v>8.1268237142422244</v>
      </c>
      <c r="G71" s="282">
        <f>IFERROR(E71/C71*100,0)</f>
        <v>32.408281443405066</v>
      </c>
      <c r="H71" s="282">
        <f>H72+H73+H75</f>
        <v>0</v>
      </c>
      <c r="I71" s="282">
        <f t="shared" ref="I71:AE71" si="56">I72+I73+I75</f>
        <v>0</v>
      </c>
      <c r="J71" s="282">
        <f t="shared" si="56"/>
        <v>2609.3220000000001</v>
      </c>
      <c r="K71" s="282">
        <f t="shared" si="56"/>
        <v>0</v>
      </c>
      <c r="L71" s="282">
        <f t="shared" si="56"/>
        <v>30792.012999999999</v>
      </c>
      <c r="M71" s="282">
        <f t="shared" si="56"/>
        <v>0</v>
      </c>
      <c r="N71" s="282">
        <f t="shared" si="56"/>
        <v>0</v>
      </c>
      <c r="O71" s="282">
        <f t="shared" si="56"/>
        <v>0</v>
      </c>
      <c r="P71" s="282">
        <f t="shared" si="56"/>
        <v>0</v>
      </c>
      <c r="Q71" s="282">
        <f t="shared" si="56"/>
        <v>0</v>
      </c>
      <c r="R71" s="282">
        <f t="shared" si="56"/>
        <v>1847.1479999999999</v>
      </c>
      <c r="S71" s="282">
        <f t="shared" si="56"/>
        <v>0</v>
      </c>
      <c r="T71" s="282">
        <f t="shared" si="56"/>
        <v>16900.631939999999</v>
      </c>
      <c r="U71" s="282">
        <f t="shared" si="56"/>
        <v>16900.631939999999</v>
      </c>
      <c r="V71" s="282">
        <f t="shared" si="56"/>
        <v>446.6</v>
      </c>
      <c r="W71" s="282">
        <f t="shared" si="56"/>
        <v>0</v>
      </c>
      <c r="X71" s="282">
        <f t="shared" si="56"/>
        <v>118</v>
      </c>
      <c r="Y71" s="282">
        <f t="shared" si="56"/>
        <v>0</v>
      </c>
      <c r="Z71" s="282">
        <f t="shared" si="56"/>
        <v>0</v>
      </c>
      <c r="AA71" s="282">
        <f t="shared" si="56"/>
        <v>0</v>
      </c>
      <c r="AB71" s="282">
        <f>AB72+AB73+AB75</f>
        <v>2992.4</v>
      </c>
      <c r="AC71" s="282">
        <f t="shared" si="56"/>
        <v>0</v>
      </c>
      <c r="AD71" s="282">
        <f>AD72+AD73+AD75</f>
        <v>152254.98443000001</v>
      </c>
      <c r="AE71" s="282">
        <f t="shared" si="56"/>
        <v>0</v>
      </c>
      <c r="AF71" s="283"/>
    </row>
    <row r="72" spans="1:32" ht="15.75" x14ac:dyDescent="0.25">
      <c r="A72" s="302" t="s">
        <v>32</v>
      </c>
      <c r="B72" s="285">
        <f>B67+B35</f>
        <v>126783.70000000001</v>
      </c>
      <c r="C72" s="285">
        <f>C67+C35</f>
        <v>7657.67634</v>
      </c>
      <c r="D72" s="285">
        <f>D67+D35</f>
        <v>7657.67634</v>
      </c>
      <c r="E72" s="285">
        <f>E67+E35</f>
        <v>7657.67634</v>
      </c>
      <c r="F72" s="285">
        <f t="shared" si="36"/>
        <v>6.0399533536251102</v>
      </c>
      <c r="G72" s="285">
        <f t="shared" si="34"/>
        <v>100</v>
      </c>
      <c r="H72" s="285">
        <f t="shared" ref="H72:AE72" si="57">H67+H35</f>
        <v>0</v>
      </c>
      <c r="I72" s="285">
        <f t="shared" si="57"/>
        <v>0</v>
      </c>
      <c r="J72" s="285">
        <f t="shared" si="57"/>
        <v>0</v>
      </c>
      <c r="K72" s="285">
        <f t="shared" si="57"/>
        <v>0</v>
      </c>
      <c r="L72" s="285">
        <f t="shared" si="57"/>
        <v>0</v>
      </c>
      <c r="M72" s="285">
        <f t="shared" si="57"/>
        <v>0</v>
      </c>
      <c r="N72" s="285">
        <f t="shared" si="57"/>
        <v>0</v>
      </c>
      <c r="O72" s="285">
        <f t="shared" si="57"/>
        <v>0</v>
      </c>
      <c r="P72" s="285">
        <f t="shared" si="57"/>
        <v>0</v>
      </c>
      <c r="Q72" s="285">
        <f t="shared" si="57"/>
        <v>0</v>
      </c>
      <c r="R72" s="285">
        <f t="shared" si="57"/>
        <v>0</v>
      </c>
      <c r="S72" s="285">
        <f t="shared" si="57"/>
        <v>0</v>
      </c>
      <c r="T72" s="285">
        <f t="shared" si="57"/>
        <v>7657.67634</v>
      </c>
      <c r="U72" s="285">
        <f>U67+U35</f>
        <v>7657.67634</v>
      </c>
      <c r="V72" s="285">
        <f t="shared" si="57"/>
        <v>0</v>
      </c>
      <c r="W72" s="285">
        <f t="shared" si="57"/>
        <v>0</v>
      </c>
      <c r="X72" s="285">
        <f t="shared" si="57"/>
        <v>0</v>
      </c>
      <c r="Y72" s="285">
        <f t="shared" si="57"/>
        <v>0</v>
      </c>
      <c r="Z72" s="285">
        <f t="shared" si="57"/>
        <v>0</v>
      </c>
      <c r="AA72" s="285">
        <f t="shared" si="57"/>
        <v>0</v>
      </c>
      <c r="AB72" s="285">
        <f t="shared" si="57"/>
        <v>0</v>
      </c>
      <c r="AC72" s="285">
        <f t="shared" si="57"/>
        <v>0</v>
      </c>
      <c r="AD72" s="285">
        <f t="shared" si="57"/>
        <v>119126.02366000001</v>
      </c>
      <c r="AE72" s="285">
        <f t="shared" si="57"/>
        <v>0</v>
      </c>
      <c r="AF72" s="286"/>
    </row>
    <row r="73" spans="1:32" ht="15.75" x14ac:dyDescent="0.25">
      <c r="A73" s="302" t="s">
        <v>33</v>
      </c>
      <c r="B73" s="285">
        <f>B68+B36+B18</f>
        <v>19508.2</v>
      </c>
      <c r="C73" s="285">
        <f t="shared" ref="C73:AE73" si="58">C68+C36+C18</f>
        <v>510.63559999999995</v>
      </c>
      <c r="D73" s="285">
        <f t="shared" si="58"/>
        <v>403.03559999999999</v>
      </c>
      <c r="E73" s="285">
        <f>E68+E36+E18</f>
        <v>403.03559999999999</v>
      </c>
      <c r="F73" s="285">
        <f t="shared" si="58"/>
        <v>18.568487160995893</v>
      </c>
      <c r="G73" s="285">
        <f t="shared" si="58"/>
        <v>78.92822200410626</v>
      </c>
      <c r="H73" s="285">
        <f t="shared" si="58"/>
        <v>0</v>
      </c>
      <c r="I73" s="285">
        <f t="shared" si="58"/>
        <v>0</v>
      </c>
      <c r="J73" s="285">
        <f t="shared" si="58"/>
        <v>0</v>
      </c>
      <c r="K73" s="285">
        <f t="shared" si="58"/>
        <v>0</v>
      </c>
      <c r="L73" s="285">
        <f t="shared" si="58"/>
        <v>0</v>
      </c>
      <c r="M73" s="285">
        <f t="shared" si="58"/>
        <v>0</v>
      </c>
      <c r="N73" s="285">
        <f t="shared" si="58"/>
        <v>0</v>
      </c>
      <c r="O73" s="285">
        <f t="shared" si="58"/>
        <v>0</v>
      </c>
      <c r="P73" s="285">
        <f t="shared" si="58"/>
        <v>0</v>
      </c>
      <c r="Q73" s="285">
        <f t="shared" si="58"/>
        <v>0</v>
      </c>
      <c r="R73" s="285">
        <f t="shared" si="58"/>
        <v>107.6</v>
      </c>
      <c r="S73" s="285">
        <f t="shared" si="58"/>
        <v>0</v>
      </c>
      <c r="T73" s="285">
        <f t="shared" si="58"/>
        <v>403.03559999999999</v>
      </c>
      <c r="U73" s="285">
        <f t="shared" si="58"/>
        <v>403.03559999999999</v>
      </c>
      <c r="V73" s="285">
        <f t="shared" si="58"/>
        <v>0</v>
      </c>
      <c r="W73" s="285">
        <f t="shared" si="58"/>
        <v>0</v>
      </c>
      <c r="X73" s="285">
        <f t="shared" si="58"/>
        <v>118</v>
      </c>
      <c r="Y73" s="285">
        <f t="shared" si="58"/>
        <v>0</v>
      </c>
      <c r="Z73" s="285">
        <f t="shared" si="58"/>
        <v>0</v>
      </c>
      <c r="AA73" s="285">
        <f t="shared" si="58"/>
        <v>0</v>
      </c>
      <c r="AB73" s="285">
        <f t="shared" si="58"/>
        <v>2992.4</v>
      </c>
      <c r="AC73" s="285">
        <f t="shared" si="58"/>
        <v>0</v>
      </c>
      <c r="AD73" s="285">
        <f>AD68+AD36+AD18</f>
        <v>15887.1644</v>
      </c>
      <c r="AE73" s="285">
        <f t="shared" si="58"/>
        <v>0</v>
      </c>
      <c r="AF73" s="286"/>
    </row>
    <row r="74" spans="1:32" ht="31.5" x14ac:dyDescent="0.25">
      <c r="A74" s="296" t="s">
        <v>174</v>
      </c>
      <c r="B74" s="285">
        <f t="shared" ref="B74:AD74" si="59">B69+B37+B18</f>
        <v>19282.599999999999</v>
      </c>
      <c r="C74" s="285">
        <f t="shared" si="59"/>
        <v>0</v>
      </c>
      <c r="D74" s="285">
        <f t="shared" si="59"/>
        <v>0</v>
      </c>
      <c r="E74" s="285">
        <f t="shared" si="59"/>
        <v>0</v>
      </c>
      <c r="F74" s="285">
        <f t="shared" si="59"/>
        <v>0</v>
      </c>
      <c r="G74" s="285">
        <f t="shared" si="59"/>
        <v>0</v>
      </c>
      <c r="H74" s="285">
        <f t="shared" si="59"/>
        <v>0</v>
      </c>
      <c r="I74" s="285">
        <f t="shared" si="59"/>
        <v>0</v>
      </c>
      <c r="J74" s="285">
        <f t="shared" si="59"/>
        <v>0</v>
      </c>
      <c r="K74" s="285">
        <f t="shared" si="59"/>
        <v>0</v>
      </c>
      <c r="L74" s="285">
        <f t="shared" si="59"/>
        <v>0</v>
      </c>
      <c r="M74" s="285">
        <f t="shared" si="59"/>
        <v>0</v>
      </c>
      <c r="N74" s="285">
        <f t="shared" si="59"/>
        <v>0</v>
      </c>
      <c r="O74" s="285">
        <f t="shared" si="59"/>
        <v>0</v>
      </c>
      <c r="P74" s="285">
        <f t="shared" si="59"/>
        <v>0</v>
      </c>
      <c r="Q74" s="285">
        <f t="shared" si="59"/>
        <v>0</v>
      </c>
      <c r="R74" s="285">
        <f t="shared" si="59"/>
        <v>0</v>
      </c>
      <c r="S74" s="285">
        <f t="shared" si="59"/>
        <v>0</v>
      </c>
      <c r="T74" s="285">
        <f t="shared" si="59"/>
        <v>806.07119999999998</v>
      </c>
      <c r="U74" s="285">
        <f t="shared" si="59"/>
        <v>0</v>
      </c>
      <c r="V74" s="285">
        <f t="shared" si="59"/>
        <v>0</v>
      </c>
      <c r="W74" s="285">
        <f t="shared" si="59"/>
        <v>0</v>
      </c>
      <c r="X74" s="285">
        <f t="shared" si="59"/>
        <v>0</v>
      </c>
      <c r="Y74" s="285">
        <f t="shared" si="59"/>
        <v>0</v>
      </c>
      <c r="Z74" s="285">
        <f t="shared" si="59"/>
        <v>0</v>
      </c>
      <c r="AA74" s="285">
        <f t="shared" si="59"/>
        <v>0</v>
      </c>
      <c r="AB74" s="285">
        <f t="shared" si="59"/>
        <v>2992.4</v>
      </c>
      <c r="AC74" s="285">
        <f t="shared" si="59"/>
        <v>0</v>
      </c>
      <c r="AD74" s="285">
        <f t="shared" si="59"/>
        <v>19715.328800000003</v>
      </c>
      <c r="AE74" s="285">
        <f>AE69+AE37</f>
        <v>0</v>
      </c>
      <c r="AF74" s="286"/>
    </row>
    <row r="75" spans="1:32" ht="31.5" x14ac:dyDescent="0.25">
      <c r="A75" s="284" t="s">
        <v>374</v>
      </c>
      <c r="B75" s="285">
        <f>B70+B38</f>
        <v>61669.199370000002</v>
      </c>
      <c r="C75" s="285">
        <f>C70+C38</f>
        <v>43980.803</v>
      </c>
      <c r="D75" s="285">
        <f>D70+D38</f>
        <v>8839.92</v>
      </c>
      <c r="E75" s="285">
        <f>E70+E38</f>
        <v>8839.92</v>
      </c>
      <c r="F75" s="285">
        <f>IFERROR(E75/B75*100,0)</f>
        <v>14.334416678515085</v>
      </c>
      <c r="G75" s="285">
        <f t="shared" si="34"/>
        <v>20.099496591728897</v>
      </c>
      <c r="H75" s="285">
        <f t="shared" ref="H75:AD75" si="60">H70+H38</f>
        <v>0</v>
      </c>
      <c r="I75" s="285">
        <f t="shared" si="60"/>
        <v>0</v>
      </c>
      <c r="J75" s="285">
        <f t="shared" si="60"/>
        <v>2609.3220000000001</v>
      </c>
      <c r="K75" s="285">
        <f t="shared" si="60"/>
        <v>0</v>
      </c>
      <c r="L75" s="285">
        <f t="shared" si="60"/>
        <v>30792.012999999999</v>
      </c>
      <c r="M75" s="285">
        <f t="shared" si="60"/>
        <v>0</v>
      </c>
      <c r="N75" s="285">
        <f t="shared" si="60"/>
        <v>0</v>
      </c>
      <c r="O75" s="285">
        <f t="shared" si="60"/>
        <v>0</v>
      </c>
      <c r="P75" s="285">
        <f t="shared" si="60"/>
        <v>0</v>
      </c>
      <c r="Q75" s="285">
        <f t="shared" si="60"/>
        <v>0</v>
      </c>
      <c r="R75" s="285">
        <f t="shared" si="60"/>
        <v>1739.548</v>
      </c>
      <c r="S75" s="285">
        <f t="shared" si="60"/>
        <v>0</v>
      </c>
      <c r="T75" s="285">
        <f t="shared" si="60"/>
        <v>8839.92</v>
      </c>
      <c r="U75" s="285">
        <f t="shared" si="60"/>
        <v>8839.92</v>
      </c>
      <c r="V75" s="285">
        <f t="shared" si="60"/>
        <v>446.6</v>
      </c>
      <c r="W75" s="285">
        <f t="shared" si="60"/>
        <v>0</v>
      </c>
      <c r="X75" s="285">
        <f t="shared" si="60"/>
        <v>0</v>
      </c>
      <c r="Y75" s="285">
        <f t="shared" si="60"/>
        <v>0</v>
      </c>
      <c r="Z75" s="285">
        <f t="shared" si="60"/>
        <v>0</v>
      </c>
      <c r="AA75" s="285">
        <f t="shared" si="60"/>
        <v>0</v>
      </c>
      <c r="AB75" s="285">
        <f t="shared" si="60"/>
        <v>0</v>
      </c>
      <c r="AC75" s="285">
        <f t="shared" si="60"/>
        <v>0</v>
      </c>
      <c r="AD75" s="285">
        <f t="shared" si="60"/>
        <v>17241.79637</v>
      </c>
      <c r="AE75" s="285">
        <f>AE70+AE38</f>
        <v>0</v>
      </c>
      <c r="AF75" s="286"/>
    </row>
    <row r="76" spans="1:32" ht="31.5" x14ac:dyDescent="0.25">
      <c r="A76" s="854" t="s">
        <v>381</v>
      </c>
      <c r="B76" s="855"/>
      <c r="C76" s="855"/>
      <c r="D76" s="855"/>
      <c r="E76" s="855"/>
      <c r="F76" s="855"/>
      <c r="G76" s="855"/>
      <c r="H76" s="855"/>
      <c r="I76" s="855"/>
      <c r="J76" s="855"/>
      <c r="K76" s="855"/>
      <c r="L76" s="855"/>
      <c r="M76" s="855"/>
      <c r="N76" s="855"/>
      <c r="O76" s="855"/>
      <c r="P76" s="855"/>
      <c r="Q76" s="855"/>
      <c r="R76" s="855"/>
      <c r="S76" s="855"/>
      <c r="T76" s="855"/>
      <c r="U76" s="855"/>
      <c r="V76" s="855"/>
      <c r="W76" s="855"/>
      <c r="X76" s="855"/>
      <c r="Y76" s="855"/>
      <c r="Z76" s="855"/>
      <c r="AA76" s="855"/>
      <c r="AB76" s="855"/>
      <c r="AC76" s="855"/>
      <c r="AD76" s="855"/>
      <c r="AE76" s="855"/>
      <c r="AF76" s="303"/>
    </row>
    <row r="77" spans="1:32" ht="15.75" x14ac:dyDescent="0.25">
      <c r="A77" s="281" t="s">
        <v>31</v>
      </c>
      <c r="B77" s="282">
        <f>B78+B79+B81</f>
        <v>207961.09937000001</v>
      </c>
      <c r="C77" s="282">
        <f t="shared" ref="C77:E77" si="61">C78+C79+C81</f>
        <v>33401.334999999999</v>
      </c>
      <c r="D77" s="282">
        <f>D78+D79+D81</f>
        <v>16900.631939999999</v>
      </c>
      <c r="E77" s="282">
        <f t="shared" si="61"/>
        <v>16900.631939999999</v>
      </c>
      <c r="F77" s="282">
        <f>IFERROR(E77/B77*100,0)</f>
        <v>8.1268237142422244</v>
      </c>
      <c r="G77" s="282">
        <f>IFERROR(F77/C77*100,0)</f>
        <v>2.4330835022738535E-2</v>
      </c>
      <c r="H77" s="282">
        <f>H78+H79+H81</f>
        <v>0</v>
      </c>
      <c r="I77" s="282">
        <f t="shared" ref="I77:AE77" si="62">I78+I79+I81</f>
        <v>0</v>
      </c>
      <c r="J77" s="282">
        <f t="shared" si="62"/>
        <v>2609.3220000000001</v>
      </c>
      <c r="K77" s="282">
        <f t="shared" si="62"/>
        <v>0</v>
      </c>
      <c r="L77" s="282">
        <f t="shared" si="62"/>
        <v>30792.012999999999</v>
      </c>
      <c r="M77" s="282">
        <f t="shared" si="62"/>
        <v>0</v>
      </c>
      <c r="N77" s="282">
        <f t="shared" si="62"/>
        <v>0</v>
      </c>
      <c r="O77" s="282">
        <f t="shared" si="62"/>
        <v>0</v>
      </c>
      <c r="P77" s="282">
        <f t="shared" si="62"/>
        <v>0</v>
      </c>
      <c r="Q77" s="282">
        <f t="shared" si="62"/>
        <v>0</v>
      </c>
      <c r="R77" s="282">
        <f t="shared" si="62"/>
        <v>1847.1479999999999</v>
      </c>
      <c r="S77" s="282">
        <f t="shared" si="62"/>
        <v>0</v>
      </c>
      <c r="T77" s="282">
        <f t="shared" si="62"/>
        <v>16900.631939999999</v>
      </c>
      <c r="U77" s="282">
        <f t="shared" si="62"/>
        <v>16900.631939999999</v>
      </c>
      <c r="V77" s="282">
        <f t="shared" si="62"/>
        <v>446.6</v>
      </c>
      <c r="W77" s="282">
        <f t="shared" si="62"/>
        <v>0</v>
      </c>
      <c r="X77" s="282">
        <f t="shared" si="62"/>
        <v>118</v>
      </c>
      <c r="Y77" s="282">
        <f t="shared" si="62"/>
        <v>0</v>
      </c>
      <c r="Z77" s="282">
        <f t="shared" si="62"/>
        <v>0</v>
      </c>
      <c r="AA77" s="282">
        <f t="shared" si="62"/>
        <v>0</v>
      </c>
      <c r="AB77" s="282">
        <f t="shared" si="62"/>
        <v>2992.4</v>
      </c>
      <c r="AC77" s="282">
        <f t="shared" si="62"/>
        <v>0</v>
      </c>
      <c r="AD77" s="282">
        <f t="shared" si="62"/>
        <v>152254.98443000001</v>
      </c>
      <c r="AE77" s="282">
        <f t="shared" si="62"/>
        <v>0</v>
      </c>
      <c r="AF77" s="304"/>
    </row>
    <row r="78" spans="1:32" ht="15.75" x14ac:dyDescent="0.25">
      <c r="A78" s="302" t="s">
        <v>32</v>
      </c>
      <c r="B78" s="285">
        <f>H78+J78+L78+N78+P78+R78+T78+V78+X78+Z78+AB78+AD78</f>
        <v>126783.70000000001</v>
      </c>
      <c r="C78" s="285">
        <f t="shared" ref="C78:C80" si="63">H78+J78+L78+N78+P78</f>
        <v>0</v>
      </c>
      <c r="D78" s="285">
        <f>E78</f>
        <v>7657.67634</v>
      </c>
      <c r="E78" s="285">
        <f>I78+K78+M78+O78+Q78+S78+U78+W78+Y78+AA78+AC78+AE78</f>
        <v>7657.67634</v>
      </c>
      <c r="F78" s="285">
        <f t="shared" ref="F78:G81" si="64">IFERROR(E78/B78*100,0)</f>
        <v>6.0399533536251102</v>
      </c>
      <c r="G78" s="285">
        <f t="shared" si="64"/>
        <v>0</v>
      </c>
      <c r="H78" s="285">
        <f>H72</f>
        <v>0</v>
      </c>
      <c r="I78" s="285">
        <f t="shared" ref="I78:AE81" si="65">I72</f>
        <v>0</v>
      </c>
      <c r="J78" s="285">
        <f t="shared" si="65"/>
        <v>0</v>
      </c>
      <c r="K78" s="285">
        <f t="shared" si="65"/>
        <v>0</v>
      </c>
      <c r="L78" s="285">
        <f t="shared" si="65"/>
        <v>0</v>
      </c>
      <c r="M78" s="285">
        <f t="shared" si="65"/>
        <v>0</v>
      </c>
      <c r="N78" s="285">
        <f t="shared" si="65"/>
        <v>0</v>
      </c>
      <c r="O78" s="285">
        <f t="shared" si="65"/>
        <v>0</v>
      </c>
      <c r="P78" s="285">
        <f t="shared" si="65"/>
        <v>0</v>
      </c>
      <c r="Q78" s="285">
        <f t="shared" si="65"/>
        <v>0</v>
      </c>
      <c r="R78" s="285">
        <f t="shared" si="65"/>
        <v>0</v>
      </c>
      <c r="S78" s="285">
        <f t="shared" si="65"/>
        <v>0</v>
      </c>
      <c r="T78" s="285">
        <f t="shared" si="65"/>
        <v>7657.67634</v>
      </c>
      <c r="U78" s="285">
        <f t="shared" si="65"/>
        <v>7657.67634</v>
      </c>
      <c r="V78" s="285">
        <f t="shared" si="65"/>
        <v>0</v>
      </c>
      <c r="W78" s="285">
        <f t="shared" si="65"/>
        <v>0</v>
      </c>
      <c r="X78" s="285">
        <f t="shared" si="65"/>
        <v>0</v>
      </c>
      <c r="Y78" s="285">
        <f t="shared" si="65"/>
        <v>0</v>
      </c>
      <c r="Z78" s="285">
        <f t="shared" si="65"/>
        <v>0</v>
      </c>
      <c r="AA78" s="285">
        <f t="shared" si="65"/>
        <v>0</v>
      </c>
      <c r="AB78" s="285">
        <f t="shared" si="65"/>
        <v>0</v>
      </c>
      <c r="AC78" s="285">
        <f t="shared" si="65"/>
        <v>0</v>
      </c>
      <c r="AD78" s="285">
        <f t="shared" si="65"/>
        <v>119126.02366000001</v>
      </c>
      <c r="AE78" s="285">
        <f t="shared" si="65"/>
        <v>0</v>
      </c>
      <c r="AF78" s="305"/>
    </row>
    <row r="79" spans="1:32" ht="15.75" x14ac:dyDescent="0.25">
      <c r="A79" s="302" t="s">
        <v>33</v>
      </c>
      <c r="B79" s="285">
        <f>H79+J79+L79+N79+P79+R79+T79+V79+X79+Z79+AB79+AD79</f>
        <v>19508.2</v>
      </c>
      <c r="C79" s="285">
        <f t="shared" si="63"/>
        <v>0</v>
      </c>
      <c r="D79" s="285">
        <f>E79</f>
        <v>403.03559999999999</v>
      </c>
      <c r="E79" s="285">
        <f t="shared" ref="E79:E81" si="66">I79+K79+M79+O79+Q79+S79+U79+W79+Y79+AA79+AC79+AE79</f>
        <v>403.03559999999999</v>
      </c>
      <c r="F79" s="285">
        <f t="shared" si="64"/>
        <v>2.0659804594990825</v>
      </c>
      <c r="G79" s="285">
        <f t="shared" si="64"/>
        <v>0</v>
      </c>
      <c r="H79" s="285">
        <f t="shared" ref="H79:W81" si="67">H73</f>
        <v>0</v>
      </c>
      <c r="I79" s="285">
        <f t="shared" si="67"/>
        <v>0</v>
      </c>
      <c r="J79" s="285">
        <f t="shared" si="67"/>
        <v>0</v>
      </c>
      <c r="K79" s="285">
        <f t="shared" si="67"/>
        <v>0</v>
      </c>
      <c r="L79" s="285">
        <f t="shared" si="67"/>
        <v>0</v>
      </c>
      <c r="M79" s="285">
        <f t="shared" si="67"/>
        <v>0</v>
      </c>
      <c r="N79" s="285">
        <f t="shared" si="67"/>
        <v>0</v>
      </c>
      <c r="O79" s="285">
        <f t="shared" si="67"/>
        <v>0</v>
      </c>
      <c r="P79" s="285">
        <f t="shared" si="67"/>
        <v>0</v>
      </c>
      <c r="Q79" s="285">
        <f t="shared" si="67"/>
        <v>0</v>
      </c>
      <c r="R79" s="285">
        <f t="shared" si="67"/>
        <v>107.6</v>
      </c>
      <c r="S79" s="285">
        <f t="shared" si="67"/>
        <v>0</v>
      </c>
      <c r="T79" s="285">
        <f t="shared" si="67"/>
        <v>403.03559999999999</v>
      </c>
      <c r="U79" s="285">
        <f t="shared" si="67"/>
        <v>403.03559999999999</v>
      </c>
      <c r="V79" s="285">
        <f t="shared" si="67"/>
        <v>0</v>
      </c>
      <c r="W79" s="285">
        <f t="shared" si="67"/>
        <v>0</v>
      </c>
      <c r="X79" s="285">
        <f t="shared" si="65"/>
        <v>118</v>
      </c>
      <c r="Y79" s="285">
        <f t="shared" si="65"/>
        <v>0</v>
      </c>
      <c r="Z79" s="285">
        <f t="shared" si="65"/>
        <v>0</v>
      </c>
      <c r="AA79" s="285">
        <f t="shared" si="65"/>
        <v>0</v>
      </c>
      <c r="AB79" s="285">
        <f t="shared" si="65"/>
        <v>2992.4</v>
      </c>
      <c r="AC79" s="285">
        <f t="shared" si="65"/>
        <v>0</v>
      </c>
      <c r="AD79" s="285">
        <f>AD73</f>
        <v>15887.1644</v>
      </c>
      <c r="AE79" s="285">
        <f t="shared" si="65"/>
        <v>0</v>
      </c>
      <c r="AF79" s="305"/>
    </row>
    <row r="80" spans="1:32" ht="31.5" x14ac:dyDescent="0.25">
      <c r="A80" s="296" t="s">
        <v>174</v>
      </c>
      <c r="B80" s="285">
        <f>H80+J80+L80+N80+P80+R80+T80+V80+X80+Z80+AB80+AD80</f>
        <v>23513.800000000003</v>
      </c>
      <c r="C80" s="285">
        <f t="shared" si="63"/>
        <v>0</v>
      </c>
      <c r="D80" s="285">
        <f t="shared" ref="D80:D81" si="68">E80</f>
        <v>0</v>
      </c>
      <c r="E80" s="285">
        <f t="shared" si="66"/>
        <v>0</v>
      </c>
      <c r="F80" s="285">
        <f t="shared" si="64"/>
        <v>0</v>
      </c>
      <c r="G80" s="285">
        <f t="shared" si="64"/>
        <v>0</v>
      </c>
      <c r="H80" s="285">
        <f t="shared" si="67"/>
        <v>0</v>
      </c>
      <c r="I80" s="285">
        <f t="shared" si="67"/>
        <v>0</v>
      </c>
      <c r="J80" s="285">
        <f t="shared" si="67"/>
        <v>0</v>
      </c>
      <c r="K80" s="285">
        <f t="shared" si="67"/>
        <v>0</v>
      </c>
      <c r="L80" s="285">
        <f t="shared" si="67"/>
        <v>0</v>
      </c>
      <c r="M80" s="285">
        <f t="shared" si="67"/>
        <v>0</v>
      </c>
      <c r="N80" s="285">
        <f t="shared" si="67"/>
        <v>0</v>
      </c>
      <c r="O80" s="285">
        <f t="shared" si="67"/>
        <v>0</v>
      </c>
      <c r="P80" s="285">
        <f t="shared" si="67"/>
        <v>0</v>
      </c>
      <c r="Q80" s="285">
        <f t="shared" si="67"/>
        <v>0</v>
      </c>
      <c r="R80" s="285">
        <f t="shared" si="67"/>
        <v>0</v>
      </c>
      <c r="S80" s="285">
        <f t="shared" si="67"/>
        <v>0</v>
      </c>
      <c r="T80" s="285">
        <f t="shared" si="67"/>
        <v>806.07119999999998</v>
      </c>
      <c r="U80" s="285">
        <f t="shared" si="67"/>
        <v>0</v>
      </c>
      <c r="V80" s="285">
        <f t="shared" si="67"/>
        <v>0</v>
      </c>
      <c r="W80" s="285">
        <f t="shared" si="67"/>
        <v>0</v>
      </c>
      <c r="X80" s="285">
        <f t="shared" si="65"/>
        <v>0</v>
      </c>
      <c r="Y80" s="285">
        <f t="shared" si="65"/>
        <v>0</v>
      </c>
      <c r="Z80" s="285">
        <f t="shared" si="65"/>
        <v>0</v>
      </c>
      <c r="AA80" s="285">
        <f t="shared" si="65"/>
        <v>0</v>
      </c>
      <c r="AB80" s="285">
        <f t="shared" si="65"/>
        <v>2992.4</v>
      </c>
      <c r="AC80" s="285">
        <f t="shared" si="65"/>
        <v>0</v>
      </c>
      <c r="AD80" s="285">
        <f>AD74</f>
        <v>19715.328800000003</v>
      </c>
      <c r="AE80" s="285">
        <f t="shared" si="65"/>
        <v>0</v>
      </c>
      <c r="AF80" s="305"/>
    </row>
    <row r="81" spans="1:32" ht="31.5" x14ac:dyDescent="0.25">
      <c r="A81" s="284" t="s">
        <v>374</v>
      </c>
      <c r="B81" s="285">
        <f>H81+J81+L81+N81+P81+R81+T81+V81+X81+Z81+AB81+AD81</f>
        <v>61669.199370000002</v>
      </c>
      <c r="C81" s="285">
        <f>H81+J81+L81+N81+P81</f>
        <v>33401.334999999999</v>
      </c>
      <c r="D81" s="285">
        <f t="shared" si="68"/>
        <v>8839.92</v>
      </c>
      <c r="E81" s="285">
        <f t="shared" si="66"/>
        <v>8839.92</v>
      </c>
      <c r="F81" s="285">
        <f t="shared" si="64"/>
        <v>14.334416678515085</v>
      </c>
      <c r="G81" s="285">
        <f t="shared" si="64"/>
        <v>4.2915699862041697E-2</v>
      </c>
      <c r="H81" s="285">
        <f t="shared" si="67"/>
        <v>0</v>
      </c>
      <c r="I81" s="285">
        <f t="shared" si="67"/>
        <v>0</v>
      </c>
      <c r="J81" s="285">
        <f t="shared" si="67"/>
        <v>2609.3220000000001</v>
      </c>
      <c r="K81" s="285">
        <f t="shared" si="67"/>
        <v>0</v>
      </c>
      <c r="L81" s="285">
        <f t="shared" si="67"/>
        <v>30792.012999999999</v>
      </c>
      <c r="M81" s="285">
        <f t="shared" si="67"/>
        <v>0</v>
      </c>
      <c r="N81" s="285">
        <f t="shared" si="67"/>
        <v>0</v>
      </c>
      <c r="O81" s="285">
        <f t="shared" si="67"/>
        <v>0</v>
      </c>
      <c r="P81" s="285">
        <f t="shared" si="67"/>
        <v>0</v>
      </c>
      <c r="Q81" s="285">
        <f t="shared" si="67"/>
        <v>0</v>
      </c>
      <c r="R81" s="285">
        <f t="shared" si="67"/>
        <v>1739.548</v>
      </c>
      <c r="S81" s="285">
        <f t="shared" si="67"/>
        <v>0</v>
      </c>
      <c r="T81" s="285">
        <f t="shared" si="67"/>
        <v>8839.92</v>
      </c>
      <c r="U81" s="285">
        <f t="shared" si="67"/>
        <v>8839.92</v>
      </c>
      <c r="V81" s="285">
        <f t="shared" si="67"/>
        <v>446.6</v>
      </c>
      <c r="W81" s="285">
        <f t="shared" si="67"/>
        <v>0</v>
      </c>
      <c r="X81" s="285">
        <f t="shared" si="65"/>
        <v>0</v>
      </c>
      <c r="Y81" s="285">
        <f t="shared" si="65"/>
        <v>0</v>
      </c>
      <c r="Z81" s="285">
        <f t="shared" si="65"/>
        <v>0</v>
      </c>
      <c r="AA81" s="285">
        <f t="shared" si="65"/>
        <v>0</v>
      </c>
      <c r="AB81" s="285">
        <f t="shared" si="65"/>
        <v>0</v>
      </c>
      <c r="AC81" s="285">
        <f t="shared" si="65"/>
        <v>0</v>
      </c>
      <c r="AD81" s="285">
        <f t="shared" si="65"/>
        <v>17241.79637</v>
      </c>
      <c r="AE81" s="285">
        <f t="shared" si="65"/>
        <v>0</v>
      </c>
      <c r="AF81" s="305"/>
    </row>
  </sheetData>
  <customSheetViews>
    <customSheetView guid="{7C130984-112A-4861-AA43-E2940708E3DC}" scale="75" state="hidden">
      <pane ySplit="4" topLeftCell="A32" activePane="bottomLeft" state="frozen"/>
      <selection pane="bottomLeft" activeCell="G46" sqref="G46"/>
      <pageMargins left="0.7" right="0.7" top="0.75" bottom="0.75" header="0.3" footer="0.3"/>
      <pageSetup paperSize="9" orientation="portrait" r:id="rId1"/>
    </customSheetView>
    <customSheetView guid="{3C3F523F-5F34-4CF7-831E-F1ABC4278CEB}" scale="75">
      <pane ySplit="4" topLeftCell="A32" activePane="bottomLeft" state="frozen"/>
      <selection pane="bottomLeft" activeCell="G46" sqref="G46"/>
      <pageMargins left="0.7" right="0.7" top="0.75" bottom="0.75" header="0.3" footer="0.3"/>
      <pageSetup paperSize="9" orientation="portrait" r:id="rId2"/>
    </customSheetView>
    <customSheetView guid="{D01FA037-9AEC-4167-ADB8-2F327C01ECE6}" scale="75">
      <pane ySplit="4" topLeftCell="A32" activePane="bottomLeft" state="frozen"/>
      <selection pane="bottomLeft" activeCell="G46" sqref="G46"/>
      <pageMargins left="0.7" right="0.7" top="0.75" bottom="0.75" header="0.3" footer="0.3"/>
      <pageSetup paperSize="9" orientation="portrait" r:id="rId3"/>
    </customSheetView>
    <customSheetView guid="{602C8EDB-B9EF-4C85-B0D5-0558C3A0ABAB}" scale="75">
      <pane ySplit="4" topLeftCell="A32" activePane="bottomLeft" state="frozen"/>
      <selection pane="bottomLeft" activeCell="G46" sqref="G46"/>
      <pageMargins left="0.7" right="0.7" top="0.75" bottom="0.75" header="0.3" footer="0.3"/>
      <pageSetup paperSize="9" orientation="portrait" r:id="rId4"/>
    </customSheetView>
    <customSheetView guid="{69DABE6F-6182-4403-A4A2-969F10F1C13A}" scale="75">
      <pane ySplit="4" topLeftCell="A32" activePane="bottomLeft" state="frozen"/>
      <selection pane="bottomLeft" activeCell="G46" sqref="G46"/>
      <pageMargins left="0.7" right="0.7" top="0.75" bottom="0.75" header="0.3" footer="0.3"/>
      <pageSetup paperSize="9" orientation="portrait" r:id="rId5"/>
    </customSheetView>
    <customSheetView guid="{E508E171-4ED9-4B07-84DF-DA28C60E1969}" scale="75">
      <pane ySplit="4" topLeftCell="A32" activePane="bottomLeft" state="frozen"/>
      <selection pane="bottomLeft" activeCell="G46" sqref="G46"/>
      <pageMargins left="0.7" right="0.7" top="0.75" bottom="0.75" header="0.3" footer="0.3"/>
      <pageSetup paperSize="9" orientation="portrait" r:id="rId6"/>
    </customSheetView>
    <customSheetView guid="{AC2D5927-4079-4C74-AF69-1BFAC505648F}" scale="75">
      <pane ySplit="4" topLeftCell="A11" activePane="bottomLeft" state="frozen"/>
      <selection pane="bottomLeft" activeCell="AD69" sqref="AD69"/>
      <pageMargins left="0.7" right="0.7" top="0.75" bottom="0.75" header="0.3" footer="0.3"/>
      <pageSetup paperSize="9" orientation="portrait" r:id="rId7"/>
    </customSheetView>
    <customSheetView guid="{442F2C94-DD1B-4A01-8694-513D4D6F3BD9}" scale="75">
      <pane ySplit="4" topLeftCell="A54" activePane="bottomLeft" state="frozen"/>
      <selection pane="bottomLeft" activeCell="E83" sqref="E83"/>
      <pageMargins left="0.7" right="0.7" top="0.75" bottom="0.75" header="0.3" footer="0.3"/>
    </customSheetView>
    <customSheetView guid="{CE1CCA00-200D-4EAA-9FBE-F8EE7C5F82FE}" scale="75">
      <pane ySplit="4" topLeftCell="A54" activePane="bottomLeft" state="frozen"/>
      <selection pane="bottomLeft" activeCell="E83" sqref="E83"/>
      <pageMargins left="0.7" right="0.7" top="0.75" bottom="0.75" header="0.3" footer="0.3"/>
    </customSheetView>
    <customSheetView guid="{4D0DFB57-2CBA-42F2-9A97-C453A6851FBA}" scale="75">
      <pane ySplit="4" topLeftCell="A54" activePane="bottomLeft" state="frozen"/>
      <selection pane="bottomLeft" activeCell="E83" sqref="E83"/>
      <pageMargins left="0.7" right="0.7" top="0.75" bottom="0.75" header="0.3" footer="0.3"/>
    </customSheetView>
    <customSheetView guid="{85F4575B-DBC5-482A-9916-255D8F0BC94E}" scale="75">
      <pane ySplit="4" topLeftCell="A44" activePane="bottomLeft" state="frozen"/>
      <selection pane="bottomLeft" activeCell="A47" sqref="A47"/>
      <pageMargins left="0.7" right="0.7" top="0.75" bottom="0.75" header="0.3" footer="0.3"/>
    </customSheetView>
    <customSheetView guid="{B1BF08D1-D416-4B47-ADD0-4F59132DC9E8}" scale="75">
      <pane ySplit="4" topLeftCell="A5" activePane="bottomLeft" state="frozen"/>
      <selection pane="bottomLeft" activeCell="D67" sqref="D67"/>
      <pageMargins left="0.7" right="0.7" top="0.75" bottom="0.75" header="0.3" footer="0.3"/>
    </customSheetView>
    <customSheetView guid="{BCD82A82-B724-4763-8580-D765356E09BA}" scale="80">
      <selection sqref="A1:AD1"/>
      <pageMargins left="0.7" right="0.7" top="0.75" bottom="0.75" header="0.3" footer="0.3"/>
    </customSheetView>
    <customSheetView guid="{C236B307-BD63-48C4-A75F-B3F3717BF55C}" scale="80" topLeftCell="A55">
      <selection sqref="A1:AD1"/>
      <pageMargins left="0.7" right="0.7" top="0.75" bottom="0.75" header="0.3" footer="0.3"/>
    </customSheetView>
    <customSheetView guid="{874882D1-E741-4CCA-BF0D-E72FA60B771D}" scale="80" topLeftCell="A37">
      <selection sqref="A1:AD1"/>
      <pageMargins left="0.7" right="0.7" top="0.75" bottom="0.75" header="0.3" footer="0.3"/>
    </customSheetView>
    <customSheetView guid="{B82BA08A-1A30-4F4D-A478-74A6BD09EA97}" scale="80" topLeftCell="A55">
      <selection sqref="A1:AD1"/>
      <pageMargins left="0.7" right="0.7" top="0.75" bottom="0.75" header="0.3" footer="0.3"/>
    </customSheetView>
    <customSheetView guid="{770624BF-07F3-44B6-94C3-4CC447CDD45C}" scale="80">
      <pane ySplit="4" topLeftCell="A50" activePane="bottomLeft" state="frozen"/>
      <selection pane="bottomLeft" activeCell="D68" sqref="D68"/>
      <pageMargins left="0.7" right="0.7" top="0.75" bottom="0.75" header="0.3" footer="0.3"/>
    </customSheetView>
    <customSheetView guid="{009B3074-D8EC-4952-BF50-43CD64449612}" scale="75">
      <pane ySplit="4" topLeftCell="A5" activePane="bottomLeft" state="frozen"/>
      <selection pane="bottomLeft" activeCell="D67" sqref="D67"/>
      <pageMargins left="0.7" right="0.7" top="0.75" bottom="0.75" header="0.3" footer="0.3"/>
    </customSheetView>
    <customSheetView guid="{F679EF4A-C5FD-4B86-B87B-D85968E0F2CA}" scale="75">
      <pane ySplit="4" topLeftCell="A5" activePane="bottomLeft" state="frozen"/>
      <selection pane="bottomLeft" activeCell="D67" sqref="D67"/>
      <pageMargins left="0.7" right="0.7" top="0.75" bottom="0.75" header="0.3" footer="0.3"/>
    </customSheetView>
    <customSheetView guid="{959E901C-5DDE-42EE-AE94-AB8976B5E00B}" scale="75">
      <pane ySplit="4" topLeftCell="A5" activePane="bottomLeft" state="frozen"/>
      <selection pane="bottomLeft" activeCell="D67" sqref="D67"/>
      <pageMargins left="0.7" right="0.7" top="0.75" bottom="0.75" header="0.3" footer="0.3"/>
    </customSheetView>
    <customSheetView guid="{533DC55B-6AD4-4674-9488-685EF2039F3E}" scale="75">
      <pane ySplit="4" topLeftCell="A54" activePane="bottomLeft" state="frozen"/>
      <selection pane="bottomLeft" activeCell="E83" sqref="E83"/>
      <pageMargins left="0.7" right="0.7" top="0.75" bottom="0.75" header="0.3" footer="0.3"/>
    </customSheetView>
    <customSheetView guid="{87218168-6C8E-4D5B-A5E5-DCCC26803AA3}" scale="75">
      <pane ySplit="4" topLeftCell="A54" activePane="bottomLeft" state="frozen"/>
      <selection pane="bottomLeft" activeCell="E83" sqref="E83"/>
      <pageMargins left="0.7" right="0.7" top="0.75" bottom="0.75" header="0.3" footer="0.3"/>
    </customSheetView>
    <customSheetView guid="{DAA8A688-7558-4B5B-8DBD-E2629BD9E9A8}" scale="75">
      <pane ySplit="4" topLeftCell="A62" activePane="bottomLeft" state="frozen"/>
      <selection pane="bottomLeft" activeCell="C90" sqref="C90"/>
      <pageMargins left="0.7" right="0.7" top="0.75" bottom="0.75" header="0.3" footer="0.3"/>
      <pageSetup paperSize="9" orientation="portrait" r:id="rId8"/>
    </customSheetView>
    <customSheetView guid="{391AB76E-B386-49C1-800F-016A48AA1A46}" scale="75">
      <pane ySplit="4" topLeftCell="A11" activePane="bottomLeft" state="frozen"/>
      <selection pane="bottomLeft" activeCell="AD69" sqref="AD69"/>
      <pageMargins left="0.7" right="0.7" top="0.75" bottom="0.75" header="0.3" footer="0.3"/>
      <pageSetup paperSize="9" orientation="portrait" r:id="rId9"/>
    </customSheetView>
    <customSheetView guid="{09C3E205-981E-4A4E-BE89-8B7044192060}" scale="75" topLeftCell="K1">
      <pane ySplit="4" topLeftCell="A53" activePane="bottomLeft" state="frozen"/>
      <selection pane="bottomLeft" activeCell="A53" sqref="A53"/>
      <pageMargins left="0.7" right="0.7" top="0.75" bottom="0.75" header="0.3" footer="0.3"/>
      <pageSetup paperSize="9" orientation="portrait" r:id="rId10"/>
    </customSheetView>
    <customSheetView guid="{84867370-1F3E-4368-AF79-FBCE46FFFE92}" scale="75">
      <pane ySplit="4" topLeftCell="A50" activePane="bottomLeft" state="frozen"/>
      <selection pane="bottomLeft" activeCell="AR50" sqref="AR50"/>
      <pageMargins left="0.7" right="0.7" top="0.75" bottom="0.75" header="0.3" footer="0.3"/>
      <pageSetup paperSize="9" orientation="portrait" r:id="rId11"/>
    </customSheetView>
    <customSheetView guid="{0C2B9C2A-7B94-41EF-A2E6-F8AC9A67DE25}" scale="75">
      <pane ySplit="4" topLeftCell="A50" activePane="bottomLeft" state="frozen"/>
      <selection pane="bottomLeft" activeCell="AR50" sqref="AR50"/>
      <pageMargins left="0.7" right="0.7" top="0.75" bottom="0.75" header="0.3" footer="0.3"/>
      <pageSetup paperSize="9" orientation="portrait" r:id="rId12"/>
    </customSheetView>
    <customSheetView guid="{CB4792DB-A624-4844-AEB6-A6ADA80946BB}" scale="75">
      <pane ySplit="4" topLeftCell="A5" activePane="bottomLeft" state="frozen"/>
      <selection pane="bottomLeft" activeCell="G46" sqref="G46"/>
      <pageMargins left="0.7" right="0.7" top="0.75" bottom="0.75" header="0.3" footer="0.3"/>
      <pageSetup paperSize="9" orientation="portrait" r:id="rId13"/>
    </customSheetView>
    <customSheetView guid="{74870EE6-26B9-40F7-9DC9-260EF16D8959}" scale="75">
      <pane ySplit="4" topLeftCell="A50" activePane="bottomLeft" state="frozen"/>
      <selection pane="bottomLeft" activeCell="AR50" sqref="AR50"/>
      <pageMargins left="0.7" right="0.7" top="0.75" bottom="0.75" header="0.3" footer="0.3"/>
      <pageSetup paperSize="9" orientation="portrait" r:id="rId14"/>
    </customSheetView>
    <customSheetView guid="{6A602CB8-B24C-4ED4-B378-B27354BE0A1A}" scale="75">
      <pane ySplit="4" topLeftCell="A32" activePane="bottomLeft" state="frozen"/>
      <selection pane="bottomLeft" activeCell="G46" sqref="G46"/>
      <pageMargins left="0.7" right="0.7" top="0.75" bottom="0.75" header="0.3" footer="0.3"/>
      <pageSetup paperSize="9" orientation="portrait" r:id="rId15"/>
    </customSheetView>
    <customSheetView guid="{4F41B9CC-959D-442C-80B0-1F0DB2C76D27}" scale="75">
      <pane ySplit="3" topLeftCell="A32" activePane="bottomLeft" state="frozen"/>
      <selection pane="bottomLeft" activeCell="G46" sqref="G46"/>
      <pageMargins left="0.7" right="0.7" top="0.75" bottom="0.75" header="0.3" footer="0.3"/>
      <pageSetup paperSize="9" orientation="portrait" r:id="rId16"/>
    </customSheetView>
    <customSheetView guid="{47B983AB-FE5F-4725-860C-A2F29420596D}" scale="75">
      <pane ySplit="4" topLeftCell="A32" activePane="bottomLeft" state="frozen"/>
      <selection pane="bottomLeft" activeCell="G46" sqref="G46"/>
      <pageMargins left="0.7" right="0.7" top="0.75" bottom="0.75" header="0.3" footer="0.3"/>
      <pageSetup paperSize="9" orientation="portrait" r:id="rId17"/>
    </customSheetView>
  </customSheetViews>
  <hyperlinks>
    <hyperlink ref="A1:AD1" location="Оглавление!A1" display="Оглавление!A1"/>
  </hyperlinks>
  <pageMargins left="0.7" right="0.7" top="0.75" bottom="0.75" header="0.3" footer="0.3"/>
  <pageSetup paperSize="9" orientation="portrait" r:id="rId18"/>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75"/>
  <sheetViews>
    <sheetView zoomScale="60" zoomScaleNormal="60" workbookViewId="0">
      <pane xSplit="1" ySplit="8" topLeftCell="F48" activePane="bottomRight" state="frozen"/>
      <selection pane="topRight" activeCell="B1" sqref="B1"/>
      <selection pane="bottomLeft" activeCell="A9" sqref="A9"/>
      <selection pane="bottomRight" activeCell="A63" sqref="A63:AE63"/>
    </sheetView>
  </sheetViews>
  <sheetFormatPr defaultColWidth="9.140625" defaultRowHeight="15.75" x14ac:dyDescent="0.25"/>
  <cols>
    <col min="1" max="1" width="35.85546875" style="307" customWidth="1"/>
    <col min="2" max="3" width="16" style="307" customWidth="1"/>
    <col min="4" max="4" width="17" style="307" customWidth="1"/>
    <col min="5" max="5" width="15.7109375" style="307" customWidth="1"/>
    <col min="6" max="6" width="13.42578125" style="307" customWidth="1"/>
    <col min="7" max="7" width="14.7109375" style="307" customWidth="1"/>
    <col min="8" max="23" width="13.42578125" style="307" customWidth="1"/>
    <col min="24" max="24" width="15.28515625" style="307" customWidth="1"/>
    <col min="25" max="25" width="13.42578125" style="307" customWidth="1"/>
    <col min="26" max="26" width="14.42578125" style="307" customWidth="1"/>
    <col min="27" max="31" width="13.42578125" style="307" customWidth="1"/>
    <col min="32" max="32" width="57.140625" style="307" customWidth="1"/>
    <col min="33" max="16384" width="9.140625" style="307"/>
  </cols>
  <sheetData>
    <row r="1" spans="1:32" ht="18.75" x14ac:dyDescent="0.25">
      <c r="A1" s="1169" t="s">
        <v>396</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306"/>
      <c r="AF1" s="306"/>
    </row>
    <row r="2" spans="1:32" x14ac:dyDescent="0.25">
      <c r="A2" s="308"/>
      <c r="B2" s="308"/>
      <c r="C2" s="308"/>
      <c r="D2" s="308"/>
      <c r="E2" s="308"/>
      <c r="F2" s="308"/>
      <c r="G2" s="308"/>
      <c r="H2" s="308"/>
      <c r="I2" s="306"/>
      <c r="J2" s="306"/>
      <c r="K2" s="306"/>
      <c r="L2" s="306"/>
      <c r="M2" s="306"/>
      <c r="N2" s="306"/>
      <c r="O2" s="306"/>
      <c r="P2" s="306"/>
      <c r="Q2" s="306"/>
      <c r="R2" s="306"/>
      <c r="S2" s="306"/>
      <c r="T2" s="306"/>
      <c r="U2" s="306"/>
      <c r="V2" s="306"/>
      <c r="W2" s="306"/>
      <c r="X2" s="306"/>
      <c r="Y2" s="306"/>
      <c r="Z2" s="306"/>
      <c r="AA2" s="306"/>
      <c r="AB2" s="306"/>
      <c r="AC2" s="306"/>
      <c r="AD2" s="306"/>
      <c r="AE2" s="306"/>
      <c r="AF2" s="306"/>
    </row>
    <row r="3" spans="1:32" ht="40.5" customHeight="1" x14ac:dyDescent="0.25">
      <c r="A3" s="1170" t="s">
        <v>383</v>
      </c>
      <c r="B3" s="1170" t="s">
        <v>384</v>
      </c>
      <c r="C3" s="1170" t="s">
        <v>602</v>
      </c>
      <c r="D3" s="1170" t="s">
        <v>603</v>
      </c>
      <c r="E3" s="1170" t="s">
        <v>604</v>
      </c>
      <c r="F3" s="1172" t="s">
        <v>385</v>
      </c>
      <c r="G3" s="1172"/>
      <c r="H3" s="1166" t="s">
        <v>7</v>
      </c>
      <c r="I3" s="1167"/>
      <c r="J3" s="1166" t="s">
        <v>8</v>
      </c>
      <c r="K3" s="1167"/>
      <c r="L3" s="1166" t="s">
        <v>9</v>
      </c>
      <c r="M3" s="1167"/>
      <c r="N3" s="1166" t="s">
        <v>10</v>
      </c>
      <c r="O3" s="1167"/>
      <c r="P3" s="1166" t="s">
        <v>11</v>
      </c>
      <c r="Q3" s="1167"/>
      <c r="R3" s="1166" t="s">
        <v>12</v>
      </c>
      <c r="S3" s="1167"/>
      <c r="T3" s="1166" t="s">
        <v>13</v>
      </c>
      <c r="U3" s="1167"/>
      <c r="V3" s="1166" t="s">
        <v>14</v>
      </c>
      <c r="W3" s="1167"/>
      <c r="X3" s="1166" t="s">
        <v>15</v>
      </c>
      <c r="Y3" s="1167"/>
      <c r="Z3" s="1166" t="s">
        <v>16</v>
      </c>
      <c r="AA3" s="1167"/>
      <c r="AB3" s="1166" t="s">
        <v>17</v>
      </c>
      <c r="AC3" s="1167"/>
      <c r="AD3" s="1168" t="s">
        <v>18</v>
      </c>
      <c r="AE3" s="1168"/>
      <c r="AF3" s="309" t="s">
        <v>19</v>
      </c>
    </row>
    <row r="4" spans="1:32" ht="51.75" customHeight="1" x14ac:dyDescent="0.25">
      <c r="A4" s="1171"/>
      <c r="B4" s="1171"/>
      <c r="C4" s="1171"/>
      <c r="D4" s="1171"/>
      <c r="E4" s="1171"/>
      <c r="F4" s="310" t="s">
        <v>386</v>
      </c>
      <c r="G4" s="310" t="s">
        <v>21</v>
      </c>
      <c r="H4" s="311" t="s">
        <v>165</v>
      </c>
      <c r="I4" s="311" t="s">
        <v>23</v>
      </c>
      <c r="J4" s="311" t="s">
        <v>165</v>
      </c>
      <c r="K4" s="312" t="s">
        <v>23</v>
      </c>
      <c r="L4" s="311" t="s">
        <v>165</v>
      </c>
      <c r="M4" s="311" t="s">
        <v>23</v>
      </c>
      <c r="N4" s="311" t="s">
        <v>165</v>
      </c>
      <c r="O4" s="311" t="s">
        <v>23</v>
      </c>
      <c r="P4" s="311" t="s">
        <v>165</v>
      </c>
      <c r="Q4" s="311" t="s">
        <v>23</v>
      </c>
      <c r="R4" s="311" t="s">
        <v>165</v>
      </c>
      <c r="S4" s="311" t="s">
        <v>23</v>
      </c>
      <c r="T4" s="311" t="s">
        <v>165</v>
      </c>
      <c r="U4" s="311" t="s">
        <v>23</v>
      </c>
      <c r="V4" s="311" t="s">
        <v>165</v>
      </c>
      <c r="W4" s="311" t="s">
        <v>23</v>
      </c>
      <c r="X4" s="311" t="s">
        <v>165</v>
      </c>
      <c r="Y4" s="311" t="s">
        <v>23</v>
      </c>
      <c r="Z4" s="311" t="s">
        <v>165</v>
      </c>
      <c r="AA4" s="311" t="s">
        <v>23</v>
      </c>
      <c r="AB4" s="311" t="s">
        <v>165</v>
      </c>
      <c r="AC4" s="311" t="s">
        <v>23</v>
      </c>
      <c r="AD4" s="311" t="s">
        <v>165</v>
      </c>
      <c r="AE4" s="311" t="s">
        <v>23</v>
      </c>
      <c r="AF4" s="313"/>
    </row>
    <row r="5" spans="1:32" x14ac:dyDescent="0.25">
      <c r="A5" s="309">
        <v>1</v>
      </c>
      <c r="B5" s="309">
        <v>2</v>
      </c>
      <c r="C5" s="309">
        <v>3</v>
      </c>
      <c r="D5" s="309">
        <v>4</v>
      </c>
      <c r="E5" s="309">
        <v>5</v>
      </c>
      <c r="F5" s="309">
        <v>6</v>
      </c>
      <c r="G5" s="309">
        <v>7</v>
      </c>
      <c r="H5" s="311">
        <v>8</v>
      </c>
      <c r="I5" s="311">
        <v>9</v>
      </c>
      <c r="J5" s="311">
        <v>10</v>
      </c>
      <c r="K5" s="311">
        <v>11</v>
      </c>
      <c r="L5" s="311">
        <v>12</v>
      </c>
      <c r="M5" s="311">
        <v>13</v>
      </c>
      <c r="N5" s="311">
        <v>14</v>
      </c>
      <c r="O5" s="311">
        <v>15</v>
      </c>
      <c r="P5" s="311">
        <v>16</v>
      </c>
      <c r="Q5" s="311">
        <v>17</v>
      </c>
      <c r="R5" s="311">
        <v>18</v>
      </c>
      <c r="S5" s="311">
        <v>19</v>
      </c>
      <c r="T5" s="311">
        <v>20</v>
      </c>
      <c r="U5" s="311">
        <v>21</v>
      </c>
      <c r="V5" s="311">
        <v>22</v>
      </c>
      <c r="W5" s="311">
        <v>23</v>
      </c>
      <c r="X5" s="311">
        <v>24</v>
      </c>
      <c r="Y5" s="311">
        <v>25</v>
      </c>
      <c r="Z5" s="311">
        <v>26</v>
      </c>
      <c r="AA5" s="311">
        <v>27</v>
      </c>
      <c r="AB5" s="311">
        <v>28</v>
      </c>
      <c r="AC5" s="311">
        <v>29</v>
      </c>
      <c r="AD5" s="311">
        <v>30</v>
      </c>
      <c r="AE5" s="311">
        <v>31</v>
      </c>
      <c r="AF5" s="311">
        <v>32</v>
      </c>
    </row>
    <row r="6" spans="1:32" x14ac:dyDescent="0.25">
      <c r="A6" s="1154" t="s">
        <v>397</v>
      </c>
      <c r="B6" s="1155"/>
      <c r="C6" s="1155"/>
      <c r="D6" s="1155"/>
      <c r="E6" s="1155"/>
      <c r="F6" s="1155"/>
      <c r="G6" s="1155"/>
      <c r="H6" s="1155"/>
      <c r="I6" s="1155"/>
      <c r="J6" s="1155"/>
      <c r="K6" s="1155"/>
      <c r="L6" s="1155"/>
      <c r="M6" s="1155"/>
      <c r="N6" s="1155"/>
      <c r="O6" s="1155"/>
      <c r="P6" s="1155"/>
      <c r="Q6" s="1155"/>
      <c r="R6" s="1155"/>
      <c r="S6" s="1155"/>
      <c r="T6" s="1155"/>
      <c r="U6" s="1155"/>
      <c r="V6" s="1155"/>
      <c r="W6" s="1155"/>
      <c r="X6" s="1155"/>
      <c r="Y6" s="1155"/>
      <c r="Z6" s="1155"/>
      <c r="AA6" s="1155"/>
      <c r="AB6" s="1155"/>
      <c r="AC6" s="1155"/>
      <c r="AD6" s="1155"/>
      <c r="AE6" s="1156"/>
      <c r="AF6" s="314"/>
    </row>
    <row r="7" spans="1:32" x14ac:dyDescent="0.25">
      <c r="A7" s="315" t="s">
        <v>54</v>
      </c>
      <c r="B7" s="316"/>
      <c r="C7" s="317"/>
      <c r="D7" s="317"/>
      <c r="E7" s="316"/>
      <c r="F7" s="318"/>
      <c r="G7" s="318"/>
      <c r="H7" s="319"/>
      <c r="I7" s="319"/>
      <c r="J7" s="319"/>
      <c r="K7" s="319"/>
      <c r="L7" s="319"/>
      <c r="M7" s="319"/>
      <c r="N7" s="319"/>
      <c r="O7" s="319"/>
      <c r="P7" s="319"/>
      <c r="Q7" s="319"/>
      <c r="R7" s="319"/>
      <c r="S7" s="319"/>
      <c r="T7" s="319"/>
      <c r="U7" s="319"/>
      <c r="V7" s="319"/>
      <c r="W7" s="320"/>
      <c r="X7" s="321"/>
      <c r="Y7" s="322"/>
      <c r="Z7" s="322"/>
      <c r="AA7" s="322"/>
      <c r="AB7" s="322"/>
      <c r="AC7" s="322"/>
      <c r="AD7" s="322"/>
      <c r="AE7" s="322"/>
      <c r="AF7" s="303"/>
    </row>
    <row r="8" spans="1:32" ht="31.5" customHeight="1" x14ac:dyDescent="0.25">
      <c r="A8" s="1142" t="s">
        <v>398</v>
      </c>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4"/>
      <c r="AF8" s="1157" t="s">
        <v>494</v>
      </c>
    </row>
    <row r="9" spans="1:32" x14ac:dyDescent="0.25">
      <c r="A9" s="323" t="s">
        <v>65</v>
      </c>
      <c r="B9" s="324">
        <f>B10</f>
        <v>39754.091999999997</v>
      </c>
      <c r="C9" s="324">
        <f>C10</f>
        <v>22978.753000000001</v>
      </c>
      <c r="D9" s="324">
        <f>D10</f>
        <v>22938.39</v>
      </c>
      <c r="E9" s="324">
        <f>E10</f>
        <v>22938.39</v>
      </c>
      <c r="F9" s="324">
        <f>E9/B9*100</f>
        <v>57.700701603246287</v>
      </c>
      <c r="G9" s="324">
        <f>E9/C9*100</f>
        <v>99.824346429938998</v>
      </c>
      <c r="H9" s="324">
        <f>H10</f>
        <v>3465.99</v>
      </c>
      <c r="I9" s="324">
        <f t="shared" ref="I9:AE9" si="0">I10</f>
        <v>3465.99</v>
      </c>
      <c r="J9" s="324">
        <f t="shared" si="0"/>
        <v>3281.82</v>
      </c>
      <c r="K9" s="324">
        <f t="shared" si="0"/>
        <v>3281.82</v>
      </c>
      <c r="L9" s="324">
        <f t="shared" si="0"/>
        <v>3069.62</v>
      </c>
      <c r="M9" s="324">
        <f t="shared" si="0"/>
        <v>3069.62</v>
      </c>
      <c r="N9" s="324">
        <f t="shared" si="0"/>
        <v>3281.8249999999998</v>
      </c>
      <c r="O9" s="324">
        <f t="shared" si="0"/>
        <v>3281.83</v>
      </c>
      <c r="P9" s="324">
        <f t="shared" si="0"/>
        <v>3175.873</v>
      </c>
      <c r="Q9" s="324">
        <f t="shared" si="0"/>
        <v>3156.01</v>
      </c>
      <c r="R9" s="324">
        <f t="shared" si="0"/>
        <v>3281.8249999999998</v>
      </c>
      <c r="S9" s="324">
        <f t="shared" si="0"/>
        <v>3261.28</v>
      </c>
      <c r="T9" s="324">
        <f t="shared" si="0"/>
        <v>3421.8</v>
      </c>
      <c r="U9" s="324">
        <f t="shared" si="0"/>
        <v>3421.84</v>
      </c>
      <c r="V9" s="324">
        <f t="shared" si="0"/>
        <v>3554.777</v>
      </c>
      <c r="W9" s="324">
        <f t="shared" si="0"/>
        <v>0</v>
      </c>
      <c r="X9" s="324">
        <f t="shared" si="0"/>
        <v>3527.212</v>
      </c>
      <c r="Y9" s="324">
        <f t="shared" si="0"/>
        <v>0</v>
      </c>
      <c r="Z9" s="324">
        <f t="shared" si="0"/>
        <v>3175.873</v>
      </c>
      <c r="AA9" s="324">
        <f t="shared" si="0"/>
        <v>0</v>
      </c>
      <c r="AB9" s="324">
        <f t="shared" si="0"/>
        <v>3281.8249999999998</v>
      </c>
      <c r="AC9" s="324">
        <f t="shared" si="0"/>
        <v>0</v>
      </c>
      <c r="AD9" s="324">
        <f t="shared" si="0"/>
        <v>3235.652</v>
      </c>
      <c r="AE9" s="324">
        <f t="shared" si="0"/>
        <v>0</v>
      </c>
      <c r="AF9" s="1152"/>
    </row>
    <row r="10" spans="1:32" x14ac:dyDescent="0.25">
      <c r="A10" s="326" t="s">
        <v>33</v>
      </c>
      <c r="B10" s="327">
        <f>B12</f>
        <v>39754.091999999997</v>
      </c>
      <c r="C10" s="327">
        <f>C12</f>
        <v>22978.753000000001</v>
      </c>
      <c r="D10" s="327">
        <f>E10</f>
        <v>22938.39</v>
      </c>
      <c r="E10" s="327">
        <f>E12</f>
        <v>22938.39</v>
      </c>
      <c r="F10" s="327">
        <f>E10/B10*100</f>
        <v>57.700701603246287</v>
      </c>
      <c r="G10" s="327">
        <f>E10/C10*100</f>
        <v>99.824346429938998</v>
      </c>
      <c r="H10" s="328">
        <f>H12</f>
        <v>3465.99</v>
      </c>
      <c r="I10" s="328">
        <f t="shared" ref="I10:AE10" si="1">I12</f>
        <v>3465.99</v>
      </c>
      <c r="J10" s="328">
        <f t="shared" si="1"/>
        <v>3281.82</v>
      </c>
      <c r="K10" s="328">
        <f t="shared" si="1"/>
        <v>3281.82</v>
      </c>
      <c r="L10" s="328">
        <f t="shared" si="1"/>
        <v>3069.62</v>
      </c>
      <c r="M10" s="328">
        <f t="shared" si="1"/>
        <v>3069.62</v>
      </c>
      <c r="N10" s="328">
        <f t="shared" si="1"/>
        <v>3281.8249999999998</v>
      </c>
      <c r="O10" s="328">
        <f t="shared" si="1"/>
        <v>3281.83</v>
      </c>
      <c r="P10" s="328">
        <f t="shared" si="1"/>
        <v>3175.873</v>
      </c>
      <c r="Q10" s="328">
        <f t="shared" si="1"/>
        <v>3156.01</v>
      </c>
      <c r="R10" s="328">
        <f t="shared" si="1"/>
        <v>3281.8249999999998</v>
      </c>
      <c r="S10" s="328">
        <f t="shared" si="1"/>
        <v>3261.28</v>
      </c>
      <c r="T10" s="328">
        <f t="shared" si="1"/>
        <v>3421.8</v>
      </c>
      <c r="U10" s="328">
        <f t="shared" si="1"/>
        <v>3421.84</v>
      </c>
      <c r="V10" s="328">
        <f t="shared" si="1"/>
        <v>3554.777</v>
      </c>
      <c r="W10" s="328">
        <f t="shared" si="1"/>
        <v>0</v>
      </c>
      <c r="X10" s="328">
        <f t="shared" si="1"/>
        <v>3527.212</v>
      </c>
      <c r="Y10" s="328">
        <f t="shared" si="1"/>
        <v>0</v>
      </c>
      <c r="Z10" s="328">
        <f t="shared" si="1"/>
        <v>3175.873</v>
      </c>
      <c r="AA10" s="328">
        <f t="shared" si="1"/>
        <v>0</v>
      </c>
      <c r="AB10" s="328">
        <f t="shared" si="1"/>
        <v>3281.8249999999998</v>
      </c>
      <c r="AC10" s="328">
        <f t="shared" si="1"/>
        <v>0</v>
      </c>
      <c r="AD10" s="328">
        <f t="shared" si="1"/>
        <v>3235.652</v>
      </c>
      <c r="AE10" s="328">
        <f t="shared" si="1"/>
        <v>0</v>
      </c>
      <c r="AF10" s="1152"/>
    </row>
    <row r="11" spans="1:32" ht="32.25" customHeight="1" x14ac:dyDescent="0.25">
      <c r="A11" s="329" t="s">
        <v>53</v>
      </c>
      <c r="B11" s="602">
        <f>B12</f>
        <v>39754.091999999997</v>
      </c>
      <c r="C11" s="602">
        <f>C12</f>
        <v>22978.753000000001</v>
      </c>
      <c r="D11" s="602">
        <f>D12</f>
        <v>22938.39</v>
      </c>
      <c r="E11" s="602">
        <f>E12</f>
        <v>22938.39</v>
      </c>
      <c r="F11" s="330">
        <f>E11/B11*100</f>
        <v>57.700701603246287</v>
      </c>
      <c r="G11" s="330">
        <f>E11/C11*100</f>
        <v>99.824346429938998</v>
      </c>
      <c r="H11" s="330">
        <f>H12</f>
        <v>3465.99</v>
      </c>
      <c r="I11" s="330">
        <f t="shared" ref="I11:AE11" si="2">I12</f>
        <v>3465.99</v>
      </c>
      <c r="J11" s="330">
        <f t="shared" si="2"/>
        <v>3281.82</v>
      </c>
      <c r="K11" s="330">
        <f t="shared" si="2"/>
        <v>3281.82</v>
      </c>
      <c r="L11" s="330">
        <f t="shared" si="2"/>
        <v>3069.62</v>
      </c>
      <c r="M11" s="330">
        <f t="shared" si="2"/>
        <v>3069.62</v>
      </c>
      <c r="N11" s="330">
        <f t="shared" si="2"/>
        <v>3281.8249999999998</v>
      </c>
      <c r="O11" s="330">
        <f t="shared" si="2"/>
        <v>3281.83</v>
      </c>
      <c r="P11" s="330">
        <f t="shared" si="2"/>
        <v>3175.873</v>
      </c>
      <c r="Q11" s="330">
        <f t="shared" si="2"/>
        <v>3156.01</v>
      </c>
      <c r="R11" s="330">
        <f t="shared" si="2"/>
        <v>3281.8249999999998</v>
      </c>
      <c r="S11" s="330">
        <f t="shared" si="2"/>
        <v>3261.28</v>
      </c>
      <c r="T11" s="330">
        <f t="shared" si="2"/>
        <v>3421.8</v>
      </c>
      <c r="U11" s="330">
        <f t="shared" si="2"/>
        <v>3421.84</v>
      </c>
      <c r="V11" s="330">
        <f t="shared" si="2"/>
        <v>3554.777</v>
      </c>
      <c r="W11" s="330">
        <f t="shared" si="2"/>
        <v>0</v>
      </c>
      <c r="X11" s="330">
        <f t="shared" si="2"/>
        <v>3527.212</v>
      </c>
      <c r="Y11" s="330">
        <f t="shared" si="2"/>
        <v>0</v>
      </c>
      <c r="Z11" s="330">
        <f t="shared" si="2"/>
        <v>3175.873</v>
      </c>
      <c r="AA11" s="330">
        <f t="shared" si="2"/>
        <v>0</v>
      </c>
      <c r="AB11" s="330">
        <f t="shared" si="2"/>
        <v>3281.8249999999998</v>
      </c>
      <c r="AC11" s="330">
        <f t="shared" si="2"/>
        <v>0</v>
      </c>
      <c r="AD11" s="330">
        <f t="shared" si="2"/>
        <v>3235.652</v>
      </c>
      <c r="AE11" s="330">
        <f t="shared" si="2"/>
        <v>0</v>
      </c>
      <c r="AF11" s="1152"/>
    </row>
    <row r="12" spans="1:32" ht="32.25" customHeight="1" x14ac:dyDescent="0.25">
      <c r="A12" s="326" t="s">
        <v>93</v>
      </c>
      <c r="B12" s="327">
        <f>H12+J12+L12+N12+P12+R12+T12+V12+X12+Z12+AB12+AD12</f>
        <v>39754.091999999997</v>
      </c>
      <c r="C12" s="327">
        <f>H12+J12+L12+N12+P12+R12+T12</f>
        <v>22978.753000000001</v>
      </c>
      <c r="D12" s="327">
        <f>E12</f>
        <v>22938.39</v>
      </c>
      <c r="E12" s="327">
        <f>I12+K12+M12+O12+Q12+S12+U12+W12+Y12+AA12+AC12+AE12</f>
        <v>22938.39</v>
      </c>
      <c r="F12" s="327">
        <f>E12/B12*100</f>
        <v>57.700701603246287</v>
      </c>
      <c r="G12" s="327">
        <f>E12/C12*100</f>
        <v>99.824346429938998</v>
      </c>
      <c r="H12" s="327">
        <v>3465.99</v>
      </c>
      <c r="I12" s="327">
        <v>3465.99</v>
      </c>
      <c r="J12" s="327">
        <v>3281.82</v>
      </c>
      <c r="K12" s="327">
        <v>3281.82</v>
      </c>
      <c r="L12" s="327">
        <v>3069.62</v>
      </c>
      <c r="M12" s="327">
        <v>3069.62</v>
      </c>
      <c r="N12" s="327">
        <v>3281.8249999999998</v>
      </c>
      <c r="O12" s="327">
        <v>3281.83</v>
      </c>
      <c r="P12" s="327">
        <v>3175.873</v>
      </c>
      <c r="Q12" s="327">
        <v>3156.01</v>
      </c>
      <c r="R12" s="327">
        <v>3281.8249999999998</v>
      </c>
      <c r="S12" s="327">
        <v>3261.28</v>
      </c>
      <c r="T12" s="327">
        <v>3421.8</v>
      </c>
      <c r="U12" s="327">
        <v>3421.84</v>
      </c>
      <c r="V12" s="327">
        <v>3554.777</v>
      </c>
      <c r="W12" s="327"/>
      <c r="X12" s="327">
        <v>3527.212</v>
      </c>
      <c r="Y12" s="327"/>
      <c r="Z12" s="327">
        <v>3175.873</v>
      </c>
      <c r="AA12" s="327"/>
      <c r="AB12" s="327">
        <v>3281.8249999999998</v>
      </c>
      <c r="AC12" s="327"/>
      <c r="AD12" s="327">
        <v>3235.652</v>
      </c>
      <c r="AE12" s="327"/>
      <c r="AF12" s="1152"/>
    </row>
    <row r="13" spans="1:32" x14ac:dyDescent="0.25">
      <c r="A13" s="1154" t="s">
        <v>399</v>
      </c>
      <c r="B13" s="1155"/>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5"/>
      <c r="AB13" s="1155"/>
      <c r="AC13" s="1155"/>
      <c r="AD13" s="1155"/>
      <c r="AE13" s="1156"/>
      <c r="AF13" s="313"/>
    </row>
    <row r="14" spans="1:32" x14ac:dyDescent="0.25">
      <c r="A14" s="315" t="s">
        <v>54</v>
      </c>
      <c r="B14" s="331"/>
      <c r="C14" s="331"/>
      <c r="D14" s="331"/>
      <c r="E14" s="331"/>
      <c r="F14" s="331"/>
      <c r="G14" s="331"/>
      <c r="H14" s="331"/>
      <c r="I14" s="331"/>
      <c r="J14" s="331"/>
      <c r="K14" s="331"/>
      <c r="L14" s="331"/>
      <c r="M14" s="331"/>
      <c r="N14" s="331"/>
      <c r="O14" s="331"/>
      <c r="P14" s="331"/>
      <c r="Q14" s="331"/>
      <c r="R14" s="331"/>
      <c r="S14" s="331"/>
      <c r="T14" s="331"/>
      <c r="U14" s="331"/>
      <c r="V14" s="331"/>
      <c r="W14" s="331"/>
      <c r="X14" s="332"/>
      <c r="Y14" s="322"/>
      <c r="Z14" s="322"/>
      <c r="AA14" s="322"/>
      <c r="AB14" s="322"/>
      <c r="AC14" s="322"/>
      <c r="AD14" s="322"/>
      <c r="AE14" s="322"/>
      <c r="AF14" s="333"/>
    </row>
    <row r="15" spans="1:32" x14ac:dyDescent="0.25">
      <c r="A15" s="1142" t="s">
        <v>400</v>
      </c>
      <c r="B15" s="1143"/>
      <c r="C15" s="1143"/>
      <c r="D15" s="1143"/>
      <c r="E15" s="1143"/>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3"/>
      <c r="AD15" s="1143"/>
      <c r="AE15" s="1144"/>
      <c r="AF15" s="333"/>
    </row>
    <row r="16" spans="1:32" x14ac:dyDescent="0.25">
      <c r="A16" s="334" t="s">
        <v>31</v>
      </c>
      <c r="B16" s="335">
        <f>B17+B18+B20</f>
        <v>604125.63</v>
      </c>
      <c r="C16" s="640">
        <f>C17+C18+C20</f>
        <v>5000.54</v>
      </c>
      <c r="D16" s="335">
        <f>D17+D18+D20</f>
        <v>5000.54</v>
      </c>
      <c r="E16" s="335">
        <f>E17+E18+E20</f>
        <v>5000.54</v>
      </c>
      <c r="F16" s="335">
        <f>IFERROR(E16/B16%,0)</f>
        <v>0.82773180803469637</v>
      </c>
      <c r="G16" s="335">
        <f>IFERROR(E16/C16%,0)</f>
        <v>100</v>
      </c>
      <c r="H16" s="335">
        <f>H17+H18+H20</f>
        <v>0</v>
      </c>
      <c r="I16" s="335">
        <f t="shared" ref="I16:AE16" si="3">I17+I18+I20</f>
        <v>0</v>
      </c>
      <c r="J16" s="335">
        <f t="shared" si="3"/>
        <v>4540.54</v>
      </c>
      <c r="K16" s="335">
        <f t="shared" si="3"/>
        <v>4540.54</v>
      </c>
      <c r="L16" s="335">
        <f t="shared" si="3"/>
        <v>59</v>
      </c>
      <c r="M16" s="335">
        <f t="shared" si="3"/>
        <v>59</v>
      </c>
      <c r="N16" s="335">
        <f t="shared" si="3"/>
        <v>180</v>
      </c>
      <c r="O16" s="335">
        <f t="shared" si="3"/>
        <v>180</v>
      </c>
      <c r="P16" s="335">
        <f t="shared" si="3"/>
        <v>0</v>
      </c>
      <c r="Q16" s="335">
        <f t="shared" si="3"/>
        <v>0</v>
      </c>
      <c r="R16" s="335">
        <f t="shared" si="3"/>
        <v>30</v>
      </c>
      <c r="S16" s="335">
        <f t="shared" si="3"/>
        <v>26</v>
      </c>
      <c r="T16" s="335">
        <f t="shared" si="3"/>
        <v>191</v>
      </c>
      <c r="U16" s="335">
        <f t="shared" si="3"/>
        <v>195</v>
      </c>
      <c r="V16" s="335">
        <f t="shared" si="3"/>
        <v>11225.2</v>
      </c>
      <c r="W16" s="335">
        <f t="shared" si="3"/>
        <v>0</v>
      </c>
      <c r="X16" s="335">
        <f t="shared" si="3"/>
        <v>83058.399999999994</v>
      </c>
      <c r="Y16" s="335">
        <f t="shared" si="3"/>
        <v>0</v>
      </c>
      <c r="Z16" s="335">
        <f t="shared" si="3"/>
        <v>418380.61</v>
      </c>
      <c r="AA16" s="335">
        <f t="shared" si="3"/>
        <v>0</v>
      </c>
      <c r="AB16" s="335">
        <f t="shared" si="3"/>
        <v>54829.9</v>
      </c>
      <c r="AC16" s="335">
        <f t="shared" si="3"/>
        <v>0</v>
      </c>
      <c r="AD16" s="335">
        <f t="shared" si="3"/>
        <v>31630.98</v>
      </c>
      <c r="AE16" s="335">
        <f t="shared" si="3"/>
        <v>0</v>
      </c>
      <c r="AF16" s="1163"/>
    </row>
    <row r="17" spans="1:32" x14ac:dyDescent="0.25">
      <c r="A17" s="675" t="s">
        <v>32</v>
      </c>
      <c r="B17" s="327">
        <f>H17+J17+L17+N17+P17+R17+T17+V17+X17+Z17+AB17+AD17</f>
        <v>210752.09999999998</v>
      </c>
      <c r="C17" s="327">
        <f>C23+C29+C35+C41+C47</f>
        <v>0</v>
      </c>
      <c r="D17" s="327">
        <f>E17</f>
        <v>0</v>
      </c>
      <c r="E17" s="327">
        <f>I17+K17+M17+O17+Q17+S17+U17+W17+Y17+AA17+AC17+AE17</f>
        <v>0</v>
      </c>
      <c r="F17" s="336">
        <f>IFERROR(E17/B17%,0)</f>
        <v>0</v>
      </c>
      <c r="G17" s="336">
        <f>IFERROR(E17/C17%,0)</f>
        <v>0</v>
      </c>
      <c r="H17" s="327">
        <f t="shared" ref="H17:AE17" si="4">H23+H29+H35+H41+H47</f>
        <v>0</v>
      </c>
      <c r="I17" s="327">
        <f t="shared" si="4"/>
        <v>0</v>
      </c>
      <c r="J17" s="327">
        <f t="shared" si="4"/>
        <v>0</v>
      </c>
      <c r="K17" s="327">
        <f t="shared" si="4"/>
        <v>0</v>
      </c>
      <c r="L17" s="327">
        <f t="shared" si="4"/>
        <v>0</v>
      </c>
      <c r="M17" s="327">
        <f t="shared" si="4"/>
        <v>0</v>
      </c>
      <c r="N17" s="327">
        <f t="shared" si="4"/>
        <v>0</v>
      </c>
      <c r="O17" s="327">
        <f t="shared" si="4"/>
        <v>0</v>
      </c>
      <c r="P17" s="327">
        <f t="shared" si="4"/>
        <v>0</v>
      </c>
      <c r="Q17" s="327">
        <f t="shared" si="4"/>
        <v>0</v>
      </c>
      <c r="R17" s="327">
        <f t="shared" si="4"/>
        <v>0</v>
      </c>
      <c r="S17" s="327">
        <f t="shared" si="4"/>
        <v>0</v>
      </c>
      <c r="T17" s="327">
        <f t="shared" si="4"/>
        <v>0</v>
      </c>
      <c r="U17" s="327">
        <f t="shared" si="4"/>
        <v>0</v>
      </c>
      <c r="V17" s="327">
        <f t="shared" si="4"/>
        <v>5612.6</v>
      </c>
      <c r="W17" s="327">
        <f t="shared" si="4"/>
        <v>0</v>
      </c>
      <c r="X17" s="327">
        <f t="shared" si="4"/>
        <v>41529.199999999997</v>
      </c>
      <c r="Y17" s="327">
        <f t="shared" si="4"/>
        <v>0</v>
      </c>
      <c r="Z17" s="327">
        <f t="shared" si="4"/>
        <v>163610.29999999999</v>
      </c>
      <c r="AA17" s="327">
        <f t="shared" si="4"/>
        <v>0</v>
      </c>
      <c r="AB17" s="327">
        <f t="shared" si="4"/>
        <v>0</v>
      </c>
      <c r="AC17" s="327">
        <f t="shared" si="4"/>
        <v>0</v>
      </c>
      <c r="AD17" s="327">
        <f t="shared" si="4"/>
        <v>0</v>
      </c>
      <c r="AE17" s="327">
        <f t="shared" si="4"/>
        <v>0</v>
      </c>
      <c r="AF17" s="1164"/>
    </row>
    <row r="18" spans="1:32" x14ac:dyDescent="0.25">
      <c r="A18" s="326" t="s">
        <v>33</v>
      </c>
      <c r="B18" s="327">
        <f>H18+J18+L18+N18+P18+R18+T18+V18+X18+Z18+AB18+AD18</f>
        <v>36765.769999999997</v>
      </c>
      <c r="C18" s="327">
        <f>C24+C30+C36+C42+C48</f>
        <v>5000.54</v>
      </c>
      <c r="D18" s="327">
        <f>E18</f>
        <v>5000.54</v>
      </c>
      <c r="E18" s="327">
        <f>I18+K18+M18+O18+Q18+S18+U18+W18+Y18+AA18+AC18+AE18</f>
        <v>5000.54</v>
      </c>
      <c r="F18" s="336">
        <f>IFERROR(E18/B18%,0)</f>
        <v>13.601075130481425</v>
      </c>
      <c r="G18" s="336">
        <f>IFERROR(E18/C18%,0)</f>
        <v>100</v>
      </c>
      <c r="H18" s="327">
        <f t="shared" ref="H18:AE18" si="5">H24+H30+H36+H42+H48</f>
        <v>0</v>
      </c>
      <c r="I18" s="327">
        <f t="shared" si="5"/>
        <v>0</v>
      </c>
      <c r="J18" s="327">
        <f t="shared" si="5"/>
        <v>4540.54</v>
      </c>
      <c r="K18" s="327">
        <f t="shared" si="5"/>
        <v>4540.54</v>
      </c>
      <c r="L18" s="327">
        <f t="shared" si="5"/>
        <v>59</v>
      </c>
      <c r="M18" s="327">
        <f t="shared" si="5"/>
        <v>59</v>
      </c>
      <c r="N18" s="327">
        <f t="shared" si="5"/>
        <v>180</v>
      </c>
      <c r="O18" s="327">
        <f t="shared" si="5"/>
        <v>180</v>
      </c>
      <c r="P18" s="327">
        <f t="shared" si="5"/>
        <v>0</v>
      </c>
      <c r="Q18" s="327">
        <f t="shared" si="5"/>
        <v>0</v>
      </c>
      <c r="R18" s="327">
        <f t="shared" si="5"/>
        <v>30</v>
      </c>
      <c r="S18" s="327">
        <f t="shared" si="5"/>
        <v>26</v>
      </c>
      <c r="T18" s="327">
        <f t="shared" si="5"/>
        <v>191</v>
      </c>
      <c r="U18" s="327">
        <f t="shared" si="5"/>
        <v>195</v>
      </c>
      <c r="V18" s="327">
        <f t="shared" si="5"/>
        <v>0</v>
      </c>
      <c r="W18" s="327">
        <f t="shared" si="5"/>
        <v>0</v>
      </c>
      <c r="X18" s="327">
        <f t="shared" si="5"/>
        <v>0</v>
      </c>
      <c r="Y18" s="327">
        <f t="shared" si="5"/>
        <v>0</v>
      </c>
      <c r="Z18" s="327">
        <f t="shared" si="5"/>
        <v>21181.05</v>
      </c>
      <c r="AA18" s="327">
        <f t="shared" si="5"/>
        <v>0</v>
      </c>
      <c r="AB18" s="327">
        <f t="shared" si="5"/>
        <v>9356.9</v>
      </c>
      <c r="AC18" s="327">
        <f t="shared" si="5"/>
        <v>0</v>
      </c>
      <c r="AD18" s="327">
        <f t="shared" si="5"/>
        <v>1227.28</v>
      </c>
      <c r="AE18" s="327">
        <f t="shared" si="5"/>
        <v>0</v>
      </c>
      <c r="AF18" s="1164"/>
    </row>
    <row r="19" spans="1:32" ht="31.5" x14ac:dyDescent="0.25">
      <c r="A19" s="338" t="s">
        <v>174</v>
      </c>
      <c r="B19" s="327">
        <f>H19+J19+L19+N19+P19+R19+T19+V19+X19+Z19+AB19+AD19</f>
        <v>0</v>
      </c>
      <c r="C19" s="327">
        <f>C25+C31+C37+C43+C49</f>
        <v>0</v>
      </c>
      <c r="D19" s="327">
        <f>E19</f>
        <v>0</v>
      </c>
      <c r="E19" s="327">
        <f>I19+K19+M19+O19+Q19+S19+U19+W19+Y19+AA19+AC19+AE19</f>
        <v>0</v>
      </c>
      <c r="F19" s="336">
        <f>IFERROR(E19/B19%,0)</f>
        <v>0</v>
      </c>
      <c r="G19" s="336">
        <f>IFERROR(E19/C19%,0)</f>
        <v>0</v>
      </c>
      <c r="H19" s="327">
        <f t="shared" ref="H19:AE19" si="6">H25+H31+H37+H43+H49</f>
        <v>0</v>
      </c>
      <c r="I19" s="327">
        <f t="shared" si="6"/>
        <v>0</v>
      </c>
      <c r="J19" s="327">
        <f t="shared" si="6"/>
        <v>0</v>
      </c>
      <c r="K19" s="327">
        <f t="shared" si="6"/>
        <v>0</v>
      </c>
      <c r="L19" s="327">
        <f t="shared" si="6"/>
        <v>0</v>
      </c>
      <c r="M19" s="327">
        <f t="shared" si="6"/>
        <v>0</v>
      </c>
      <c r="N19" s="327">
        <f t="shared" si="6"/>
        <v>0</v>
      </c>
      <c r="O19" s="327">
        <f t="shared" si="6"/>
        <v>0</v>
      </c>
      <c r="P19" s="327">
        <f t="shared" si="6"/>
        <v>0</v>
      </c>
      <c r="Q19" s="327">
        <f t="shared" si="6"/>
        <v>0</v>
      </c>
      <c r="R19" s="327">
        <f t="shared" si="6"/>
        <v>0</v>
      </c>
      <c r="S19" s="327">
        <f t="shared" si="6"/>
        <v>0</v>
      </c>
      <c r="T19" s="327">
        <f t="shared" si="6"/>
        <v>0</v>
      </c>
      <c r="U19" s="327">
        <f t="shared" si="6"/>
        <v>0</v>
      </c>
      <c r="V19" s="327">
        <f t="shared" si="6"/>
        <v>0</v>
      </c>
      <c r="W19" s="327">
        <f t="shared" si="6"/>
        <v>0</v>
      </c>
      <c r="X19" s="327">
        <f t="shared" si="6"/>
        <v>0</v>
      </c>
      <c r="Y19" s="327">
        <f t="shared" si="6"/>
        <v>0</v>
      </c>
      <c r="Z19" s="327">
        <f t="shared" si="6"/>
        <v>0</v>
      </c>
      <c r="AA19" s="327">
        <f t="shared" si="6"/>
        <v>0</v>
      </c>
      <c r="AB19" s="327">
        <f t="shared" si="6"/>
        <v>0</v>
      </c>
      <c r="AC19" s="327">
        <f t="shared" si="6"/>
        <v>0</v>
      </c>
      <c r="AD19" s="327">
        <f t="shared" si="6"/>
        <v>0</v>
      </c>
      <c r="AE19" s="327">
        <f t="shared" si="6"/>
        <v>0</v>
      </c>
      <c r="AF19" s="1164"/>
    </row>
    <row r="20" spans="1:32" x14ac:dyDescent="0.25">
      <c r="A20" s="326" t="s">
        <v>374</v>
      </c>
      <c r="B20" s="327">
        <f>H20+J20+L20+N20+P20+R20+T20+V20+X20+Z20+AB20+AD20</f>
        <v>356607.76</v>
      </c>
      <c r="C20" s="327">
        <f>C26+C32+C38+C44+C50</f>
        <v>0</v>
      </c>
      <c r="D20" s="327">
        <f>E20</f>
        <v>0</v>
      </c>
      <c r="E20" s="327">
        <f>I20+K20+M20+O20+Q20+S20+U20+W20+Y20+AA20+AC20+AE20</f>
        <v>0</v>
      </c>
      <c r="F20" s="336">
        <f>IFERROR(E20/B20%,0)</f>
        <v>0</v>
      </c>
      <c r="G20" s="336">
        <f>IFERROR(E20/C20%,0)</f>
        <v>0</v>
      </c>
      <c r="H20" s="327">
        <f t="shared" ref="H20:AE20" si="7">H26+H32+H38+H44+H50</f>
        <v>0</v>
      </c>
      <c r="I20" s="327">
        <f t="shared" si="7"/>
        <v>0</v>
      </c>
      <c r="J20" s="327">
        <f t="shared" si="7"/>
        <v>0</v>
      </c>
      <c r="K20" s="327">
        <f t="shared" si="7"/>
        <v>0</v>
      </c>
      <c r="L20" s="327">
        <f t="shared" si="7"/>
        <v>0</v>
      </c>
      <c r="M20" s="327">
        <f t="shared" si="7"/>
        <v>0</v>
      </c>
      <c r="N20" s="327">
        <f t="shared" si="7"/>
        <v>0</v>
      </c>
      <c r="O20" s="327">
        <f t="shared" si="7"/>
        <v>0</v>
      </c>
      <c r="P20" s="327">
        <f t="shared" si="7"/>
        <v>0</v>
      </c>
      <c r="Q20" s="327">
        <f t="shared" si="7"/>
        <v>0</v>
      </c>
      <c r="R20" s="327">
        <f t="shared" si="7"/>
        <v>0</v>
      </c>
      <c r="S20" s="327">
        <f t="shared" si="7"/>
        <v>0</v>
      </c>
      <c r="T20" s="327">
        <f t="shared" si="7"/>
        <v>0</v>
      </c>
      <c r="U20" s="327">
        <f t="shared" si="7"/>
        <v>0</v>
      </c>
      <c r="V20" s="327">
        <f t="shared" si="7"/>
        <v>5612.6</v>
      </c>
      <c r="W20" s="327">
        <f t="shared" si="7"/>
        <v>0</v>
      </c>
      <c r="X20" s="327">
        <f t="shared" si="7"/>
        <v>41529.199999999997</v>
      </c>
      <c r="Y20" s="327">
        <f t="shared" si="7"/>
        <v>0</v>
      </c>
      <c r="Z20" s="327">
        <f t="shared" si="7"/>
        <v>233589.26</v>
      </c>
      <c r="AA20" s="327">
        <f t="shared" si="7"/>
        <v>0</v>
      </c>
      <c r="AB20" s="327">
        <f t="shared" si="7"/>
        <v>45473</v>
      </c>
      <c r="AC20" s="327">
        <f t="shared" si="7"/>
        <v>0</v>
      </c>
      <c r="AD20" s="327">
        <f t="shared" si="7"/>
        <v>30403.7</v>
      </c>
      <c r="AE20" s="327">
        <f t="shared" si="7"/>
        <v>0</v>
      </c>
      <c r="AF20" s="1165"/>
    </row>
    <row r="21" spans="1:32" ht="24" customHeight="1" x14ac:dyDescent="0.25">
      <c r="A21" s="1148" t="s">
        <v>401</v>
      </c>
      <c r="B21" s="1149"/>
      <c r="C21" s="1149"/>
      <c r="D21" s="1149"/>
      <c r="E21" s="1149"/>
      <c r="F21" s="1149"/>
      <c r="G21" s="1149"/>
      <c r="H21" s="1149"/>
      <c r="I21" s="1149"/>
      <c r="J21" s="1149"/>
      <c r="K21" s="1149"/>
      <c r="L21" s="1149"/>
      <c r="M21" s="1149"/>
      <c r="N21" s="1149"/>
      <c r="O21" s="1149"/>
      <c r="P21" s="1149"/>
      <c r="Q21" s="1149"/>
      <c r="R21" s="1149"/>
      <c r="S21" s="1149"/>
      <c r="T21" s="1149"/>
      <c r="U21" s="1149"/>
      <c r="V21" s="1149"/>
      <c r="W21" s="1149"/>
      <c r="X21" s="1149"/>
      <c r="Y21" s="1149"/>
      <c r="Z21" s="1149"/>
      <c r="AA21" s="1149"/>
      <c r="AB21" s="1149"/>
      <c r="AC21" s="1149"/>
      <c r="AD21" s="1149"/>
      <c r="AE21" s="1150"/>
      <c r="AF21" s="339"/>
    </row>
    <row r="22" spans="1:32" x14ac:dyDescent="0.25">
      <c r="A22" s="334" t="s">
        <v>31</v>
      </c>
      <c r="B22" s="335">
        <f>B23+B24+B26</f>
        <v>283805.8</v>
      </c>
      <c r="C22" s="335">
        <f>C23+C24+C26</f>
        <v>100</v>
      </c>
      <c r="D22" s="335">
        <f>D23+D24+D26</f>
        <v>100</v>
      </c>
      <c r="E22" s="335">
        <f>E23+E24+E26</f>
        <v>100</v>
      </c>
      <c r="F22" s="335">
        <f>IFERROR(E22/B22%,0)</f>
        <v>3.5235361645181318E-2</v>
      </c>
      <c r="G22" s="335">
        <f>IFERROR(E22/C22%,0)</f>
        <v>100</v>
      </c>
      <c r="H22" s="335">
        <f>H23+H24+H26</f>
        <v>0</v>
      </c>
      <c r="I22" s="335">
        <f t="shared" ref="I22:AE22" si="8">I23+I24+I26</f>
        <v>0</v>
      </c>
      <c r="J22" s="335">
        <f t="shared" si="8"/>
        <v>0</v>
      </c>
      <c r="K22" s="335">
        <f t="shared" si="8"/>
        <v>0</v>
      </c>
      <c r="L22" s="335">
        <f t="shared" si="8"/>
        <v>59</v>
      </c>
      <c r="M22" s="335">
        <f t="shared" si="8"/>
        <v>59</v>
      </c>
      <c r="N22" s="335">
        <f t="shared" si="8"/>
        <v>0</v>
      </c>
      <c r="O22" s="335">
        <f t="shared" si="8"/>
        <v>0</v>
      </c>
      <c r="P22" s="335">
        <f t="shared" si="8"/>
        <v>0</v>
      </c>
      <c r="Q22" s="335">
        <f t="shared" si="8"/>
        <v>0</v>
      </c>
      <c r="R22" s="335">
        <f t="shared" si="8"/>
        <v>30</v>
      </c>
      <c r="S22" s="335">
        <f t="shared" si="8"/>
        <v>26</v>
      </c>
      <c r="T22" s="335">
        <f t="shared" si="8"/>
        <v>11</v>
      </c>
      <c r="U22" s="335">
        <f t="shared" si="8"/>
        <v>15</v>
      </c>
      <c r="V22" s="335">
        <f t="shared" si="8"/>
        <v>0</v>
      </c>
      <c r="W22" s="335">
        <f t="shared" si="8"/>
        <v>0</v>
      </c>
      <c r="X22" s="335">
        <f t="shared" si="8"/>
        <v>0</v>
      </c>
      <c r="Y22" s="335">
        <f t="shared" si="8"/>
        <v>0</v>
      </c>
      <c r="Z22" s="335">
        <f t="shared" si="8"/>
        <v>275505.69999999995</v>
      </c>
      <c r="AA22" s="335">
        <f t="shared" si="8"/>
        <v>0</v>
      </c>
      <c r="AB22" s="335">
        <f t="shared" si="8"/>
        <v>8200.1</v>
      </c>
      <c r="AC22" s="335">
        <f t="shared" si="8"/>
        <v>0</v>
      </c>
      <c r="AD22" s="335">
        <f t="shared" si="8"/>
        <v>0</v>
      </c>
      <c r="AE22" s="335">
        <f t="shared" si="8"/>
        <v>0</v>
      </c>
      <c r="AF22" s="1157" t="s">
        <v>605</v>
      </c>
    </row>
    <row r="23" spans="1:32" ht="286.5" customHeight="1" x14ac:dyDescent="0.25">
      <c r="A23" s="805" t="s">
        <v>32</v>
      </c>
      <c r="B23" s="328">
        <f>H23+J23+L23+N23+P23+R23+T23+V23+X23+Z23+AB23+AD23</f>
        <v>132545.4</v>
      </c>
      <c r="C23" s="328">
        <f>H23+J23+L23+N23+P23+R23+T23</f>
        <v>0</v>
      </c>
      <c r="D23" s="328">
        <f>E23</f>
        <v>0</v>
      </c>
      <c r="E23" s="328">
        <f>I23+K23+M23+O23+Q23+S23+U23+W23+Y23+AA23+AC23+AE23</f>
        <v>0</v>
      </c>
      <c r="F23" s="328">
        <f>IFERROR(E23/B23%,0)</f>
        <v>0</v>
      </c>
      <c r="G23" s="328">
        <f>IFERROR(E23/C23%,0)</f>
        <v>0</v>
      </c>
      <c r="H23" s="327"/>
      <c r="I23" s="327"/>
      <c r="J23" s="327"/>
      <c r="K23" s="327"/>
      <c r="L23" s="327"/>
      <c r="M23" s="327"/>
      <c r="N23" s="327"/>
      <c r="O23" s="327"/>
      <c r="P23" s="327"/>
      <c r="Q23" s="327"/>
      <c r="R23" s="327"/>
      <c r="S23" s="327"/>
      <c r="T23" s="327"/>
      <c r="U23" s="327"/>
      <c r="V23" s="327"/>
      <c r="W23" s="327"/>
      <c r="X23" s="327"/>
      <c r="Y23" s="327"/>
      <c r="Z23" s="327">
        <v>132545.4</v>
      </c>
      <c r="AA23" s="327"/>
      <c r="AB23" s="327"/>
      <c r="AC23" s="327"/>
      <c r="AD23" s="327"/>
      <c r="AE23" s="327"/>
      <c r="AF23" s="1152"/>
    </row>
    <row r="24" spans="1:32" ht="296.25" customHeight="1" x14ac:dyDescent="0.25">
      <c r="A24" s="326" t="s">
        <v>33</v>
      </c>
      <c r="B24" s="328">
        <f>H24+J24+L24+N24+P24+R24+T24+V24+X24+Z24+AB24+AD24</f>
        <v>23994.400000000001</v>
      </c>
      <c r="C24" s="328">
        <f t="shared" ref="C24:C26" si="9">H24+J24+L24+N24+P24+R24+T24</f>
        <v>100</v>
      </c>
      <c r="D24" s="328">
        <f>E24</f>
        <v>100</v>
      </c>
      <c r="E24" s="328">
        <f>I24+K24+M24+O24+Q24+S24+U24+W24+Y24+AA24+AC24+AE24</f>
        <v>100</v>
      </c>
      <c r="F24" s="328">
        <f>IFERROR(E24/B24%,0)</f>
        <v>0.41676391157936848</v>
      </c>
      <c r="G24" s="328">
        <f>IFERROR(E24/C24%,0)</f>
        <v>100</v>
      </c>
      <c r="H24" s="327"/>
      <c r="I24" s="327"/>
      <c r="J24" s="327"/>
      <c r="K24" s="327"/>
      <c r="L24" s="327">
        <v>59</v>
      </c>
      <c r="M24" s="327">
        <v>59</v>
      </c>
      <c r="N24" s="327"/>
      <c r="O24" s="327"/>
      <c r="P24" s="327"/>
      <c r="Q24" s="327"/>
      <c r="R24" s="327">
        <v>30</v>
      </c>
      <c r="S24" s="327">
        <v>26</v>
      </c>
      <c r="T24" s="327">
        <v>11</v>
      </c>
      <c r="U24" s="327">
        <v>15</v>
      </c>
      <c r="V24" s="327"/>
      <c r="W24" s="327"/>
      <c r="X24" s="327"/>
      <c r="Y24" s="327"/>
      <c r="Z24" s="327">
        <v>15694.3</v>
      </c>
      <c r="AA24" s="327"/>
      <c r="AB24" s="327">
        <v>8200.1</v>
      </c>
      <c r="AC24" s="327"/>
      <c r="AD24" s="327"/>
      <c r="AE24" s="327"/>
      <c r="AF24" s="1152"/>
    </row>
    <row r="25" spans="1:32" ht="131.25" customHeight="1" x14ac:dyDescent="0.25">
      <c r="A25" s="340" t="s">
        <v>174</v>
      </c>
      <c r="B25" s="328"/>
      <c r="C25" s="328"/>
      <c r="D25" s="328"/>
      <c r="E25" s="328"/>
      <c r="F25" s="328"/>
      <c r="G25" s="328"/>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1152"/>
    </row>
    <row r="26" spans="1:32" ht="61.5" customHeight="1" x14ac:dyDescent="0.25">
      <c r="A26" s="326" t="s">
        <v>374</v>
      </c>
      <c r="B26" s="328">
        <f>H26+J26+L26+N26+P26+R26+T26+V26+X26+Z26+AB26+AD26</f>
        <v>127266</v>
      </c>
      <c r="C26" s="328">
        <f t="shared" si="9"/>
        <v>0</v>
      </c>
      <c r="D26" s="328">
        <f>E26</f>
        <v>0</v>
      </c>
      <c r="E26" s="328">
        <f>I26+K26+M26+O26+Q26+S26+U26+W26+Y26+AA26+AC26+AE26</f>
        <v>0</v>
      </c>
      <c r="F26" s="328">
        <f>IFERROR(E26/B26%,0)</f>
        <v>0</v>
      </c>
      <c r="G26" s="328">
        <f>IFERROR(E26/C26%,0)</f>
        <v>0</v>
      </c>
      <c r="H26" s="327"/>
      <c r="I26" s="327"/>
      <c r="J26" s="327"/>
      <c r="K26" s="327"/>
      <c r="L26" s="327"/>
      <c r="M26" s="327"/>
      <c r="N26" s="327"/>
      <c r="O26" s="327"/>
      <c r="P26" s="327"/>
      <c r="Q26" s="327"/>
      <c r="R26" s="327"/>
      <c r="S26" s="327"/>
      <c r="T26" s="327"/>
      <c r="U26" s="327"/>
      <c r="V26" s="327"/>
      <c r="W26" s="327"/>
      <c r="X26" s="327"/>
      <c r="Y26" s="327"/>
      <c r="Z26" s="327">
        <v>127266</v>
      </c>
      <c r="AA26" s="327"/>
      <c r="AB26" s="327"/>
      <c r="AC26" s="327"/>
      <c r="AD26" s="327"/>
      <c r="AE26" s="327"/>
      <c r="AF26" s="1153"/>
    </row>
    <row r="27" spans="1:32" x14ac:dyDescent="0.25">
      <c r="A27" s="1148" t="s">
        <v>402</v>
      </c>
      <c r="B27" s="1149"/>
      <c r="C27" s="1149"/>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149"/>
      <c r="AB27" s="1149"/>
      <c r="AC27" s="1149"/>
      <c r="AD27" s="1149"/>
      <c r="AE27" s="1150"/>
      <c r="AF27" s="341"/>
    </row>
    <row r="28" spans="1:32" x14ac:dyDescent="0.25">
      <c r="A28" s="334" t="s">
        <v>31</v>
      </c>
      <c r="B28" s="335">
        <f>B29+B30+B31+B32</f>
        <v>1156.8</v>
      </c>
      <c r="C28" s="335">
        <f>C29+C30+C31+C32</f>
        <v>0</v>
      </c>
      <c r="D28" s="335">
        <f>D29+D30+D31+D32</f>
        <v>0</v>
      </c>
      <c r="E28" s="335">
        <f>E29+E30+E31+E32</f>
        <v>0</v>
      </c>
      <c r="F28" s="335">
        <f>IFERROR(E28/B28%,0)</f>
        <v>0</v>
      </c>
      <c r="G28" s="335">
        <f>IFERROR(E28/C28%,0)</f>
        <v>0</v>
      </c>
      <c r="H28" s="335">
        <f>H29+H30+H32</f>
        <v>0</v>
      </c>
      <c r="I28" s="335">
        <f t="shared" ref="I28:AE28" si="10">I29+I30+I32</f>
        <v>0</v>
      </c>
      <c r="J28" s="335">
        <f t="shared" si="10"/>
        <v>0</v>
      </c>
      <c r="K28" s="335">
        <f t="shared" si="10"/>
        <v>0</v>
      </c>
      <c r="L28" s="335">
        <f t="shared" si="10"/>
        <v>0</v>
      </c>
      <c r="M28" s="335">
        <f t="shared" si="10"/>
        <v>0</v>
      </c>
      <c r="N28" s="335">
        <f t="shared" si="10"/>
        <v>0</v>
      </c>
      <c r="O28" s="335">
        <f t="shared" si="10"/>
        <v>0</v>
      </c>
      <c r="P28" s="335">
        <f t="shared" si="10"/>
        <v>0</v>
      </c>
      <c r="Q28" s="335">
        <f t="shared" si="10"/>
        <v>0</v>
      </c>
      <c r="R28" s="335">
        <f t="shared" si="10"/>
        <v>0</v>
      </c>
      <c r="S28" s="335">
        <f t="shared" si="10"/>
        <v>0</v>
      </c>
      <c r="T28" s="335">
        <f t="shared" si="10"/>
        <v>0</v>
      </c>
      <c r="U28" s="335">
        <f t="shared" si="10"/>
        <v>0</v>
      </c>
      <c r="V28" s="335">
        <f t="shared" si="10"/>
        <v>0</v>
      </c>
      <c r="W28" s="335">
        <f t="shared" si="10"/>
        <v>0</v>
      </c>
      <c r="X28" s="335">
        <f t="shared" si="10"/>
        <v>0</v>
      </c>
      <c r="Y28" s="335">
        <f t="shared" si="10"/>
        <v>0</v>
      </c>
      <c r="Z28" s="335">
        <f t="shared" si="10"/>
        <v>0</v>
      </c>
      <c r="AA28" s="335">
        <f t="shared" si="10"/>
        <v>0</v>
      </c>
      <c r="AB28" s="335">
        <f t="shared" si="10"/>
        <v>1156.8</v>
      </c>
      <c r="AC28" s="335">
        <f t="shared" si="10"/>
        <v>0</v>
      </c>
      <c r="AD28" s="335">
        <f t="shared" si="10"/>
        <v>0</v>
      </c>
      <c r="AE28" s="335">
        <f t="shared" si="10"/>
        <v>0</v>
      </c>
      <c r="AF28" s="1157" t="s">
        <v>606</v>
      </c>
    </row>
    <row r="29" spans="1:32" ht="59.25" customHeight="1" x14ac:dyDescent="0.25">
      <c r="A29" s="326" t="s">
        <v>32</v>
      </c>
      <c r="B29" s="328"/>
      <c r="C29" s="327"/>
      <c r="D29" s="328"/>
      <c r="E29" s="328"/>
      <c r="F29" s="328"/>
      <c r="G29" s="328"/>
      <c r="H29" s="327"/>
      <c r="I29" s="327"/>
      <c r="J29" s="327"/>
      <c r="K29" s="327"/>
      <c r="L29" s="327"/>
      <c r="M29" s="327"/>
      <c r="N29" s="327"/>
      <c r="O29" s="327"/>
      <c r="P29" s="327"/>
      <c r="Q29" s="327"/>
      <c r="R29" s="327"/>
      <c r="S29" s="327"/>
      <c r="T29" s="327"/>
      <c r="U29" s="327"/>
      <c r="V29" s="327"/>
      <c r="W29" s="327"/>
      <c r="X29" s="327"/>
      <c r="Y29" s="327"/>
      <c r="Z29" s="327"/>
      <c r="AA29" s="327"/>
      <c r="AB29" s="327"/>
      <c r="AC29" s="327"/>
      <c r="AD29" s="327"/>
      <c r="AE29" s="327"/>
      <c r="AF29" s="1152"/>
    </row>
    <row r="30" spans="1:32" ht="165" customHeight="1" x14ac:dyDescent="0.25">
      <c r="A30" s="326" t="s">
        <v>33</v>
      </c>
      <c r="B30" s="328">
        <f>H30+J30+L30+N30+P30+R30+T30+V30+X30+Z30+AB30+AD30</f>
        <v>1156.8</v>
      </c>
      <c r="C30" s="327">
        <f>H30+J30+L30+N30+P30+R30+T30</f>
        <v>0</v>
      </c>
      <c r="D30" s="328">
        <f>E30</f>
        <v>0</v>
      </c>
      <c r="E30" s="328">
        <f>I30+K30+M30+O30+Q30+S30+U30+W30+Y30+AA30+AC30+AE30</f>
        <v>0</v>
      </c>
      <c r="F30" s="328">
        <f>IFERROR(E30/B30%,0)</f>
        <v>0</v>
      </c>
      <c r="G30" s="328">
        <f>IFERROR(E30/C30%,0)</f>
        <v>0</v>
      </c>
      <c r="H30" s="327"/>
      <c r="I30" s="327"/>
      <c r="J30" s="327"/>
      <c r="K30" s="327"/>
      <c r="L30" s="327"/>
      <c r="M30" s="327"/>
      <c r="N30" s="327"/>
      <c r="O30" s="327"/>
      <c r="P30" s="327"/>
      <c r="Q30" s="327"/>
      <c r="R30" s="327"/>
      <c r="S30" s="327"/>
      <c r="T30" s="327"/>
      <c r="U30" s="327"/>
      <c r="V30" s="327"/>
      <c r="W30" s="327"/>
      <c r="X30" s="327"/>
      <c r="Y30" s="327"/>
      <c r="Z30" s="327"/>
      <c r="AA30" s="327"/>
      <c r="AB30" s="327">
        <v>1156.8</v>
      </c>
      <c r="AC30" s="327"/>
      <c r="AD30" s="327"/>
      <c r="AE30" s="327"/>
      <c r="AF30" s="1152"/>
    </row>
    <row r="31" spans="1:32" ht="117.75" customHeight="1" x14ac:dyDescent="0.25">
      <c r="A31" s="340" t="s">
        <v>174</v>
      </c>
      <c r="B31" s="328"/>
      <c r="C31" s="327"/>
      <c r="D31" s="328"/>
      <c r="E31" s="328"/>
      <c r="F31" s="328"/>
      <c r="G31" s="328"/>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1152"/>
    </row>
    <row r="32" spans="1:32" x14ac:dyDescent="0.25">
      <c r="A32" s="326" t="s">
        <v>374</v>
      </c>
      <c r="B32" s="328"/>
      <c r="C32" s="327"/>
      <c r="D32" s="328"/>
      <c r="E32" s="328"/>
      <c r="F32" s="328"/>
      <c r="G32" s="328"/>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1153"/>
    </row>
    <row r="33" spans="1:32" x14ac:dyDescent="0.25">
      <c r="A33" s="1148" t="s">
        <v>469</v>
      </c>
      <c r="B33" s="1149"/>
      <c r="C33" s="1149"/>
      <c r="D33" s="1149"/>
      <c r="E33" s="1149"/>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149"/>
      <c r="AB33" s="1149"/>
      <c r="AC33" s="1149"/>
      <c r="AD33" s="1149"/>
      <c r="AE33" s="1150"/>
      <c r="AF33" s="325"/>
    </row>
    <row r="34" spans="1:32" ht="63.75" customHeight="1" x14ac:dyDescent="0.25">
      <c r="A34" s="326" t="s">
        <v>31</v>
      </c>
      <c r="B34" s="328">
        <f>B35+B36+B38</f>
        <v>314622.49</v>
      </c>
      <c r="C34" s="328">
        <f>C35+C36+C38</f>
        <v>360</v>
      </c>
      <c r="D34" s="328">
        <f>D35+D36+D38</f>
        <v>360</v>
      </c>
      <c r="E34" s="328">
        <f>E35+E36+E38</f>
        <v>360</v>
      </c>
      <c r="F34" s="328">
        <f>IFERROR(E34/B34%,0)</f>
        <v>0.11442284370707258</v>
      </c>
      <c r="G34" s="328">
        <f>IFERROR(E34/C34%,0)</f>
        <v>100</v>
      </c>
      <c r="H34" s="328">
        <f>H35+H36+H38</f>
        <v>0</v>
      </c>
      <c r="I34" s="328">
        <f t="shared" ref="I34:AE34" si="11">I35+I36+I38</f>
        <v>0</v>
      </c>
      <c r="J34" s="328">
        <f t="shared" si="11"/>
        <v>0</v>
      </c>
      <c r="K34" s="328">
        <f t="shared" si="11"/>
        <v>0</v>
      </c>
      <c r="L34" s="328">
        <f t="shared" si="11"/>
        <v>0</v>
      </c>
      <c r="M34" s="328">
        <f t="shared" si="11"/>
        <v>0</v>
      </c>
      <c r="N34" s="328">
        <f t="shared" si="11"/>
        <v>180</v>
      </c>
      <c r="O34" s="328">
        <f t="shared" si="11"/>
        <v>180</v>
      </c>
      <c r="P34" s="328">
        <f t="shared" si="11"/>
        <v>0</v>
      </c>
      <c r="Q34" s="328">
        <f t="shared" si="11"/>
        <v>0</v>
      </c>
      <c r="R34" s="328">
        <f t="shared" si="11"/>
        <v>0</v>
      </c>
      <c r="S34" s="328">
        <f t="shared" si="11"/>
        <v>0</v>
      </c>
      <c r="T34" s="328">
        <f t="shared" si="11"/>
        <v>180</v>
      </c>
      <c r="U34" s="328">
        <f t="shared" si="11"/>
        <v>180</v>
      </c>
      <c r="V34" s="328">
        <f t="shared" si="11"/>
        <v>11225.2</v>
      </c>
      <c r="W34" s="328">
        <f t="shared" si="11"/>
        <v>0</v>
      </c>
      <c r="X34" s="328">
        <f t="shared" si="11"/>
        <v>83058.399999999994</v>
      </c>
      <c r="Y34" s="328">
        <f t="shared" si="11"/>
        <v>0</v>
      </c>
      <c r="Z34" s="328">
        <f t="shared" si="11"/>
        <v>142874.91</v>
      </c>
      <c r="AA34" s="328">
        <f t="shared" si="11"/>
        <v>0</v>
      </c>
      <c r="AB34" s="328">
        <f t="shared" si="11"/>
        <v>45473</v>
      </c>
      <c r="AC34" s="328">
        <f t="shared" si="11"/>
        <v>0</v>
      </c>
      <c r="AD34" s="328">
        <f t="shared" si="11"/>
        <v>31630.98</v>
      </c>
      <c r="AE34" s="328">
        <f t="shared" si="11"/>
        <v>0</v>
      </c>
      <c r="AF34" s="1157" t="s">
        <v>607</v>
      </c>
    </row>
    <row r="35" spans="1:32" ht="181.5" customHeight="1" x14ac:dyDescent="0.25">
      <c r="A35" s="675" t="s">
        <v>32</v>
      </c>
      <c r="B35" s="328">
        <f>H35+J35+L35+N35+P35+R35+T35+V35+X35+Z35+AB35+AD35</f>
        <v>78206.7</v>
      </c>
      <c r="C35" s="327">
        <f>H35+J35+L35+N35+P35+R35+T35</f>
        <v>0</v>
      </c>
      <c r="D35" s="328">
        <f>E35</f>
        <v>0</v>
      </c>
      <c r="E35" s="328">
        <f>I35+K35+M35+O35+Q35+S35+U35+W35+Y35+AA35+AC35+AE35</f>
        <v>0</v>
      </c>
      <c r="F35" s="336">
        <f>IFERROR(E35/B35%,0)</f>
        <v>0</v>
      </c>
      <c r="G35" s="336">
        <f>IFERROR(E35/C35%,0)</f>
        <v>0</v>
      </c>
      <c r="H35" s="327"/>
      <c r="I35" s="327"/>
      <c r="J35" s="327"/>
      <c r="K35" s="327"/>
      <c r="L35" s="327"/>
      <c r="M35" s="327"/>
      <c r="N35" s="327"/>
      <c r="O35" s="327"/>
      <c r="P35" s="327"/>
      <c r="Q35" s="327"/>
      <c r="R35" s="327"/>
      <c r="S35" s="327"/>
      <c r="T35" s="327"/>
      <c r="U35" s="327"/>
      <c r="V35" s="327">
        <v>5612.6</v>
      </c>
      <c r="W35" s="327"/>
      <c r="X35" s="327">
        <v>41529.199999999997</v>
      </c>
      <c r="Y35" s="327"/>
      <c r="Z35" s="327">
        <v>31064.9</v>
      </c>
      <c r="AA35" s="327"/>
      <c r="AB35" s="327"/>
      <c r="AC35" s="327"/>
      <c r="AD35" s="327"/>
      <c r="AE35" s="327"/>
      <c r="AF35" s="1152"/>
    </row>
    <row r="36" spans="1:32" ht="128.25" customHeight="1" x14ac:dyDescent="0.25">
      <c r="A36" s="326" t="s">
        <v>33</v>
      </c>
      <c r="B36" s="328">
        <f>H36+J36+L36+N36+P36+R36+T36+V36+X36+Z36+AB36+AD36</f>
        <v>7074.03</v>
      </c>
      <c r="C36" s="327">
        <f t="shared" ref="C36:C38" si="12">H36+J36+L36+N36+P36+R36+T36</f>
        <v>360</v>
      </c>
      <c r="D36" s="328">
        <f>E36</f>
        <v>360</v>
      </c>
      <c r="E36" s="328">
        <f>I36+K36+M36+O36+Q36+S36+U36+W36+Y36+AA36+AC36+AE36</f>
        <v>360</v>
      </c>
      <c r="F36" s="336">
        <f>IFERROR(E36/B36%,0)</f>
        <v>5.0890369421673363</v>
      </c>
      <c r="G36" s="336">
        <f>IFERROR(E36/C36%,0)</f>
        <v>100</v>
      </c>
      <c r="H36" s="327"/>
      <c r="I36" s="327"/>
      <c r="J36" s="327"/>
      <c r="K36" s="327"/>
      <c r="L36" s="327"/>
      <c r="M36" s="327"/>
      <c r="N36" s="327">
        <v>180</v>
      </c>
      <c r="O36" s="327">
        <v>180</v>
      </c>
      <c r="P36" s="327"/>
      <c r="Q36" s="327"/>
      <c r="R36" s="327"/>
      <c r="S36" s="327"/>
      <c r="T36" s="327">
        <v>180</v>
      </c>
      <c r="U36" s="327">
        <v>180</v>
      </c>
      <c r="V36" s="327"/>
      <c r="W36" s="327"/>
      <c r="X36" s="327"/>
      <c r="Y36" s="327"/>
      <c r="Z36" s="327">
        <v>5486.75</v>
      </c>
      <c r="AA36" s="327"/>
      <c r="AB36" s="327"/>
      <c r="AC36" s="327"/>
      <c r="AD36" s="327">
        <v>1227.28</v>
      </c>
      <c r="AE36" s="327"/>
      <c r="AF36" s="1152"/>
    </row>
    <row r="37" spans="1:32" ht="114.75" customHeight="1" x14ac:dyDescent="0.25">
      <c r="A37" s="806" t="s">
        <v>174</v>
      </c>
      <c r="B37" s="328"/>
      <c r="C37" s="327"/>
      <c r="D37" s="328"/>
      <c r="E37" s="328"/>
      <c r="F37" s="336"/>
      <c r="G37" s="336"/>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1152"/>
    </row>
    <row r="38" spans="1:32" ht="133.5" customHeight="1" x14ac:dyDescent="0.25">
      <c r="A38" s="675" t="s">
        <v>374</v>
      </c>
      <c r="B38" s="328">
        <f>H38+J38+L38+N38+P38+R38+T38+V38+X38+Z38+AB38+AD38</f>
        <v>229341.76</v>
      </c>
      <c r="C38" s="327">
        <f t="shared" si="12"/>
        <v>0</v>
      </c>
      <c r="D38" s="328">
        <f>E38</f>
        <v>0</v>
      </c>
      <c r="E38" s="328">
        <f>I38+K38+M38+O38+Q38+S38+U38+W38+Y38+AA38+AC38+AE38</f>
        <v>0</v>
      </c>
      <c r="F38" s="336">
        <f>IFERROR(E38/B38%,0)</f>
        <v>0</v>
      </c>
      <c r="G38" s="336">
        <f>IFERROR(E38/C38%,0)</f>
        <v>0</v>
      </c>
      <c r="H38" s="327"/>
      <c r="I38" s="327"/>
      <c r="J38" s="327"/>
      <c r="K38" s="327"/>
      <c r="L38" s="327"/>
      <c r="M38" s="327"/>
      <c r="N38" s="327"/>
      <c r="O38" s="327"/>
      <c r="P38" s="327"/>
      <c r="Q38" s="327"/>
      <c r="R38" s="327"/>
      <c r="S38" s="327"/>
      <c r="T38" s="327"/>
      <c r="U38" s="327"/>
      <c r="V38" s="327">
        <v>5612.6</v>
      </c>
      <c r="W38" s="327"/>
      <c r="X38" s="327">
        <v>41529.199999999997</v>
      </c>
      <c r="Y38" s="327"/>
      <c r="Z38" s="327">
        <v>106323.26</v>
      </c>
      <c r="AA38" s="327"/>
      <c r="AB38" s="327">
        <v>45473</v>
      </c>
      <c r="AC38" s="327"/>
      <c r="AD38" s="327">
        <v>30403.7</v>
      </c>
      <c r="AE38" s="327"/>
      <c r="AF38" s="1153"/>
    </row>
    <row r="39" spans="1:32" ht="18" customHeight="1" x14ac:dyDescent="0.25">
      <c r="A39" s="1148" t="s">
        <v>403</v>
      </c>
      <c r="B39" s="1149"/>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49"/>
      <c r="Y39" s="1149"/>
      <c r="Z39" s="1149"/>
      <c r="AA39" s="1149"/>
      <c r="AB39" s="1149"/>
      <c r="AC39" s="1149"/>
      <c r="AD39" s="1149"/>
      <c r="AE39" s="1150"/>
      <c r="AF39" s="341"/>
    </row>
    <row r="40" spans="1:32" ht="27" customHeight="1" x14ac:dyDescent="0.25">
      <c r="A40" s="326" t="s">
        <v>31</v>
      </c>
      <c r="B40" s="328">
        <f>B41+B42+B44</f>
        <v>0</v>
      </c>
      <c r="C40" s="328">
        <f>C41+C42+C44</f>
        <v>0</v>
      </c>
      <c r="D40" s="328">
        <f>D41+D42+D44</f>
        <v>0</v>
      </c>
      <c r="E40" s="328">
        <f>E41+E42+E44</f>
        <v>0</v>
      </c>
      <c r="F40" s="328">
        <f>IFERROR(E40/B40%,0)</f>
        <v>0</v>
      </c>
      <c r="G40" s="328">
        <f>IFERROR(E40/C40%,0)</f>
        <v>0</v>
      </c>
      <c r="H40" s="328">
        <f>H41+H42+H44</f>
        <v>0</v>
      </c>
      <c r="I40" s="328">
        <f t="shared" ref="I40:AE40" si="13">I41+I42+I44</f>
        <v>0</v>
      </c>
      <c r="J40" s="328">
        <f t="shared" si="13"/>
        <v>0</v>
      </c>
      <c r="K40" s="328">
        <f t="shared" si="13"/>
        <v>0</v>
      </c>
      <c r="L40" s="328">
        <f t="shared" si="13"/>
        <v>0</v>
      </c>
      <c r="M40" s="328">
        <f t="shared" si="13"/>
        <v>0</v>
      </c>
      <c r="N40" s="328">
        <f t="shared" si="13"/>
        <v>0</v>
      </c>
      <c r="O40" s="328">
        <f t="shared" si="13"/>
        <v>0</v>
      </c>
      <c r="P40" s="328">
        <f t="shared" si="13"/>
        <v>0</v>
      </c>
      <c r="Q40" s="328">
        <f t="shared" si="13"/>
        <v>0</v>
      </c>
      <c r="R40" s="328">
        <f t="shared" si="13"/>
        <v>0</v>
      </c>
      <c r="S40" s="328">
        <f t="shared" si="13"/>
        <v>0</v>
      </c>
      <c r="T40" s="328">
        <f t="shared" si="13"/>
        <v>0</v>
      </c>
      <c r="U40" s="328">
        <f t="shared" si="13"/>
        <v>0</v>
      </c>
      <c r="V40" s="328">
        <f t="shared" si="13"/>
        <v>0</v>
      </c>
      <c r="W40" s="328">
        <f t="shared" si="13"/>
        <v>0</v>
      </c>
      <c r="X40" s="328">
        <f t="shared" si="13"/>
        <v>0</v>
      </c>
      <c r="Y40" s="328">
        <f t="shared" si="13"/>
        <v>0</v>
      </c>
      <c r="Z40" s="328">
        <f t="shared" si="13"/>
        <v>0</v>
      </c>
      <c r="AA40" s="328">
        <f t="shared" si="13"/>
        <v>0</v>
      </c>
      <c r="AB40" s="328">
        <f t="shared" si="13"/>
        <v>0</v>
      </c>
      <c r="AC40" s="328">
        <f t="shared" si="13"/>
        <v>0</v>
      </c>
      <c r="AD40" s="328">
        <f t="shared" si="13"/>
        <v>0</v>
      </c>
      <c r="AE40" s="328">
        <f t="shared" si="13"/>
        <v>0</v>
      </c>
      <c r="AF40" s="1158" t="s">
        <v>527</v>
      </c>
    </row>
    <row r="41" spans="1:32" x14ac:dyDescent="0.25">
      <c r="A41" s="326" t="s">
        <v>32</v>
      </c>
      <c r="B41" s="328">
        <f>H41+J41+L41+N41+P41+R41+T41+V41+X41+Z41+AB41+AD41</f>
        <v>0</v>
      </c>
      <c r="C41" s="327">
        <f>H41+J41+L41+N41+P41+R41+T41</f>
        <v>0</v>
      </c>
      <c r="D41" s="328">
        <f>E41</f>
        <v>0</v>
      </c>
      <c r="E41" s="328">
        <f>I41+K41+M41+O41+Q41+S41+U41+W41+Y41+AA41+AC41+AE41</f>
        <v>0</v>
      </c>
      <c r="F41" s="336">
        <f>IFERROR(E41/B41%,0)</f>
        <v>0</v>
      </c>
      <c r="G41" s="336">
        <f>IFERROR(E41/C41%,0)</f>
        <v>0</v>
      </c>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1158"/>
    </row>
    <row r="42" spans="1:32" ht="25.5" customHeight="1" x14ac:dyDescent="0.25">
      <c r="A42" s="326" t="s">
        <v>33</v>
      </c>
      <c r="B42" s="328">
        <f>H42+J42+L42+N42+P42+R42+T42+V42+X42+Z42+AB42+AD42</f>
        <v>0</v>
      </c>
      <c r="C42" s="327">
        <f t="shared" ref="C42:C44" si="14">H42+J42+L42+N42+P42+R42+T42</f>
        <v>0</v>
      </c>
      <c r="D42" s="328">
        <f>E42</f>
        <v>0</v>
      </c>
      <c r="E42" s="328">
        <f>I42+K42+M42+O42+Q42+S42+U42+W42+Y42+AA42+AC42+AE42</f>
        <v>0</v>
      </c>
      <c r="F42" s="336">
        <f>IFERROR(E42/B42%,0)</f>
        <v>0</v>
      </c>
      <c r="G42" s="336">
        <f>IFERROR(E42/C42%,0)</f>
        <v>0</v>
      </c>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1158"/>
    </row>
    <row r="43" spans="1:32" ht="31.5" x14ac:dyDescent="0.25">
      <c r="A43" s="340" t="s">
        <v>174</v>
      </c>
      <c r="B43" s="328">
        <f>H43+J43+L43+N43+P43+R43+T43+V43+X43+Z43+AB43+AD43</f>
        <v>0</v>
      </c>
      <c r="C43" s="327">
        <f t="shared" si="14"/>
        <v>0</v>
      </c>
      <c r="D43" s="328">
        <f>E43</f>
        <v>0</v>
      </c>
      <c r="E43" s="328">
        <f>I43+K43+M43+O43+Q43+S43+U43+W43+Y43+AA43+AC43+AE43</f>
        <v>0</v>
      </c>
      <c r="F43" s="336">
        <f>IFERROR(E43/B43%,0)</f>
        <v>0</v>
      </c>
      <c r="G43" s="336">
        <f>IFERROR(E43/C43%,0)</f>
        <v>0</v>
      </c>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1158"/>
    </row>
    <row r="44" spans="1:32" x14ac:dyDescent="0.25">
      <c r="A44" s="326" t="s">
        <v>374</v>
      </c>
      <c r="B44" s="328">
        <f>H44+J44+L44+N44+P44+R44+T44+V44+X44+Z44+AB44+AD44</f>
        <v>0</v>
      </c>
      <c r="C44" s="327">
        <f t="shared" si="14"/>
        <v>0</v>
      </c>
      <c r="D44" s="328">
        <f>E44</f>
        <v>0</v>
      </c>
      <c r="E44" s="328">
        <f>I44+K44+M44+O44+Q44+S44+U44+W44+Y44+AA44+AC44+AE44</f>
        <v>0</v>
      </c>
      <c r="F44" s="336">
        <f>IFERROR(E44/B44%,0)</f>
        <v>0</v>
      </c>
      <c r="G44" s="336">
        <f>IFERROR(E44/C44%,0)</f>
        <v>0</v>
      </c>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1159"/>
    </row>
    <row r="45" spans="1:32" x14ac:dyDescent="0.25">
      <c r="A45" s="1148" t="s">
        <v>404</v>
      </c>
      <c r="B45" s="1149"/>
      <c r="C45" s="1149"/>
      <c r="D45" s="1149"/>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50"/>
      <c r="AF45" s="341"/>
    </row>
    <row r="46" spans="1:32" x14ac:dyDescent="0.25">
      <c r="A46" s="326" t="s">
        <v>31</v>
      </c>
      <c r="B46" s="328">
        <f>B47+B48+B50</f>
        <v>4540.54</v>
      </c>
      <c r="C46" s="328">
        <f>C47+C48+C50</f>
        <v>4540.54</v>
      </c>
      <c r="D46" s="328">
        <f>D47+D48+D50</f>
        <v>4540.54</v>
      </c>
      <c r="E46" s="328">
        <f>E47+E48+E50</f>
        <v>4540.54</v>
      </c>
      <c r="F46" s="328">
        <f>IFERROR(E46/B46%,0)</f>
        <v>100</v>
      </c>
      <c r="G46" s="328">
        <f>IFERROR(E46/C46%,0)</f>
        <v>100</v>
      </c>
      <c r="H46" s="328">
        <f>H47+H48+H50</f>
        <v>0</v>
      </c>
      <c r="I46" s="328">
        <f t="shared" ref="I46:AE46" si="15">I47+I48+I50</f>
        <v>0</v>
      </c>
      <c r="J46" s="328">
        <f t="shared" si="15"/>
        <v>4540.54</v>
      </c>
      <c r="K46" s="328">
        <f t="shared" si="15"/>
        <v>4540.54</v>
      </c>
      <c r="L46" s="328">
        <f t="shared" si="15"/>
        <v>0</v>
      </c>
      <c r="M46" s="328">
        <f t="shared" si="15"/>
        <v>0</v>
      </c>
      <c r="N46" s="328">
        <f t="shared" si="15"/>
        <v>0</v>
      </c>
      <c r="O46" s="328">
        <f t="shared" si="15"/>
        <v>0</v>
      </c>
      <c r="P46" s="328">
        <f t="shared" si="15"/>
        <v>0</v>
      </c>
      <c r="Q46" s="328">
        <f t="shared" si="15"/>
        <v>0</v>
      </c>
      <c r="R46" s="328">
        <f t="shared" si="15"/>
        <v>0</v>
      </c>
      <c r="S46" s="328">
        <f t="shared" si="15"/>
        <v>0</v>
      </c>
      <c r="T46" s="328">
        <f t="shared" si="15"/>
        <v>0</v>
      </c>
      <c r="U46" s="328">
        <f t="shared" si="15"/>
        <v>0</v>
      </c>
      <c r="V46" s="328">
        <f t="shared" si="15"/>
        <v>0</v>
      </c>
      <c r="W46" s="328">
        <f t="shared" si="15"/>
        <v>0</v>
      </c>
      <c r="X46" s="328">
        <f t="shared" si="15"/>
        <v>0</v>
      </c>
      <c r="Y46" s="328">
        <f t="shared" si="15"/>
        <v>0</v>
      </c>
      <c r="Z46" s="328">
        <f t="shared" si="15"/>
        <v>0</v>
      </c>
      <c r="AA46" s="328">
        <f t="shared" si="15"/>
        <v>0</v>
      </c>
      <c r="AB46" s="328">
        <f t="shared" si="15"/>
        <v>0</v>
      </c>
      <c r="AC46" s="328">
        <f t="shared" si="15"/>
        <v>0</v>
      </c>
      <c r="AD46" s="328">
        <f t="shared" si="15"/>
        <v>0</v>
      </c>
      <c r="AE46" s="328">
        <f t="shared" si="15"/>
        <v>0</v>
      </c>
      <c r="AF46" s="1158" t="s">
        <v>478</v>
      </c>
    </row>
    <row r="47" spans="1:32" x14ac:dyDescent="0.25">
      <c r="A47" s="326" t="s">
        <v>32</v>
      </c>
      <c r="B47" s="328">
        <f>H47+J47+L47+N47+P47+R47+T47+V47+X47+Z47+AB47+AD47</f>
        <v>0</v>
      </c>
      <c r="C47" s="327">
        <f>H47+J47+L47+N47+P47+R47+T47</f>
        <v>0</v>
      </c>
      <c r="D47" s="328">
        <f>E47</f>
        <v>0</v>
      </c>
      <c r="E47" s="328">
        <f>I47+K47+M47+O47+Q47+S47+U47+W47+Y47+AA47+AC47+AE47</f>
        <v>0</v>
      </c>
      <c r="F47" s="336">
        <f>IFERROR(E47/B47%,0)</f>
        <v>0</v>
      </c>
      <c r="G47" s="336">
        <f>IFERROR(E47/C47%,0)</f>
        <v>0</v>
      </c>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1158"/>
    </row>
    <row r="48" spans="1:32" ht="30" customHeight="1" x14ac:dyDescent="0.25">
      <c r="A48" s="326" t="s">
        <v>33</v>
      </c>
      <c r="B48" s="328">
        <f>H48+J48+L48+N48+P48+R48+T48+V48+X48+Z48+AB48+AD48</f>
        <v>4540.54</v>
      </c>
      <c r="C48" s="327">
        <f t="shared" ref="C48:C50" si="16">H48+J48+L48+N48+P48+R48+T48</f>
        <v>4540.54</v>
      </c>
      <c r="D48" s="328">
        <f>E48</f>
        <v>4540.54</v>
      </c>
      <c r="E48" s="328">
        <f>I48+K48+M48+O48+Q48+S48+U48+W48+Y48+AA48+AC48+AE48</f>
        <v>4540.54</v>
      </c>
      <c r="F48" s="336">
        <f>IFERROR(E48/B48%,0)</f>
        <v>100</v>
      </c>
      <c r="G48" s="336">
        <f>IFERROR(E48/C48%,0)</f>
        <v>100</v>
      </c>
      <c r="H48" s="327"/>
      <c r="I48" s="327"/>
      <c r="J48" s="327">
        <v>4540.54</v>
      </c>
      <c r="K48" s="327">
        <v>4540.54</v>
      </c>
      <c r="L48" s="327"/>
      <c r="M48" s="327"/>
      <c r="N48" s="327"/>
      <c r="O48" s="327"/>
      <c r="P48" s="327"/>
      <c r="Q48" s="327"/>
      <c r="R48" s="327"/>
      <c r="S48" s="327"/>
      <c r="T48" s="327"/>
      <c r="U48" s="327"/>
      <c r="V48" s="327"/>
      <c r="W48" s="327"/>
      <c r="X48" s="327"/>
      <c r="Y48" s="327"/>
      <c r="Z48" s="327"/>
      <c r="AA48" s="327"/>
      <c r="AB48" s="327"/>
      <c r="AC48" s="327"/>
      <c r="AD48" s="327"/>
      <c r="AE48" s="327"/>
      <c r="AF48" s="1158"/>
    </row>
    <row r="49" spans="1:32" ht="31.5" x14ac:dyDescent="0.25">
      <c r="A49" s="340" t="s">
        <v>174</v>
      </c>
      <c r="B49" s="328">
        <f>H49+J49+L49+N49+P49+R49+T49+V49+X49+Z49+AB49+AD49</f>
        <v>0</v>
      </c>
      <c r="C49" s="327">
        <f t="shared" si="16"/>
        <v>0</v>
      </c>
      <c r="D49" s="328">
        <f>E49</f>
        <v>0</v>
      </c>
      <c r="E49" s="328">
        <f>I49+K49+M49+O49+Q49+S49+U49+W49+Y49+AA49+AC49+AE49</f>
        <v>0</v>
      </c>
      <c r="F49" s="336">
        <f>IFERROR(E49/B49%,0)</f>
        <v>0</v>
      </c>
      <c r="G49" s="336">
        <f>IFERROR(E49/C49%,0)</f>
        <v>0</v>
      </c>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1158"/>
    </row>
    <row r="50" spans="1:32" ht="20.25" customHeight="1" x14ac:dyDescent="0.25">
      <c r="A50" s="326" t="s">
        <v>374</v>
      </c>
      <c r="B50" s="328">
        <f>H50+J50+L50+N50+P50+R50+T50+V50+X50+Z50+AB50+AD50</f>
        <v>0</v>
      </c>
      <c r="C50" s="327">
        <f t="shared" si="16"/>
        <v>0</v>
      </c>
      <c r="D50" s="328">
        <f>E50</f>
        <v>0</v>
      </c>
      <c r="E50" s="328">
        <f>I50+K50+M50+O50+Q50+S50+U50+W50+Y50+AA50+AC50+AE50</f>
        <v>0</v>
      </c>
      <c r="F50" s="336">
        <f>IFERROR(E50/B50%,0)</f>
        <v>0</v>
      </c>
      <c r="G50" s="336">
        <f>IFERROR(E50/C50%,0)</f>
        <v>0</v>
      </c>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1158"/>
    </row>
    <row r="51" spans="1:32" x14ac:dyDescent="0.25">
      <c r="A51" s="1142" t="s">
        <v>405</v>
      </c>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4"/>
      <c r="AF51" s="341"/>
    </row>
    <row r="52" spans="1:32" x14ac:dyDescent="0.25">
      <c r="A52" s="334" t="s">
        <v>31</v>
      </c>
      <c r="B52" s="335">
        <f>B53+B54+B56</f>
        <v>242920.40900000004</v>
      </c>
      <c r="C52" s="335">
        <f>C53+C54+C56</f>
        <v>163602.639</v>
      </c>
      <c r="D52" s="335">
        <f>D53+D54+D56</f>
        <v>142790.42000000001</v>
      </c>
      <c r="E52" s="335">
        <f>E53+E54+E56</f>
        <v>142790.42000000001</v>
      </c>
      <c r="F52" s="335">
        <f>E52/B52*100</f>
        <v>58.7807424612067</v>
      </c>
      <c r="G52" s="335">
        <f>E52/C52*100</f>
        <v>87.278799946497216</v>
      </c>
      <c r="H52" s="335">
        <f>H53+H54+H56</f>
        <v>33912.783000000003</v>
      </c>
      <c r="I52" s="335">
        <f t="shared" ref="I52:AE52" si="17">I53+I54+I56</f>
        <v>17885.599999999999</v>
      </c>
      <c r="J52" s="335">
        <f t="shared" si="17"/>
        <v>22577.74</v>
      </c>
      <c r="K52" s="335">
        <f t="shared" si="17"/>
        <v>25737.760000000002</v>
      </c>
      <c r="L52" s="335">
        <f t="shared" si="17"/>
        <v>23431.416000000005</v>
      </c>
      <c r="M52" s="335">
        <f t="shared" si="17"/>
        <v>19123.32</v>
      </c>
      <c r="N52" s="335">
        <f t="shared" si="17"/>
        <v>28452.109000000004</v>
      </c>
      <c r="O52" s="335">
        <f t="shared" si="17"/>
        <v>20062.2</v>
      </c>
      <c r="P52" s="335">
        <f t="shared" si="17"/>
        <v>18063.654000000002</v>
      </c>
      <c r="Q52" s="335">
        <f t="shared" si="17"/>
        <v>20171.210000000003</v>
      </c>
      <c r="R52" s="335">
        <f t="shared" si="17"/>
        <v>17240.697</v>
      </c>
      <c r="S52" s="335">
        <f t="shared" si="17"/>
        <v>19059.489999999998</v>
      </c>
      <c r="T52" s="335">
        <f t="shared" si="17"/>
        <v>19991.940000000002</v>
      </c>
      <c r="U52" s="335">
        <f t="shared" si="17"/>
        <v>20750.839999999997</v>
      </c>
      <c r="V52" s="335">
        <f t="shared" si="17"/>
        <v>25028.270000000004</v>
      </c>
      <c r="W52" s="335">
        <f t="shared" si="17"/>
        <v>0</v>
      </c>
      <c r="X52" s="335">
        <f t="shared" si="17"/>
        <v>11058.033000000001</v>
      </c>
      <c r="Y52" s="335">
        <f t="shared" si="17"/>
        <v>0</v>
      </c>
      <c r="Z52" s="335">
        <f t="shared" si="17"/>
        <v>20898.490000000002</v>
      </c>
      <c r="AA52" s="335">
        <f t="shared" si="17"/>
        <v>0</v>
      </c>
      <c r="AB52" s="335">
        <f t="shared" si="17"/>
        <v>12038.495000000001</v>
      </c>
      <c r="AC52" s="335">
        <f t="shared" si="17"/>
        <v>0</v>
      </c>
      <c r="AD52" s="335">
        <f t="shared" si="17"/>
        <v>10226.781999999999</v>
      </c>
      <c r="AE52" s="335">
        <f t="shared" si="17"/>
        <v>0</v>
      </c>
      <c r="AF52" s="1157" t="s">
        <v>631</v>
      </c>
    </row>
    <row r="53" spans="1:32" x14ac:dyDescent="0.25">
      <c r="A53" s="326" t="s">
        <v>32</v>
      </c>
      <c r="B53" s="328">
        <f>H53+J53+L53+N53+P53+R53+T53+V53+X53+Z53+AB53+AD53</f>
        <v>0</v>
      </c>
      <c r="C53" s="328">
        <f>C59+C77+C83+C89</f>
        <v>0</v>
      </c>
      <c r="D53" s="328">
        <f>E53</f>
        <v>0</v>
      </c>
      <c r="E53" s="328">
        <f>I53+K53+M53+O53+Q53+S53+U53+W53+Y53+AA53+AC53+AE53</f>
        <v>0</v>
      </c>
      <c r="F53" s="328">
        <f>IFERROR(E53/B53*100,0)</f>
        <v>0</v>
      </c>
      <c r="G53" s="328">
        <f>IFERROR(E53/C53*100,0)</f>
        <v>0</v>
      </c>
      <c r="H53" s="327">
        <f t="shared" ref="H53:AE53" si="18">H59+H77+H83+H89+H95+H101</f>
        <v>0</v>
      </c>
      <c r="I53" s="327">
        <f t="shared" si="18"/>
        <v>0</v>
      </c>
      <c r="J53" s="327">
        <f t="shared" si="18"/>
        <v>0</v>
      </c>
      <c r="K53" s="327">
        <f t="shared" si="18"/>
        <v>0</v>
      </c>
      <c r="L53" s="327">
        <f t="shared" si="18"/>
        <v>0</v>
      </c>
      <c r="M53" s="327">
        <f t="shared" si="18"/>
        <v>0</v>
      </c>
      <c r="N53" s="327">
        <f t="shared" si="18"/>
        <v>0</v>
      </c>
      <c r="O53" s="327">
        <f t="shared" si="18"/>
        <v>0</v>
      </c>
      <c r="P53" s="327">
        <f t="shared" si="18"/>
        <v>0</v>
      </c>
      <c r="Q53" s="327">
        <f t="shared" si="18"/>
        <v>0</v>
      </c>
      <c r="R53" s="327">
        <f t="shared" si="18"/>
        <v>0</v>
      </c>
      <c r="S53" s="327">
        <f t="shared" si="18"/>
        <v>0</v>
      </c>
      <c r="T53" s="327">
        <f t="shared" si="18"/>
        <v>0</v>
      </c>
      <c r="U53" s="327">
        <f t="shared" si="18"/>
        <v>0</v>
      </c>
      <c r="V53" s="327">
        <f t="shared" si="18"/>
        <v>0</v>
      </c>
      <c r="W53" s="327">
        <f t="shared" si="18"/>
        <v>0</v>
      </c>
      <c r="X53" s="327">
        <f t="shared" si="18"/>
        <v>0</v>
      </c>
      <c r="Y53" s="327">
        <f t="shared" si="18"/>
        <v>0</v>
      </c>
      <c r="Z53" s="327">
        <f t="shared" si="18"/>
        <v>0</v>
      </c>
      <c r="AA53" s="327">
        <f t="shared" si="18"/>
        <v>0</v>
      </c>
      <c r="AB53" s="327">
        <f t="shared" si="18"/>
        <v>0</v>
      </c>
      <c r="AC53" s="327">
        <f t="shared" si="18"/>
        <v>0</v>
      </c>
      <c r="AD53" s="327">
        <f t="shared" si="18"/>
        <v>0</v>
      </c>
      <c r="AE53" s="327">
        <f t="shared" si="18"/>
        <v>0</v>
      </c>
      <c r="AF53" s="1158"/>
    </row>
    <row r="54" spans="1:32" x14ac:dyDescent="0.25">
      <c r="A54" s="326" t="s">
        <v>33</v>
      </c>
      <c r="B54" s="328">
        <f>H54+J54+L54+N54+P54+R54+T54+V54+X54+Z54+AB54+AD54</f>
        <v>242920.40900000004</v>
      </c>
      <c r="C54" s="328">
        <f>C60+C78+C84+C90</f>
        <v>163602.639</v>
      </c>
      <c r="D54" s="328">
        <f>E54</f>
        <v>142790.42000000001</v>
      </c>
      <c r="E54" s="328">
        <f>I54+K54+M54+O54+Q54+S54+U54+W54+Y54+AA54+AC54+AE54</f>
        <v>142790.42000000001</v>
      </c>
      <c r="F54" s="328">
        <f>IFERROR(E54/B54*100,0)</f>
        <v>58.7807424612067</v>
      </c>
      <c r="G54" s="328">
        <f>IFERROR(E54/C54*100,0)</f>
        <v>87.278799946497216</v>
      </c>
      <c r="H54" s="327">
        <f t="shared" ref="H54:AE54" si="19">H60+H78+H84+H90+H96+H102</f>
        <v>33912.783000000003</v>
      </c>
      <c r="I54" s="327">
        <f t="shared" si="19"/>
        <v>17885.599999999999</v>
      </c>
      <c r="J54" s="327">
        <f t="shared" si="19"/>
        <v>22577.74</v>
      </c>
      <c r="K54" s="327">
        <f t="shared" si="19"/>
        <v>25737.760000000002</v>
      </c>
      <c r="L54" s="327">
        <f t="shared" si="19"/>
        <v>23431.416000000005</v>
      </c>
      <c r="M54" s="327">
        <f t="shared" si="19"/>
        <v>19123.32</v>
      </c>
      <c r="N54" s="327">
        <f t="shared" si="19"/>
        <v>28452.109000000004</v>
      </c>
      <c r="O54" s="327">
        <f t="shared" si="19"/>
        <v>20062.2</v>
      </c>
      <c r="P54" s="327">
        <f t="shared" si="19"/>
        <v>18063.654000000002</v>
      </c>
      <c r="Q54" s="327">
        <f t="shared" si="19"/>
        <v>20171.210000000003</v>
      </c>
      <c r="R54" s="327">
        <f t="shared" si="19"/>
        <v>17240.697</v>
      </c>
      <c r="S54" s="327">
        <f t="shared" si="19"/>
        <v>19059.489999999998</v>
      </c>
      <c r="T54" s="327">
        <f t="shared" si="19"/>
        <v>19991.940000000002</v>
      </c>
      <c r="U54" s="327">
        <f t="shared" si="19"/>
        <v>20750.839999999997</v>
      </c>
      <c r="V54" s="327">
        <f t="shared" si="19"/>
        <v>25028.270000000004</v>
      </c>
      <c r="W54" s="327">
        <f t="shared" si="19"/>
        <v>0</v>
      </c>
      <c r="X54" s="327">
        <f t="shared" si="19"/>
        <v>11058.033000000001</v>
      </c>
      <c r="Y54" s="327">
        <f t="shared" si="19"/>
        <v>0</v>
      </c>
      <c r="Z54" s="327">
        <f t="shared" si="19"/>
        <v>20898.490000000002</v>
      </c>
      <c r="AA54" s="327">
        <f t="shared" si="19"/>
        <v>0</v>
      </c>
      <c r="AB54" s="327">
        <f t="shared" si="19"/>
        <v>12038.495000000001</v>
      </c>
      <c r="AC54" s="327">
        <f t="shared" si="19"/>
        <v>0</v>
      </c>
      <c r="AD54" s="327">
        <f t="shared" si="19"/>
        <v>10226.781999999999</v>
      </c>
      <c r="AE54" s="327">
        <f t="shared" si="19"/>
        <v>0</v>
      </c>
      <c r="AF54" s="1158"/>
    </row>
    <row r="55" spans="1:32" ht="31.5" x14ac:dyDescent="0.25">
      <c r="A55" s="340" t="s">
        <v>174</v>
      </c>
      <c r="B55" s="328">
        <f>H55+J55+L55+N55+P55+R55+T55+V55+X55+Z55+AB55+AD55</f>
        <v>0</v>
      </c>
      <c r="C55" s="328">
        <f>C61+C79+C85+C91</f>
        <v>0</v>
      </c>
      <c r="D55" s="328">
        <f>E55</f>
        <v>0</v>
      </c>
      <c r="E55" s="328">
        <f>I55+K55+M55+O55+Q55+S55+U55+W55+Y55+AA55+AC55+AE55</f>
        <v>0</v>
      </c>
      <c r="F55" s="328">
        <f>IFERROR(E55/B55*100,0)</f>
        <v>0</v>
      </c>
      <c r="G55" s="328">
        <f>IFERROR(E55/C55*100,0)</f>
        <v>0</v>
      </c>
      <c r="H55" s="327">
        <f t="shared" ref="H55:AE55" si="20">H61+H79+H85+H91+H97+H103</f>
        <v>0</v>
      </c>
      <c r="I55" s="327">
        <f t="shared" si="20"/>
        <v>0</v>
      </c>
      <c r="J55" s="327">
        <f t="shared" si="20"/>
        <v>0</v>
      </c>
      <c r="K55" s="327">
        <f t="shared" si="20"/>
        <v>0</v>
      </c>
      <c r="L55" s="327">
        <f t="shared" si="20"/>
        <v>0</v>
      </c>
      <c r="M55" s="327">
        <f t="shared" si="20"/>
        <v>0</v>
      </c>
      <c r="N55" s="327">
        <f t="shared" si="20"/>
        <v>0</v>
      </c>
      <c r="O55" s="327">
        <f t="shared" si="20"/>
        <v>0</v>
      </c>
      <c r="P55" s="327">
        <f t="shared" si="20"/>
        <v>0</v>
      </c>
      <c r="Q55" s="327">
        <f t="shared" si="20"/>
        <v>0</v>
      </c>
      <c r="R55" s="327">
        <f t="shared" si="20"/>
        <v>0</v>
      </c>
      <c r="S55" s="327">
        <f t="shared" si="20"/>
        <v>0</v>
      </c>
      <c r="T55" s="327">
        <f t="shared" si="20"/>
        <v>0</v>
      </c>
      <c r="U55" s="327">
        <f t="shared" si="20"/>
        <v>0</v>
      </c>
      <c r="V55" s="327">
        <f t="shared" si="20"/>
        <v>0</v>
      </c>
      <c r="W55" s="327">
        <f t="shared" si="20"/>
        <v>0</v>
      </c>
      <c r="X55" s="327">
        <f t="shared" si="20"/>
        <v>0</v>
      </c>
      <c r="Y55" s="327">
        <f t="shared" si="20"/>
        <v>0</v>
      </c>
      <c r="Z55" s="327">
        <f t="shared" si="20"/>
        <v>0</v>
      </c>
      <c r="AA55" s="327">
        <f t="shared" si="20"/>
        <v>0</v>
      </c>
      <c r="AB55" s="327">
        <f t="shared" si="20"/>
        <v>0</v>
      </c>
      <c r="AC55" s="327">
        <f t="shared" si="20"/>
        <v>0</v>
      </c>
      <c r="AD55" s="327">
        <f t="shared" si="20"/>
        <v>0</v>
      </c>
      <c r="AE55" s="327">
        <f t="shared" si="20"/>
        <v>0</v>
      </c>
      <c r="AF55" s="1158"/>
    </row>
    <row r="56" spans="1:32" x14ac:dyDescent="0.25">
      <c r="A56" s="326" t="s">
        <v>374</v>
      </c>
      <c r="B56" s="328">
        <f>H56+J56+L56+N56+P56+R56+T56+V56+X56+Z56+AB56+AD56</f>
        <v>0</v>
      </c>
      <c r="C56" s="328">
        <f>C62+C80+C86+C92</f>
        <v>0</v>
      </c>
      <c r="D56" s="328">
        <f>E56</f>
        <v>0</v>
      </c>
      <c r="E56" s="328">
        <f>I56+K56+M56+O56+Q56+S56+U56+W56+Y56+AA56+AC56+AE56</f>
        <v>0</v>
      </c>
      <c r="F56" s="328">
        <f>IFERROR(E56/B56*100,0)</f>
        <v>0</v>
      </c>
      <c r="G56" s="328">
        <f>IFERROR(E56/C56*100,0)</f>
        <v>0</v>
      </c>
      <c r="H56" s="327">
        <f t="shared" ref="H56:AE56" si="21">H62+H80+H86+H92+H98+H104</f>
        <v>0</v>
      </c>
      <c r="I56" s="327">
        <f t="shared" si="21"/>
        <v>0</v>
      </c>
      <c r="J56" s="327">
        <f t="shared" si="21"/>
        <v>0</v>
      </c>
      <c r="K56" s="327">
        <f t="shared" si="21"/>
        <v>0</v>
      </c>
      <c r="L56" s="327">
        <f t="shared" si="21"/>
        <v>0</v>
      </c>
      <c r="M56" s="327">
        <f t="shared" si="21"/>
        <v>0</v>
      </c>
      <c r="N56" s="327">
        <f t="shared" si="21"/>
        <v>0</v>
      </c>
      <c r="O56" s="327">
        <f t="shared" si="21"/>
        <v>0</v>
      </c>
      <c r="P56" s="327">
        <f t="shared" si="21"/>
        <v>0</v>
      </c>
      <c r="Q56" s="327">
        <f t="shared" si="21"/>
        <v>0</v>
      </c>
      <c r="R56" s="327">
        <f t="shared" si="21"/>
        <v>0</v>
      </c>
      <c r="S56" s="327">
        <f t="shared" si="21"/>
        <v>0</v>
      </c>
      <c r="T56" s="327">
        <f t="shared" si="21"/>
        <v>0</v>
      </c>
      <c r="U56" s="327">
        <f t="shared" si="21"/>
        <v>0</v>
      </c>
      <c r="V56" s="327">
        <f t="shared" si="21"/>
        <v>0</v>
      </c>
      <c r="W56" s="327">
        <f t="shared" si="21"/>
        <v>0</v>
      </c>
      <c r="X56" s="327">
        <f t="shared" si="21"/>
        <v>0</v>
      </c>
      <c r="Y56" s="327">
        <f t="shared" si="21"/>
        <v>0</v>
      </c>
      <c r="Z56" s="327">
        <f t="shared" si="21"/>
        <v>0</v>
      </c>
      <c r="AA56" s="327">
        <f t="shared" si="21"/>
        <v>0</v>
      </c>
      <c r="AB56" s="327">
        <f t="shared" si="21"/>
        <v>0</v>
      </c>
      <c r="AC56" s="327">
        <f t="shared" si="21"/>
        <v>0</v>
      </c>
      <c r="AD56" s="327">
        <f t="shared" si="21"/>
        <v>0</v>
      </c>
      <c r="AE56" s="327">
        <f t="shared" si="21"/>
        <v>0</v>
      </c>
      <c r="AF56" s="1158"/>
    </row>
    <row r="57" spans="1:32" x14ac:dyDescent="0.25">
      <c r="A57" s="1148" t="s">
        <v>406</v>
      </c>
      <c r="B57" s="1149"/>
      <c r="C57" s="1149"/>
      <c r="D57" s="1149"/>
      <c r="E57" s="1149"/>
      <c r="F57" s="1149"/>
      <c r="G57" s="1149"/>
      <c r="H57" s="1149"/>
      <c r="I57" s="1149"/>
      <c r="J57" s="1149"/>
      <c r="K57" s="1149"/>
      <c r="L57" s="1149"/>
      <c r="M57" s="1149"/>
      <c r="N57" s="1149"/>
      <c r="O57" s="1149"/>
      <c r="P57" s="1149"/>
      <c r="Q57" s="1149"/>
      <c r="R57" s="1149"/>
      <c r="S57" s="1149"/>
      <c r="T57" s="1149"/>
      <c r="U57" s="1149"/>
      <c r="V57" s="1149"/>
      <c r="W57" s="1149"/>
      <c r="X57" s="1149"/>
      <c r="Y57" s="1149"/>
      <c r="Z57" s="1149"/>
      <c r="AA57" s="1149"/>
      <c r="AB57" s="1149"/>
      <c r="AC57" s="1149"/>
      <c r="AD57" s="1149"/>
      <c r="AE57" s="1150"/>
      <c r="AF57" s="1158"/>
    </row>
    <row r="58" spans="1:32" ht="15.75" customHeight="1" x14ac:dyDescent="0.25">
      <c r="A58" s="326" t="s">
        <v>31</v>
      </c>
      <c r="B58" s="328">
        <f>B59+B60+B62</f>
        <v>225003.05000000002</v>
      </c>
      <c r="C58" s="328">
        <f>C59+C60+C62</f>
        <v>159657.54</v>
      </c>
      <c r="D58" s="328">
        <f>D59+D60+D62</f>
        <v>139347.16</v>
      </c>
      <c r="E58" s="328">
        <f>E59+E60+E62</f>
        <v>139347.16</v>
      </c>
      <c r="F58" s="328">
        <f>E58/B58*100</f>
        <v>61.931231598860549</v>
      </c>
      <c r="G58" s="328">
        <f>E58/C58*100</f>
        <v>87.278784328006054</v>
      </c>
      <c r="H58" s="328">
        <f>H59+H60+H62</f>
        <v>33667.464</v>
      </c>
      <c r="I58" s="328">
        <f t="shared" ref="I58:AE58" si="22">I59+I60+I62</f>
        <v>17651.48</v>
      </c>
      <c r="J58" s="328">
        <f t="shared" si="22"/>
        <v>21980.66</v>
      </c>
      <c r="K58" s="328">
        <f t="shared" si="22"/>
        <v>25296.47</v>
      </c>
      <c r="L58" s="328">
        <f t="shared" si="22"/>
        <v>22854.336000000003</v>
      </c>
      <c r="M58" s="328">
        <f t="shared" si="22"/>
        <v>18701.060000000001</v>
      </c>
      <c r="N58" s="328">
        <f t="shared" si="22"/>
        <v>27865.029000000002</v>
      </c>
      <c r="O58" s="328">
        <f t="shared" si="22"/>
        <v>19626.32</v>
      </c>
      <c r="P58" s="328">
        <f t="shared" si="22"/>
        <v>17496.574000000001</v>
      </c>
      <c r="Q58" s="328">
        <f t="shared" si="22"/>
        <v>19769.440000000002</v>
      </c>
      <c r="R58" s="328">
        <f t="shared" si="22"/>
        <v>16653.616999999998</v>
      </c>
      <c r="S58" s="328">
        <f t="shared" si="22"/>
        <v>18459.61</v>
      </c>
      <c r="T58" s="328">
        <f t="shared" si="22"/>
        <v>19139.86</v>
      </c>
      <c r="U58" s="328">
        <f t="shared" si="22"/>
        <v>19842.78</v>
      </c>
      <c r="V58" s="328">
        <f t="shared" si="22"/>
        <v>21014.33</v>
      </c>
      <c r="W58" s="328">
        <f t="shared" si="22"/>
        <v>0</v>
      </c>
      <c r="X58" s="328">
        <f t="shared" si="22"/>
        <v>10480.953000000001</v>
      </c>
      <c r="Y58" s="328">
        <f t="shared" si="22"/>
        <v>0</v>
      </c>
      <c r="Z58" s="328">
        <f t="shared" si="22"/>
        <v>12955.810000000001</v>
      </c>
      <c r="AA58" s="328">
        <f t="shared" si="22"/>
        <v>0</v>
      </c>
      <c r="AB58" s="328">
        <f t="shared" si="22"/>
        <v>11461.415000000001</v>
      </c>
      <c r="AC58" s="328">
        <f t="shared" si="22"/>
        <v>0</v>
      </c>
      <c r="AD58" s="328">
        <f t="shared" si="22"/>
        <v>9433.0020000000004</v>
      </c>
      <c r="AE58" s="328">
        <f t="shared" si="22"/>
        <v>0</v>
      </c>
      <c r="AF58" s="1158"/>
    </row>
    <row r="59" spans="1:32" x14ac:dyDescent="0.25">
      <c r="A59" s="326" t="s">
        <v>32</v>
      </c>
      <c r="B59" s="327">
        <f t="shared" ref="B59:E60" si="23">B65+B71</f>
        <v>0</v>
      </c>
      <c r="C59" s="327">
        <f t="shared" si="23"/>
        <v>0</v>
      </c>
      <c r="D59" s="327">
        <f t="shared" si="23"/>
        <v>0</v>
      </c>
      <c r="E59" s="327">
        <f t="shared" si="23"/>
        <v>0</v>
      </c>
      <c r="F59" s="342">
        <f>IFERROR(E59/B59*100,0)</f>
        <v>0</v>
      </c>
      <c r="G59" s="342">
        <f>IFERROR(E59/C59*100,0)</f>
        <v>0</v>
      </c>
      <c r="H59" s="327">
        <f>H65+H71</f>
        <v>0</v>
      </c>
      <c r="I59" s="327">
        <f t="shared" ref="I59:AE62" si="24">I65+I71</f>
        <v>0</v>
      </c>
      <c r="J59" s="327">
        <f t="shared" si="24"/>
        <v>0</v>
      </c>
      <c r="K59" s="327">
        <f t="shared" si="24"/>
        <v>0</v>
      </c>
      <c r="L59" s="327">
        <f t="shared" si="24"/>
        <v>0</v>
      </c>
      <c r="M59" s="327">
        <f t="shared" si="24"/>
        <v>0</v>
      </c>
      <c r="N59" s="327">
        <f t="shared" si="24"/>
        <v>0</v>
      </c>
      <c r="O59" s="327">
        <f t="shared" si="24"/>
        <v>0</v>
      </c>
      <c r="P59" s="327">
        <f t="shared" si="24"/>
        <v>0</v>
      </c>
      <c r="Q59" s="327">
        <f t="shared" si="24"/>
        <v>0</v>
      </c>
      <c r="R59" s="327">
        <f t="shared" si="24"/>
        <v>0</v>
      </c>
      <c r="S59" s="327">
        <f t="shared" si="24"/>
        <v>0</v>
      </c>
      <c r="T59" s="327">
        <f t="shared" si="24"/>
        <v>0</v>
      </c>
      <c r="U59" s="327">
        <f t="shared" si="24"/>
        <v>0</v>
      </c>
      <c r="V59" s="327">
        <f t="shared" si="24"/>
        <v>0</v>
      </c>
      <c r="W59" s="327">
        <f t="shared" si="24"/>
        <v>0</v>
      </c>
      <c r="X59" s="327">
        <f t="shared" si="24"/>
        <v>0</v>
      </c>
      <c r="Y59" s="327">
        <f t="shared" si="24"/>
        <v>0</v>
      </c>
      <c r="Z59" s="327">
        <f t="shared" si="24"/>
        <v>0</v>
      </c>
      <c r="AA59" s="327">
        <f t="shared" si="24"/>
        <v>0</v>
      </c>
      <c r="AB59" s="327">
        <f t="shared" si="24"/>
        <v>0</v>
      </c>
      <c r="AC59" s="327">
        <f t="shared" si="24"/>
        <v>0</v>
      </c>
      <c r="AD59" s="327">
        <f t="shared" si="24"/>
        <v>0</v>
      </c>
      <c r="AE59" s="327">
        <f t="shared" si="24"/>
        <v>0</v>
      </c>
      <c r="AF59" s="1158"/>
    </row>
    <row r="60" spans="1:32" x14ac:dyDescent="0.25">
      <c r="A60" s="326" t="s">
        <v>33</v>
      </c>
      <c r="B60" s="327">
        <f t="shared" si="23"/>
        <v>225003.05000000002</v>
      </c>
      <c r="C60" s="327">
        <f t="shared" si="23"/>
        <v>159657.54</v>
      </c>
      <c r="D60" s="327">
        <f t="shared" si="23"/>
        <v>139347.16</v>
      </c>
      <c r="E60" s="327">
        <f t="shared" si="23"/>
        <v>139347.16</v>
      </c>
      <c r="F60" s="342">
        <f>IFERROR(E60/B60*100,0)</f>
        <v>61.931231598860549</v>
      </c>
      <c r="G60" s="342">
        <f>IFERROR(E60/C60*100,0)</f>
        <v>87.278784328006054</v>
      </c>
      <c r="H60" s="327">
        <f>H66+H72</f>
        <v>33667.464</v>
      </c>
      <c r="I60" s="327">
        <f t="shared" si="24"/>
        <v>17651.48</v>
      </c>
      <c r="J60" s="327">
        <f t="shared" si="24"/>
        <v>21980.66</v>
      </c>
      <c r="K60" s="327">
        <f t="shared" si="24"/>
        <v>25296.47</v>
      </c>
      <c r="L60" s="327">
        <f t="shared" si="24"/>
        <v>22854.336000000003</v>
      </c>
      <c r="M60" s="327">
        <f t="shared" si="24"/>
        <v>18701.060000000001</v>
      </c>
      <c r="N60" s="327">
        <f t="shared" si="24"/>
        <v>27865.029000000002</v>
      </c>
      <c r="O60" s="327">
        <f t="shared" si="24"/>
        <v>19626.32</v>
      </c>
      <c r="P60" s="327">
        <f t="shared" si="24"/>
        <v>17496.574000000001</v>
      </c>
      <c r="Q60" s="327">
        <f t="shared" si="24"/>
        <v>19769.440000000002</v>
      </c>
      <c r="R60" s="327">
        <f t="shared" si="24"/>
        <v>16653.616999999998</v>
      </c>
      <c r="S60" s="327">
        <f t="shared" si="24"/>
        <v>18459.61</v>
      </c>
      <c r="T60" s="327">
        <f t="shared" si="24"/>
        <v>19139.86</v>
      </c>
      <c r="U60" s="327">
        <f t="shared" si="24"/>
        <v>19842.78</v>
      </c>
      <c r="V60" s="327">
        <f t="shared" si="24"/>
        <v>21014.33</v>
      </c>
      <c r="W60" s="327">
        <f t="shared" si="24"/>
        <v>0</v>
      </c>
      <c r="X60" s="327">
        <f t="shared" si="24"/>
        <v>10480.953000000001</v>
      </c>
      <c r="Y60" s="327">
        <f t="shared" si="24"/>
        <v>0</v>
      </c>
      <c r="Z60" s="327">
        <f t="shared" si="24"/>
        <v>12955.810000000001</v>
      </c>
      <c r="AA60" s="327">
        <f t="shared" si="24"/>
        <v>0</v>
      </c>
      <c r="AB60" s="327">
        <f t="shared" si="24"/>
        <v>11461.415000000001</v>
      </c>
      <c r="AC60" s="327">
        <f t="shared" si="24"/>
        <v>0</v>
      </c>
      <c r="AD60" s="327">
        <f t="shared" si="24"/>
        <v>9433.0020000000004</v>
      </c>
      <c r="AE60" s="327">
        <f t="shared" si="24"/>
        <v>0</v>
      </c>
      <c r="AF60" s="1158"/>
    </row>
    <row r="61" spans="1:32" ht="31.5" x14ac:dyDescent="0.25">
      <c r="A61" s="340" t="s">
        <v>174</v>
      </c>
      <c r="B61" s="327">
        <f t="shared" ref="B61:E62" si="25">B67+B73</f>
        <v>0</v>
      </c>
      <c r="C61" s="327">
        <f t="shared" si="25"/>
        <v>0</v>
      </c>
      <c r="D61" s="327">
        <f t="shared" si="25"/>
        <v>0</v>
      </c>
      <c r="E61" s="327">
        <f t="shared" si="25"/>
        <v>0</v>
      </c>
      <c r="F61" s="342">
        <f>IFERROR(E61/B61*100,0)</f>
        <v>0</v>
      </c>
      <c r="G61" s="342">
        <f>IFERROR(E61/C61*100,0)</f>
        <v>0</v>
      </c>
      <c r="H61" s="327">
        <f t="shared" ref="H61:W62" si="26">H67+H73</f>
        <v>0</v>
      </c>
      <c r="I61" s="327">
        <f t="shared" si="26"/>
        <v>0</v>
      </c>
      <c r="J61" s="327">
        <f t="shared" si="26"/>
        <v>0</v>
      </c>
      <c r="K61" s="327">
        <f t="shared" si="26"/>
        <v>0</v>
      </c>
      <c r="L61" s="327">
        <f t="shared" si="26"/>
        <v>0</v>
      </c>
      <c r="M61" s="327">
        <f t="shared" si="26"/>
        <v>0</v>
      </c>
      <c r="N61" s="327">
        <f t="shared" si="26"/>
        <v>0</v>
      </c>
      <c r="O61" s="327">
        <f t="shared" si="26"/>
        <v>0</v>
      </c>
      <c r="P61" s="327">
        <f t="shared" si="26"/>
        <v>0</v>
      </c>
      <c r="Q61" s="327">
        <f t="shared" si="26"/>
        <v>0</v>
      </c>
      <c r="R61" s="327">
        <f t="shared" si="26"/>
        <v>0</v>
      </c>
      <c r="S61" s="327">
        <f t="shared" si="26"/>
        <v>0</v>
      </c>
      <c r="T61" s="327">
        <f t="shared" si="26"/>
        <v>0</v>
      </c>
      <c r="U61" s="327">
        <f t="shared" si="26"/>
        <v>0</v>
      </c>
      <c r="V61" s="327">
        <f t="shared" si="26"/>
        <v>0</v>
      </c>
      <c r="W61" s="327">
        <f t="shared" si="26"/>
        <v>0</v>
      </c>
      <c r="X61" s="327">
        <f t="shared" si="24"/>
        <v>0</v>
      </c>
      <c r="Y61" s="327">
        <f t="shared" si="24"/>
        <v>0</v>
      </c>
      <c r="Z61" s="327">
        <f t="shared" si="24"/>
        <v>0</v>
      </c>
      <c r="AA61" s="327">
        <f t="shared" si="24"/>
        <v>0</v>
      </c>
      <c r="AB61" s="327">
        <f t="shared" si="24"/>
        <v>0</v>
      </c>
      <c r="AC61" s="327">
        <f t="shared" si="24"/>
        <v>0</v>
      </c>
      <c r="AD61" s="327">
        <f t="shared" si="24"/>
        <v>0</v>
      </c>
      <c r="AE61" s="327">
        <f t="shared" si="24"/>
        <v>0</v>
      </c>
      <c r="AF61" s="1158"/>
    </row>
    <row r="62" spans="1:32" x14ac:dyDescent="0.25">
      <c r="A62" s="326" t="s">
        <v>374</v>
      </c>
      <c r="B62" s="327">
        <f t="shared" si="25"/>
        <v>0</v>
      </c>
      <c r="C62" s="327">
        <f t="shared" si="25"/>
        <v>0</v>
      </c>
      <c r="D62" s="327">
        <f t="shared" si="25"/>
        <v>0</v>
      </c>
      <c r="E62" s="327">
        <f t="shared" si="25"/>
        <v>0</v>
      </c>
      <c r="F62" s="342">
        <f>IFERROR(E62/B62*100,0)</f>
        <v>0</v>
      </c>
      <c r="G62" s="342">
        <f>IFERROR(E62/C62*100,0)</f>
        <v>0</v>
      </c>
      <c r="H62" s="327">
        <f t="shared" si="26"/>
        <v>0</v>
      </c>
      <c r="I62" s="327">
        <f t="shared" si="26"/>
        <v>0</v>
      </c>
      <c r="J62" s="327">
        <f t="shared" si="26"/>
        <v>0</v>
      </c>
      <c r="K62" s="327">
        <f t="shared" si="26"/>
        <v>0</v>
      </c>
      <c r="L62" s="327">
        <f t="shared" si="26"/>
        <v>0</v>
      </c>
      <c r="M62" s="327">
        <f t="shared" si="26"/>
        <v>0</v>
      </c>
      <c r="N62" s="327">
        <f t="shared" si="26"/>
        <v>0</v>
      </c>
      <c r="O62" s="327">
        <f t="shared" si="26"/>
        <v>0</v>
      </c>
      <c r="P62" s="327">
        <f t="shared" si="26"/>
        <v>0</v>
      </c>
      <c r="Q62" s="327">
        <f t="shared" si="26"/>
        <v>0</v>
      </c>
      <c r="R62" s="327">
        <f t="shared" si="26"/>
        <v>0</v>
      </c>
      <c r="S62" s="327">
        <f t="shared" si="26"/>
        <v>0</v>
      </c>
      <c r="T62" s="327">
        <f t="shared" si="26"/>
        <v>0</v>
      </c>
      <c r="U62" s="327">
        <f t="shared" si="26"/>
        <v>0</v>
      </c>
      <c r="V62" s="327">
        <f t="shared" si="26"/>
        <v>0</v>
      </c>
      <c r="W62" s="327">
        <f t="shared" si="26"/>
        <v>0</v>
      </c>
      <c r="X62" s="327">
        <f t="shared" si="24"/>
        <v>0</v>
      </c>
      <c r="Y62" s="327">
        <f t="shared" si="24"/>
        <v>0</v>
      </c>
      <c r="Z62" s="327">
        <f t="shared" si="24"/>
        <v>0</v>
      </c>
      <c r="AA62" s="327">
        <f t="shared" si="24"/>
        <v>0</v>
      </c>
      <c r="AB62" s="327">
        <f t="shared" si="24"/>
        <v>0</v>
      </c>
      <c r="AC62" s="327">
        <f t="shared" si="24"/>
        <v>0</v>
      </c>
      <c r="AD62" s="327">
        <f t="shared" si="24"/>
        <v>0</v>
      </c>
      <c r="AE62" s="327">
        <f t="shared" si="24"/>
        <v>0</v>
      </c>
      <c r="AF62" s="1158"/>
    </row>
    <row r="63" spans="1:32" x14ac:dyDescent="0.25">
      <c r="A63" s="1148" t="s">
        <v>407</v>
      </c>
      <c r="B63" s="1149"/>
      <c r="C63" s="1149"/>
      <c r="D63" s="1149"/>
      <c r="E63" s="1149"/>
      <c r="F63" s="1149"/>
      <c r="G63" s="1149"/>
      <c r="H63" s="1149"/>
      <c r="I63" s="1149"/>
      <c r="J63" s="1149"/>
      <c r="K63" s="1149"/>
      <c r="L63" s="1149"/>
      <c r="M63" s="1149"/>
      <c r="N63" s="1149"/>
      <c r="O63" s="1149"/>
      <c r="P63" s="1149"/>
      <c r="Q63" s="1149"/>
      <c r="R63" s="1149"/>
      <c r="S63" s="1149"/>
      <c r="T63" s="1149"/>
      <c r="U63" s="1149"/>
      <c r="V63" s="1149"/>
      <c r="W63" s="1149"/>
      <c r="X63" s="1149"/>
      <c r="Y63" s="1149"/>
      <c r="Z63" s="1149"/>
      <c r="AA63" s="1149"/>
      <c r="AB63" s="1149"/>
      <c r="AC63" s="1149"/>
      <c r="AD63" s="1149"/>
      <c r="AE63" s="1150"/>
      <c r="AF63" s="1158"/>
    </row>
    <row r="64" spans="1:32" x14ac:dyDescent="0.25">
      <c r="A64" s="326" t="s">
        <v>31</v>
      </c>
      <c r="B64" s="342">
        <f>B65+B66+B68</f>
        <v>205658.12900000002</v>
      </c>
      <c r="C64" s="342">
        <f>C65+C66+C68</f>
        <v>144801.61900000001</v>
      </c>
      <c r="D64" s="342">
        <f>D65+D66+D68</f>
        <v>124824.03</v>
      </c>
      <c r="E64" s="342">
        <f>E65+E66+E68</f>
        <v>124824.03</v>
      </c>
      <c r="F64" s="342">
        <f>E64/B64*100</f>
        <v>60.694916659482004</v>
      </c>
      <c r="G64" s="342">
        <f>E64/C64*100</f>
        <v>86.203476771899901</v>
      </c>
      <c r="H64" s="342">
        <f>H65+H66+H68</f>
        <v>24766.143</v>
      </c>
      <c r="I64" s="342">
        <f t="shared" ref="I64:AE64" si="27">I65+I66+I68</f>
        <v>8911.5</v>
      </c>
      <c r="J64" s="342">
        <f t="shared" si="27"/>
        <v>20856.759999999998</v>
      </c>
      <c r="K64" s="342">
        <f t="shared" si="27"/>
        <v>24332.61</v>
      </c>
      <c r="L64" s="342">
        <f t="shared" si="27"/>
        <v>21730.436000000002</v>
      </c>
      <c r="M64" s="342">
        <f t="shared" si="27"/>
        <v>17737.2</v>
      </c>
      <c r="N64" s="328">
        <f t="shared" si="27"/>
        <v>26938.329000000002</v>
      </c>
      <c r="O64" s="328">
        <f t="shared" si="27"/>
        <v>18662.47</v>
      </c>
      <c r="P64" s="328">
        <f t="shared" si="27"/>
        <v>16569.874</v>
      </c>
      <c r="Q64" s="328">
        <f t="shared" si="27"/>
        <v>18805.580000000002</v>
      </c>
      <c r="R64" s="328">
        <f t="shared" si="27"/>
        <v>15726.916999999999</v>
      </c>
      <c r="S64" s="328">
        <f t="shared" si="27"/>
        <v>17495.75</v>
      </c>
      <c r="T64" s="328">
        <f t="shared" si="27"/>
        <v>18213.16</v>
      </c>
      <c r="U64" s="328">
        <f t="shared" si="27"/>
        <v>18878.919999999998</v>
      </c>
      <c r="V64" s="328">
        <f t="shared" si="27"/>
        <v>20087.63</v>
      </c>
      <c r="W64" s="328">
        <f t="shared" si="27"/>
        <v>0</v>
      </c>
      <c r="X64" s="328">
        <f t="shared" si="27"/>
        <v>9554.2530000000006</v>
      </c>
      <c r="Y64" s="328">
        <f t="shared" si="27"/>
        <v>0</v>
      </c>
      <c r="Z64" s="328">
        <f t="shared" si="27"/>
        <v>12029.11</v>
      </c>
      <c r="AA64" s="328">
        <f t="shared" si="27"/>
        <v>0</v>
      </c>
      <c r="AB64" s="328">
        <f t="shared" si="27"/>
        <v>10534.715</v>
      </c>
      <c r="AC64" s="328"/>
      <c r="AD64" s="328">
        <f t="shared" si="27"/>
        <v>8650.8019999999997</v>
      </c>
      <c r="AE64" s="328">
        <f t="shared" si="27"/>
        <v>0</v>
      </c>
      <c r="AF64" s="1158"/>
    </row>
    <row r="65" spans="1:32" x14ac:dyDescent="0.25">
      <c r="A65" s="326" t="s">
        <v>32</v>
      </c>
      <c r="B65" s="342"/>
      <c r="C65" s="639"/>
      <c r="D65" s="342"/>
      <c r="E65" s="342"/>
      <c r="F65" s="342"/>
      <c r="G65" s="342"/>
      <c r="H65" s="639"/>
      <c r="I65" s="639"/>
      <c r="J65" s="639"/>
      <c r="K65" s="639"/>
      <c r="L65" s="639"/>
      <c r="M65" s="639"/>
      <c r="N65" s="327"/>
      <c r="O65" s="327"/>
      <c r="P65" s="327"/>
      <c r="Q65" s="327"/>
      <c r="R65" s="327"/>
      <c r="S65" s="327"/>
      <c r="T65" s="327"/>
      <c r="U65" s="327"/>
      <c r="V65" s="327"/>
      <c r="W65" s="327"/>
      <c r="X65" s="327"/>
      <c r="Y65" s="327"/>
      <c r="Z65" s="327"/>
      <c r="AA65" s="327"/>
      <c r="AB65" s="327"/>
      <c r="AC65" s="327"/>
      <c r="AD65" s="327"/>
      <c r="AE65" s="327"/>
      <c r="AF65" s="1158"/>
    </row>
    <row r="66" spans="1:32" x14ac:dyDescent="0.25">
      <c r="A66" s="326" t="s">
        <v>33</v>
      </c>
      <c r="B66" s="342">
        <f>H66+J66+L66+N66+P66+R66+T66+V66+X66+Z66+AB66+AD66</f>
        <v>205658.12900000002</v>
      </c>
      <c r="C66" s="639">
        <f>H66+J66+L66+N66+P66+R66+T66</f>
        <v>144801.61900000001</v>
      </c>
      <c r="D66" s="342">
        <f>E66</f>
        <v>124824.03</v>
      </c>
      <c r="E66" s="342">
        <f>I66+K66+M66+O66+Q66+S66+U66+W66+Y66+AA66+AC66+AE66</f>
        <v>124824.03</v>
      </c>
      <c r="F66" s="342">
        <f>IFERROR(E66/B66*100,0)</f>
        <v>60.694916659482004</v>
      </c>
      <c r="G66" s="342">
        <f>IFERROR(E66/C66*100,0)</f>
        <v>86.203476771899901</v>
      </c>
      <c r="H66" s="639">
        <v>24766.143</v>
      </c>
      <c r="I66" s="639">
        <v>8911.5</v>
      </c>
      <c r="J66" s="639">
        <v>20856.759999999998</v>
      </c>
      <c r="K66" s="639">
        <v>24332.61</v>
      </c>
      <c r="L66" s="639">
        <v>21730.436000000002</v>
      </c>
      <c r="M66" s="639">
        <v>17737.2</v>
      </c>
      <c r="N66" s="327">
        <v>26938.329000000002</v>
      </c>
      <c r="O66" s="327">
        <v>18662.47</v>
      </c>
      <c r="P66" s="327">
        <v>16569.874</v>
      </c>
      <c r="Q66" s="327">
        <v>18805.580000000002</v>
      </c>
      <c r="R66" s="327">
        <v>15726.916999999999</v>
      </c>
      <c r="S66" s="327">
        <v>17495.75</v>
      </c>
      <c r="T66" s="327">
        <v>18213.16</v>
      </c>
      <c r="U66" s="327">
        <v>18878.919999999998</v>
      </c>
      <c r="V66" s="327">
        <v>20087.63</v>
      </c>
      <c r="W66" s="327"/>
      <c r="X66" s="327">
        <v>9554.2530000000006</v>
      </c>
      <c r="Y66" s="327"/>
      <c r="Z66" s="327">
        <v>12029.11</v>
      </c>
      <c r="AA66" s="327"/>
      <c r="AB66" s="327">
        <v>10534.715</v>
      </c>
      <c r="AC66" s="327"/>
      <c r="AD66" s="327">
        <v>8650.8019999999997</v>
      </c>
      <c r="AE66" s="327"/>
      <c r="AF66" s="1158"/>
    </row>
    <row r="67" spans="1:32" ht="31.5" x14ac:dyDescent="0.25">
      <c r="A67" s="340" t="s">
        <v>174</v>
      </c>
      <c r="B67" s="342"/>
      <c r="C67" s="639"/>
      <c r="D67" s="342"/>
      <c r="E67" s="342"/>
      <c r="F67" s="342"/>
      <c r="G67" s="342"/>
      <c r="H67" s="639"/>
      <c r="I67" s="639"/>
      <c r="J67" s="639"/>
      <c r="K67" s="639"/>
      <c r="L67" s="639"/>
      <c r="M67" s="639"/>
      <c r="N67" s="327"/>
      <c r="O67" s="327"/>
      <c r="P67" s="327"/>
      <c r="Q67" s="327"/>
      <c r="R67" s="327"/>
      <c r="S67" s="327"/>
      <c r="T67" s="327"/>
      <c r="U67" s="327"/>
      <c r="V67" s="327"/>
      <c r="W67" s="327"/>
      <c r="X67" s="327"/>
      <c r="Y67" s="327"/>
      <c r="Z67" s="327"/>
      <c r="AA67" s="327"/>
      <c r="AB67" s="327"/>
      <c r="AC67" s="327"/>
      <c r="AD67" s="327"/>
      <c r="AE67" s="327"/>
      <c r="AF67" s="1158"/>
    </row>
    <row r="68" spans="1:32" x14ac:dyDescent="0.25">
      <c r="A68" s="326" t="s">
        <v>374</v>
      </c>
      <c r="B68" s="328"/>
      <c r="C68" s="639"/>
      <c r="D68" s="328"/>
      <c r="E68" s="328"/>
      <c r="F68" s="342"/>
      <c r="G68" s="342"/>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1159"/>
    </row>
    <row r="69" spans="1:32" x14ac:dyDescent="0.25">
      <c r="A69" s="1148" t="s">
        <v>408</v>
      </c>
      <c r="B69" s="1149"/>
      <c r="C69" s="1149"/>
      <c r="D69" s="1149"/>
      <c r="E69" s="1149"/>
      <c r="F69" s="1149"/>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50"/>
      <c r="AF69" s="343"/>
    </row>
    <row r="70" spans="1:32" x14ac:dyDescent="0.25">
      <c r="A70" s="326" t="s">
        <v>31</v>
      </c>
      <c r="B70" s="342">
        <f>B71+B72+B74</f>
        <v>19344.921000000006</v>
      </c>
      <c r="C70" s="342">
        <f>C71+C72+C74</f>
        <v>14855.921000000002</v>
      </c>
      <c r="D70" s="342">
        <f>D71+D72+D74</f>
        <v>14523.130000000003</v>
      </c>
      <c r="E70" s="342">
        <f>E71+E72+E74</f>
        <v>14523.130000000003</v>
      </c>
      <c r="F70" s="328">
        <f>F72</f>
        <v>75.07464103885458</v>
      </c>
      <c r="G70" s="328">
        <f>G72</f>
        <v>97.75987634829238</v>
      </c>
      <c r="H70" s="327">
        <f>H71+H72+H74</f>
        <v>8901.3209999999999</v>
      </c>
      <c r="I70" s="327">
        <f t="shared" ref="I70:AE70" si="28">I71+I72+I74</f>
        <v>8739.98</v>
      </c>
      <c r="J70" s="327">
        <f t="shared" si="28"/>
        <v>1123.9000000000001</v>
      </c>
      <c r="K70" s="327">
        <f t="shared" si="28"/>
        <v>963.86</v>
      </c>
      <c r="L70" s="327">
        <f t="shared" si="28"/>
        <v>1123.9000000000001</v>
      </c>
      <c r="M70" s="327">
        <f t="shared" si="28"/>
        <v>963.86</v>
      </c>
      <c r="N70" s="327">
        <f t="shared" si="28"/>
        <v>926.7</v>
      </c>
      <c r="O70" s="327">
        <f t="shared" si="28"/>
        <v>963.85</v>
      </c>
      <c r="P70" s="327">
        <f t="shared" si="28"/>
        <v>926.7</v>
      </c>
      <c r="Q70" s="327">
        <f t="shared" si="28"/>
        <v>963.86</v>
      </c>
      <c r="R70" s="327">
        <f t="shared" si="28"/>
        <v>926.7</v>
      </c>
      <c r="S70" s="327">
        <f t="shared" si="28"/>
        <v>963.86</v>
      </c>
      <c r="T70" s="327">
        <f t="shared" si="28"/>
        <v>926.7</v>
      </c>
      <c r="U70" s="327">
        <f t="shared" si="28"/>
        <v>963.86</v>
      </c>
      <c r="V70" s="327">
        <f t="shared" si="28"/>
        <v>926.7</v>
      </c>
      <c r="W70" s="327">
        <f t="shared" si="28"/>
        <v>0</v>
      </c>
      <c r="X70" s="327">
        <f t="shared" si="28"/>
        <v>926.7</v>
      </c>
      <c r="Y70" s="327">
        <f t="shared" si="28"/>
        <v>0</v>
      </c>
      <c r="Z70" s="327">
        <f t="shared" si="28"/>
        <v>926.7</v>
      </c>
      <c r="AA70" s="327">
        <f t="shared" si="28"/>
        <v>0</v>
      </c>
      <c r="AB70" s="327">
        <f t="shared" si="28"/>
        <v>926.7</v>
      </c>
      <c r="AC70" s="327">
        <f t="shared" si="28"/>
        <v>0</v>
      </c>
      <c r="AD70" s="327">
        <f t="shared" si="28"/>
        <v>782.2</v>
      </c>
      <c r="AE70" s="327">
        <f t="shared" si="28"/>
        <v>0</v>
      </c>
      <c r="AF70" s="1151" t="s">
        <v>630</v>
      </c>
    </row>
    <row r="71" spans="1:32" x14ac:dyDescent="0.25">
      <c r="A71" s="326" t="s">
        <v>32</v>
      </c>
      <c r="B71" s="328"/>
      <c r="C71" s="327"/>
      <c r="D71" s="328"/>
      <c r="E71" s="328"/>
      <c r="F71" s="328"/>
      <c r="G71" s="328"/>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1152"/>
    </row>
    <row r="72" spans="1:32" x14ac:dyDescent="0.25">
      <c r="A72" s="326" t="s">
        <v>33</v>
      </c>
      <c r="B72" s="328">
        <f>H72+J72+L72+N72+P72+R72+T72+V72+X72+Z72+AB72+AD72</f>
        <v>19344.921000000006</v>
      </c>
      <c r="C72" s="327">
        <f>H72+J72+L72+N72+P72+R72+T72</f>
        <v>14855.921000000002</v>
      </c>
      <c r="D72" s="328">
        <f>E72</f>
        <v>14523.130000000003</v>
      </c>
      <c r="E72" s="328">
        <f>I72+K72+M72+O72+Q72+S72+U72+W72+Y72+AA72+AC72+AE72</f>
        <v>14523.130000000003</v>
      </c>
      <c r="F72" s="328">
        <f>IFERROR(E72/B72*100,0)</f>
        <v>75.07464103885458</v>
      </c>
      <c r="G72" s="328">
        <f>IFERROR(E72/C72*100,0)</f>
        <v>97.75987634829238</v>
      </c>
      <c r="H72" s="327">
        <v>8901.3209999999999</v>
      </c>
      <c r="I72" s="327">
        <v>8739.98</v>
      </c>
      <c r="J72" s="327">
        <v>1123.9000000000001</v>
      </c>
      <c r="K72" s="327">
        <v>963.86</v>
      </c>
      <c r="L72" s="327">
        <v>1123.9000000000001</v>
      </c>
      <c r="M72" s="327">
        <v>963.86</v>
      </c>
      <c r="N72" s="327">
        <v>926.7</v>
      </c>
      <c r="O72" s="327">
        <v>963.85</v>
      </c>
      <c r="P72" s="327">
        <v>926.7</v>
      </c>
      <c r="Q72" s="327">
        <v>963.86</v>
      </c>
      <c r="R72" s="327">
        <v>926.7</v>
      </c>
      <c r="S72" s="327">
        <v>963.86</v>
      </c>
      <c r="T72" s="327">
        <v>926.7</v>
      </c>
      <c r="U72" s="327">
        <v>963.86</v>
      </c>
      <c r="V72" s="327">
        <v>926.7</v>
      </c>
      <c r="W72" s="327"/>
      <c r="X72" s="327">
        <v>926.7</v>
      </c>
      <c r="Y72" s="327"/>
      <c r="Z72" s="327">
        <v>926.7</v>
      </c>
      <c r="AA72" s="327"/>
      <c r="AB72" s="327">
        <v>926.7</v>
      </c>
      <c r="AC72" s="327"/>
      <c r="AD72" s="327">
        <v>782.2</v>
      </c>
      <c r="AE72" s="327"/>
      <c r="AF72" s="1152"/>
    </row>
    <row r="73" spans="1:32" ht="31.5" x14ac:dyDescent="0.25">
      <c r="A73" s="340" t="s">
        <v>174</v>
      </c>
      <c r="B73" s="328"/>
      <c r="C73" s="327"/>
      <c r="D73" s="328"/>
      <c r="E73" s="328"/>
      <c r="F73" s="328"/>
      <c r="G73" s="328"/>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1152"/>
    </row>
    <row r="74" spans="1:32" x14ac:dyDescent="0.25">
      <c r="A74" s="326" t="s">
        <v>374</v>
      </c>
      <c r="B74" s="328"/>
      <c r="C74" s="327"/>
      <c r="D74" s="328"/>
      <c r="E74" s="328"/>
      <c r="F74" s="328"/>
      <c r="G74" s="328"/>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1153"/>
    </row>
    <row r="75" spans="1:32" x14ac:dyDescent="0.25">
      <c r="A75" s="1148" t="s">
        <v>409</v>
      </c>
      <c r="B75" s="1149"/>
      <c r="C75" s="1149"/>
      <c r="D75" s="1149"/>
      <c r="E75" s="1149"/>
      <c r="F75" s="1149"/>
      <c r="G75" s="1149"/>
      <c r="H75" s="1149"/>
      <c r="I75" s="1149"/>
      <c r="J75" s="1149"/>
      <c r="K75" s="1149"/>
      <c r="L75" s="1149"/>
      <c r="M75" s="1149"/>
      <c r="N75" s="1149"/>
      <c r="O75" s="1149"/>
      <c r="P75" s="1149"/>
      <c r="Q75" s="1149"/>
      <c r="R75" s="1149"/>
      <c r="S75" s="1149"/>
      <c r="T75" s="1149"/>
      <c r="U75" s="1149"/>
      <c r="V75" s="1149"/>
      <c r="W75" s="1149"/>
      <c r="X75" s="1149"/>
      <c r="Y75" s="1149"/>
      <c r="Z75" s="1149"/>
      <c r="AA75" s="1149"/>
      <c r="AB75" s="1149"/>
      <c r="AC75" s="1149"/>
      <c r="AD75" s="1149"/>
      <c r="AE75" s="1150"/>
      <c r="AF75" s="325"/>
    </row>
    <row r="76" spans="1:32" x14ac:dyDescent="0.25">
      <c r="A76" s="326" t="s">
        <v>31</v>
      </c>
      <c r="B76" s="328">
        <f>B77+B78+B80</f>
        <v>6062.2990000000009</v>
      </c>
      <c r="C76" s="342">
        <f>C77+C78+C80</f>
        <v>3308.7990000000004</v>
      </c>
      <c r="D76" s="342">
        <f>D77+D78+D80</f>
        <v>3015.16</v>
      </c>
      <c r="E76" s="328">
        <f>E77+E78+E80</f>
        <v>3015.16</v>
      </c>
      <c r="F76" s="328">
        <f>F78</f>
        <v>49.736246925465068</v>
      </c>
      <c r="G76" s="328">
        <f>G78</f>
        <v>91.125511099344493</v>
      </c>
      <c r="H76" s="327">
        <f>H77+H78+H80</f>
        <v>222.51900000000001</v>
      </c>
      <c r="I76" s="327">
        <f t="shared" ref="I76:AE76" si="29">I77+I78+I80</f>
        <v>211.32</v>
      </c>
      <c r="J76" s="327">
        <f t="shared" si="29"/>
        <v>529.38</v>
      </c>
      <c r="K76" s="327">
        <f t="shared" si="29"/>
        <v>424.49</v>
      </c>
      <c r="L76" s="327">
        <f t="shared" si="29"/>
        <v>509.38</v>
      </c>
      <c r="M76" s="327">
        <f t="shared" si="29"/>
        <v>393.66</v>
      </c>
      <c r="N76" s="327">
        <f t="shared" si="29"/>
        <v>519.38</v>
      </c>
      <c r="O76" s="327">
        <f t="shared" si="29"/>
        <v>413.18</v>
      </c>
      <c r="P76" s="327">
        <f t="shared" si="29"/>
        <v>499.38</v>
      </c>
      <c r="Q76" s="327">
        <f t="shared" si="29"/>
        <v>384.97</v>
      </c>
      <c r="R76" s="327">
        <f t="shared" si="29"/>
        <v>519.38</v>
      </c>
      <c r="S76" s="327">
        <f t="shared" si="29"/>
        <v>571.28</v>
      </c>
      <c r="T76" s="327">
        <f t="shared" si="29"/>
        <v>509.38</v>
      </c>
      <c r="U76" s="327">
        <f t="shared" si="29"/>
        <v>616.26</v>
      </c>
      <c r="V76" s="327">
        <f t="shared" si="29"/>
        <v>499.38</v>
      </c>
      <c r="W76" s="327">
        <f t="shared" si="29"/>
        <v>0</v>
      </c>
      <c r="X76" s="327">
        <f t="shared" si="29"/>
        <v>509.38</v>
      </c>
      <c r="Y76" s="327">
        <f t="shared" si="29"/>
        <v>0</v>
      </c>
      <c r="Z76" s="327">
        <f t="shared" si="29"/>
        <v>509.38</v>
      </c>
      <c r="AA76" s="327">
        <f t="shared" si="29"/>
        <v>0</v>
      </c>
      <c r="AB76" s="327">
        <f t="shared" si="29"/>
        <v>509.38</v>
      </c>
      <c r="AC76" s="327">
        <f t="shared" si="29"/>
        <v>0</v>
      </c>
      <c r="AD76" s="327">
        <f t="shared" si="29"/>
        <v>725.98</v>
      </c>
      <c r="AE76" s="327">
        <f t="shared" si="29"/>
        <v>0</v>
      </c>
      <c r="AF76" s="1157" t="s">
        <v>470</v>
      </c>
    </row>
    <row r="77" spans="1:32" ht="33" customHeight="1" x14ac:dyDescent="0.25">
      <c r="A77" s="326" t="s">
        <v>32</v>
      </c>
      <c r="B77" s="328"/>
      <c r="C77" s="327"/>
      <c r="D77" s="328"/>
      <c r="E77" s="328"/>
      <c r="F77" s="328"/>
      <c r="G77" s="328"/>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1158"/>
    </row>
    <row r="78" spans="1:32" ht="118.5" customHeight="1" x14ac:dyDescent="0.25">
      <c r="A78" s="326" t="s">
        <v>33</v>
      </c>
      <c r="B78" s="328">
        <f>H78+J78+L78+N78+P78+R78+T78+V78+X78+Z78+AB78+AD78</f>
        <v>6062.2990000000009</v>
      </c>
      <c r="C78" s="327">
        <f>H78+J78+L78+N78+P78+R78+T78</f>
        <v>3308.7990000000004</v>
      </c>
      <c r="D78" s="328">
        <f>E78</f>
        <v>3015.16</v>
      </c>
      <c r="E78" s="328">
        <f>I78+K78+M78+O78+Q78+S78+U78+W78+Y78+AA78+AC78+AE78</f>
        <v>3015.16</v>
      </c>
      <c r="F78" s="328">
        <f>IFERROR(E78/B78*100,0)</f>
        <v>49.736246925465068</v>
      </c>
      <c r="G78" s="328">
        <f>IFERROR(E78/C78*100,0)</f>
        <v>91.125511099344493</v>
      </c>
      <c r="H78" s="327">
        <v>222.51900000000001</v>
      </c>
      <c r="I78" s="327">
        <v>211.32</v>
      </c>
      <c r="J78" s="327">
        <v>529.38</v>
      </c>
      <c r="K78" s="327">
        <v>424.49</v>
      </c>
      <c r="L78" s="327">
        <v>509.38</v>
      </c>
      <c r="M78" s="327">
        <v>393.66</v>
      </c>
      <c r="N78" s="327">
        <v>519.38</v>
      </c>
      <c r="O78" s="327">
        <v>413.18</v>
      </c>
      <c r="P78" s="327">
        <v>499.38</v>
      </c>
      <c r="Q78" s="327">
        <v>384.97</v>
      </c>
      <c r="R78" s="327">
        <v>519.38</v>
      </c>
      <c r="S78" s="327">
        <v>571.28</v>
      </c>
      <c r="T78" s="327">
        <v>509.38</v>
      </c>
      <c r="U78" s="327">
        <v>616.26</v>
      </c>
      <c r="V78" s="327">
        <v>499.38</v>
      </c>
      <c r="W78" s="327"/>
      <c r="X78" s="327">
        <v>509.38</v>
      </c>
      <c r="Y78" s="327"/>
      <c r="Z78" s="327">
        <v>509.38</v>
      </c>
      <c r="AA78" s="327"/>
      <c r="AB78" s="327">
        <v>509.38</v>
      </c>
      <c r="AC78" s="327"/>
      <c r="AD78" s="327">
        <v>725.98</v>
      </c>
      <c r="AE78" s="327"/>
      <c r="AF78" s="1158"/>
    </row>
    <row r="79" spans="1:32" ht="42" customHeight="1" x14ac:dyDescent="0.25">
      <c r="A79" s="340" t="s">
        <v>174</v>
      </c>
      <c r="B79" s="328"/>
      <c r="C79" s="327"/>
      <c r="D79" s="328"/>
      <c r="E79" s="328"/>
      <c r="F79" s="328"/>
      <c r="G79" s="328"/>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1158"/>
    </row>
    <row r="80" spans="1:32" ht="63" customHeight="1" x14ac:dyDescent="0.25">
      <c r="A80" s="326" t="s">
        <v>374</v>
      </c>
      <c r="B80" s="328"/>
      <c r="C80" s="327"/>
      <c r="D80" s="328"/>
      <c r="E80" s="328"/>
      <c r="F80" s="328"/>
      <c r="G80" s="328"/>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1159"/>
    </row>
    <row r="81" spans="1:32" x14ac:dyDescent="0.25">
      <c r="A81" s="1148" t="s">
        <v>410</v>
      </c>
      <c r="B81" s="1149"/>
      <c r="C81" s="1149"/>
      <c r="D81" s="1149"/>
      <c r="E81" s="1149"/>
      <c r="F81" s="1149"/>
      <c r="G81" s="1149"/>
      <c r="H81" s="1149"/>
      <c r="I81" s="1149"/>
      <c r="J81" s="1149"/>
      <c r="K81" s="1149"/>
      <c r="L81" s="1149"/>
      <c r="M81" s="1149"/>
      <c r="N81" s="1149"/>
      <c r="O81" s="1149"/>
      <c r="P81" s="1149"/>
      <c r="Q81" s="1149"/>
      <c r="R81" s="1149"/>
      <c r="S81" s="1149"/>
      <c r="T81" s="1149"/>
      <c r="U81" s="1149"/>
      <c r="V81" s="1149"/>
      <c r="W81" s="1149"/>
      <c r="X81" s="1149"/>
      <c r="Y81" s="1149"/>
      <c r="Z81" s="1149"/>
      <c r="AA81" s="1149"/>
      <c r="AB81" s="1149"/>
      <c r="AC81" s="1149"/>
      <c r="AD81" s="1149"/>
      <c r="AE81" s="1150"/>
      <c r="AF81" s="344"/>
    </row>
    <row r="82" spans="1:32" ht="24.75" customHeight="1" x14ac:dyDescent="0.25">
      <c r="A82" s="326" t="s">
        <v>31</v>
      </c>
      <c r="B82" s="342">
        <f>B83+B84+B86</f>
        <v>767.6</v>
      </c>
      <c r="C82" s="342">
        <f>C83+C84+C86</f>
        <v>361.29999999999995</v>
      </c>
      <c r="D82" s="342">
        <f>D83+D84+D86</f>
        <v>153.10000000000002</v>
      </c>
      <c r="E82" s="328">
        <f>E83+E84+E86</f>
        <v>153.10000000000002</v>
      </c>
      <c r="F82" s="328">
        <f>F84</f>
        <v>19.945284002084421</v>
      </c>
      <c r="G82" s="328">
        <f>G84</f>
        <v>42.374757818987</v>
      </c>
      <c r="H82" s="327">
        <f>H83+H84+H86</f>
        <v>22.8</v>
      </c>
      <c r="I82" s="327">
        <f t="shared" ref="I82:AE82" si="30">I83+I84+I86</f>
        <v>22.8</v>
      </c>
      <c r="J82" s="327">
        <f t="shared" si="30"/>
        <v>67.7</v>
      </c>
      <c r="K82" s="327">
        <f t="shared" si="30"/>
        <v>16.8</v>
      </c>
      <c r="L82" s="327">
        <f t="shared" si="30"/>
        <v>67.7</v>
      </c>
      <c r="M82" s="327">
        <f t="shared" si="30"/>
        <v>28.6</v>
      </c>
      <c r="N82" s="327">
        <f t="shared" si="30"/>
        <v>67.7</v>
      </c>
      <c r="O82" s="327">
        <f t="shared" si="30"/>
        <v>22.7</v>
      </c>
      <c r="P82" s="327">
        <f t="shared" si="30"/>
        <v>67.7</v>
      </c>
      <c r="Q82" s="327">
        <f t="shared" si="30"/>
        <v>16.8</v>
      </c>
      <c r="R82" s="327">
        <f t="shared" si="30"/>
        <v>67.7</v>
      </c>
      <c r="S82" s="327">
        <f t="shared" si="30"/>
        <v>28.6</v>
      </c>
      <c r="T82" s="327">
        <f t="shared" si="30"/>
        <v>67.7</v>
      </c>
      <c r="U82" s="327">
        <f t="shared" si="30"/>
        <v>16.8</v>
      </c>
      <c r="V82" s="327">
        <f t="shared" si="30"/>
        <v>67.7</v>
      </c>
      <c r="W82" s="327">
        <f t="shared" si="30"/>
        <v>0</v>
      </c>
      <c r="X82" s="327">
        <f t="shared" si="30"/>
        <v>67.7</v>
      </c>
      <c r="Y82" s="327">
        <f t="shared" si="30"/>
        <v>0</v>
      </c>
      <c r="Z82" s="327">
        <f t="shared" si="30"/>
        <v>67.7</v>
      </c>
      <c r="AA82" s="327">
        <f t="shared" si="30"/>
        <v>0</v>
      </c>
      <c r="AB82" s="327">
        <f t="shared" si="30"/>
        <v>67.7</v>
      </c>
      <c r="AC82" s="327">
        <f t="shared" si="30"/>
        <v>0</v>
      </c>
      <c r="AD82" s="327">
        <f t="shared" si="30"/>
        <v>67.8</v>
      </c>
      <c r="AE82" s="327">
        <f t="shared" si="30"/>
        <v>0</v>
      </c>
      <c r="AF82" s="1157" t="s">
        <v>479</v>
      </c>
    </row>
    <row r="83" spans="1:32" ht="42" customHeight="1" x14ac:dyDescent="0.25">
      <c r="A83" s="326" t="s">
        <v>32</v>
      </c>
      <c r="B83" s="328"/>
      <c r="C83" s="327"/>
      <c r="D83" s="328"/>
      <c r="E83" s="328"/>
      <c r="F83" s="328"/>
      <c r="G83" s="328"/>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1158"/>
    </row>
    <row r="84" spans="1:32" ht="34.5" customHeight="1" x14ac:dyDescent="0.25">
      <c r="A84" s="326" t="s">
        <v>33</v>
      </c>
      <c r="B84" s="328">
        <f>H84+J84+L84+N84+P84+R84+T84+V84+X84+Z84+AB84+AD84</f>
        <v>767.6</v>
      </c>
      <c r="C84" s="327">
        <f>H84+J84+L84+N84+P84+R84</f>
        <v>361.29999999999995</v>
      </c>
      <c r="D84" s="328">
        <f>E84</f>
        <v>153.10000000000002</v>
      </c>
      <c r="E84" s="328">
        <f>I84+K84+M84+O84+Q84+S84+U84+W84+Y84+AA84+AC84+AE84</f>
        <v>153.10000000000002</v>
      </c>
      <c r="F84" s="328">
        <f>IFERROR(E84/B84*100,0)</f>
        <v>19.945284002084421</v>
      </c>
      <c r="G84" s="328">
        <f>IFERROR(E84/C84*100,0)</f>
        <v>42.374757818987</v>
      </c>
      <c r="H84" s="327">
        <v>22.8</v>
      </c>
      <c r="I84" s="327">
        <v>22.8</v>
      </c>
      <c r="J84" s="327">
        <v>67.7</v>
      </c>
      <c r="K84" s="327">
        <v>16.8</v>
      </c>
      <c r="L84" s="327">
        <v>67.7</v>
      </c>
      <c r="M84" s="327">
        <v>28.6</v>
      </c>
      <c r="N84" s="327">
        <v>67.7</v>
      </c>
      <c r="O84" s="327">
        <v>22.7</v>
      </c>
      <c r="P84" s="327">
        <v>67.7</v>
      </c>
      <c r="Q84" s="327">
        <v>16.8</v>
      </c>
      <c r="R84" s="327">
        <v>67.7</v>
      </c>
      <c r="S84" s="327">
        <v>28.6</v>
      </c>
      <c r="T84" s="327">
        <v>67.7</v>
      </c>
      <c r="U84" s="327">
        <v>16.8</v>
      </c>
      <c r="V84" s="327">
        <v>67.7</v>
      </c>
      <c r="W84" s="327"/>
      <c r="X84" s="327">
        <v>67.7</v>
      </c>
      <c r="Y84" s="327"/>
      <c r="Z84" s="327">
        <v>67.7</v>
      </c>
      <c r="AA84" s="327"/>
      <c r="AB84" s="327">
        <v>67.7</v>
      </c>
      <c r="AC84" s="327"/>
      <c r="AD84" s="327">
        <v>67.8</v>
      </c>
      <c r="AE84" s="327"/>
      <c r="AF84" s="1158"/>
    </row>
    <row r="85" spans="1:32" ht="45" customHeight="1" x14ac:dyDescent="0.25">
      <c r="A85" s="340" t="s">
        <v>174</v>
      </c>
      <c r="B85" s="328"/>
      <c r="C85" s="327"/>
      <c r="D85" s="328"/>
      <c r="E85" s="328"/>
      <c r="F85" s="328"/>
      <c r="G85" s="328"/>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1158"/>
    </row>
    <row r="86" spans="1:32" x14ac:dyDescent="0.25">
      <c r="A86" s="326" t="s">
        <v>374</v>
      </c>
      <c r="B86" s="328"/>
      <c r="C86" s="327"/>
      <c r="D86" s="328"/>
      <c r="E86" s="328"/>
      <c r="F86" s="328"/>
      <c r="G86" s="328"/>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1159"/>
    </row>
    <row r="87" spans="1:32" x14ac:dyDescent="0.25">
      <c r="A87" s="1148" t="s">
        <v>411</v>
      </c>
      <c r="B87" s="1149"/>
      <c r="C87" s="1149"/>
      <c r="D87" s="1149"/>
      <c r="E87" s="1149"/>
      <c r="F87" s="1149"/>
      <c r="G87" s="1149"/>
      <c r="H87" s="1149"/>
      <c r="I87" s="1149"/>
      <c r="J87" s="1149"/>
      <c r="K87" s="1149"/>
      <c r="L87" s="1149"/>
      <c r="M87" s="1149"/>
      <c r="N87" s="1149"/>
      <c r="O87" s="1149"/>
      <c r="P87" s="1149"/>
      <c r="Q87" s="1149"/>
      <c r="R87" s="1149"/>
      <c r="S87" s="1149"/>
      <c r="T87" s="1149"/>
      <c r="U87" s="1149"/>
      <c r="V87" s="1149"/>
      <c r="W87" s="1149"/>
      <c r="X87" s="1149"/>
      <c r="Y87" s="1149"/>
      <c r="Z87" s="1149"/>
      <c r="AA87" s="1149"/>
      <c r="AB87" s="1149"/>
      <c r="AC87" s="1149"/>
      <c r="AD87" s="1149"/>
      <c r="AE87" s="1150"/>
      <c r="AF87" s="344"/>
    </row>
    <row r="88" spans="1:32" x14ac:dyDescent="0.25">
      <c r="A88" s="326" t="s">
        <v>31</v>
      </c>
      <c r="B88" s="342">
        <f>B89+B90+B92</f>
        <v>7140.6</v>
      </c>
      <c r="C88" s="342">
        <f>C89+C90+C92</f>
        <v>275</v>
      </c>
      <c r="D88" s="342">
        <f>D89+D90+D92</f>
        <v>275</v>
      </c>
      <c r="E88" s="328">
        <f>E89+E90+E92</f>
        <v>275</v>
      </c>
      <c r="F88" s="328">
        <f>F90</f>
        <v>3.8512169845671229</v>
      </c>
      <c r="G88" s="328">
        <f>G90</f>
        <v>100</v>
      </c>
      <c r="H88" s="327">
        <f>H89+H90+H92</f>
        <v>0</v>
      </c>
      <c r="I88" s="327">
        <f t="shared" ref="I88:AE88" si="31">I89+I90+I92</f>
        <v>0</v>
      </c>
      <c r="J88" s="327">
        <f t="shared" si="31"/>
        <v>0</v>
      </c>
      <c r="K88" s="327">
        <f t="shared" si="31"/>
        <v>0</v>
      </c>
      <c r="L88" s="327">
        <f t="shared" si="31"/>
        <v>0</v>
      </c>
      <c r="M88" s="327">
        <f t="shared" si="31"/>
        <v>0</v>
      </c>
      <c r="N88" s="327">
        <f t="shared" si="31"/>
        <v>0</v>
      </c>
      <c r="O88" s="327">
        <f t="shared" si="31"/>
        <v>0</v>
      </c>
      <c r="P88" s="327">
        <f t="shared" si="31"/>
        <v>0</v>
      </c>
      <c r="Q88" s="327">
        <f t="shared" si="31"/>
        <v>0</v>
      </c>
      <c r="R88" s="327">
        <f t="shared" si="31"/>
        <v>0</v>
      </c>
      <c r="S88" s="327">
        <f t="shared" si="31"/>
        <v>0</v>
      </c>
      <c r="T88" s="327">
        <f t="shared" si="31"/>
        <v>275</v>
      </c>
      <c r="U88" s="327">
        <f t="shared" si="31"/>
        <v>275</v>
      </c>
      <c r="V88" s="327">
        <f t="shared" si="31"/>
        <v>0</v>
      </c>
      <c r="W88" s="327">
        <f t="shared" si="31"/>
        <v>0</v>
      </c>
      <c r="X88" s="327">
        <f t="shared" si="31"/>
        <v>0</v>
      </c>
      <c r="Y88" s="327">
        <f t="shared" si="31"/>
        <v>0</v>
      </c>
      <c r="Z88" s="327">
        <f t="shared" si="31"/>
        <v>6865.6</v>
      </c>
      <c r="AA88" s="327">
        <f t="shared" si="31"/>
        <v>0</v>
      </c>
      <c r="AB88" s="327">
        <f t="shared" si="31"/>
        <v>0</v>
      </c>
      <c r="AC88" s="327">
        <f t="shared" si="31"/>
        <v>0</v>
      </c>
      <c r="AD88" s="327">
        <f t="shared" si="31"/>
        <v>0</v>
      </c>
      <c r="AE88" s="327">
        <f t="shared" si="31"/>
        <v>0</v>
      </c>
      <c r="AF88" s="1160" t="s">
        <v>566</v>
      </c>
    </row>
    <row r="89" spans="1:32" ht="57" customHeight="1" x14ac:dyDescent="0.25">
      <c r="A89" s="326" t="s">
        <v>32</v>
      </c>
      <c r="B89" s="328"/>
      <c r="C89" s="327"/>
      <c r="D89" s="328"/>
      <c r="E89" s="328"/>
      <c r="F89" s="336"/>
      <c r="G89" s="336"/>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1161"/>
    </row>
    <row r="90" spans="1:32" ht="81.75" customHeight="1" x14ac:dyDescent="0.25">
      <c r="A90" s="675" t="s">
        <v>33</v>
      </c>
      <c r="B90" s="328">
        <f>H90+J90+L90+N90+P90+R90+T90+V90+X90+Z90+AB90+AD90</f>
        <v>7140.6</v>
      </c>
      <c r="C90" s="327">
        <f>H90+J90+L90+N90+P90+R90+T90</f>
        <v>275</v>
      </c>
      <c r="D90" s="328">
        <f>E90</f>
        <v>275</v>
      </c>
      <c r="E90" s="328">
        <f>I90+K90+M90+O90+Q90+S90+U90+W90+Y90+AA90+AC90+AE90</f>
        <v>275</v>
      </c>
      <c r="F90" s="336">
        <f>IFERROR(E90/B90%,0)</f>
        <v>3.8512169845671229</v>
      </c>
      <c r="G90" s="336">
        <f>IFERROR(E90/C90%,0)</f>
        <v>100</v>
      </c>
      <c r="H90" s="327"/>
      <c r="I90" s="327"/>
      <c r="J90" s="327"/>
      <c r="K90" s="327"/>
      <c r="L90" s="327"/>
      <c r="M90" s="327"/>
      <c r="N90" s="327"/>
      <c r="O90" s="327"/>
      <c r="P90" s="327"/>
      <c r="Q90" s="327"/>
      <c r="R90" s="327"/>
      <c r="S90" s="327"/>
      <c r="T90" s="327">
        <v>275</v>
      </c>
      <c r="U90" s="327">
        <v>275</v>
      </c>
      <c r="V90" s="327"/>
      <c r="W90" s="327"/>
      <c r="X90" s="327"/>
      <c r="Y90" s="327"/>
      <c r="Z90" s="327">
        <v>6865.6</v>
      </c>
      <c r="AA90" s="327"/>
      <c r="AB90" s="327"/>
      <c r="AC90" s="327"/>
      <c r="AD90" s="327"/>
      <c r="AE90" s="327"/>
      <c r="AF90" s="1161"/>
    </row>
    <row r="91" spans="1:32" ht="100.5" customHeight="1" x14ac:dyDescent="0.25">
      <c r="A91" s="340" t="s">
        <v>174</v>
      </c>
      <c r="B91" s="328"/>
      <c r="C91" s="327"/>
      <c r="D91" s="328"/>
      <c r="E91" s="328"/>
      <c r="F91" s="336"/>
      <c r="G91" s="336"/>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1161"/>
    </row>
    <row r="92" spans="1:32" x14ac:dyDescent="0.25">
      <c r="A92" s="326" t="s">
        <v>374</v>
      </c>
      <c r="B92" s="328"/>
      <c r="C92" s="327"/>
      <c r="D92" s="328"/>
      <c r="E92" s="328"/>
      <c r="F92" s="336"/>
      <c r="G92" s="336"/>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1162"/>
    </row>
    <row r="93" spans="1:32" x14ac:dyDescent="0.25">
      <c r="A93" s="1148" t="s">
        <v>480</v>
      </c>
      <c r="B93" s="1149"/>
      <c r="C93" s="1149"/>
      <c r="D93" s="1149"/>
      <c r="E93" s="1149"/>
      <c r="F93" s="1149"/>
      <c r="G93" s="1149"/>
      <c r="H93" s="1149"/>
      <c r="I93" s="1149"/>
      <c r="J93" s="1149"/>
      <c r="K93" s="1149"/>
      <c r="L93" s="1149"/>
      <c r="M93" s="1149"/>
      <c r="N93" s="1149"/>
      <c r="O93" s="1149"/>
      <c r="P93" s="1149"/>
      <c r="Q93" s="1149"/>
      <c r="R93" s="1149"/>
      <c r="S93" s="1149"/>
      <c r="T93" s="1149"/>
      <c r="U93" s="1149"/>
      <c r="V93" s="1149"/>
      <c r="W93" s="1149"/>
      <c r="X93" s="1149"/>
      <c r="Y93" s="1149"/>
      <c r="Z93" s="1149"/>
      <c r="AA93" s="1149"/>
      <c r="AB93" s="1149"/>
      <c r="AC93" s="1149"/>
      <c r="AD93" s="1149"/>
      <c r="AE93" s="1150"/>
      <c r="AF93" s="345"/>
    </row>
    <row r="94" spans="1:32" x14ac:dyDescent="0.25">
      <c r="A94" s="326" t="s">
        <v>31</v>
      </c>
      <c r="B94" s="342">
        <f>B95+B96+B98</f>
        <v>500</v>
      </c>
      <c r="C94" s="342">
        <f>C95+C96+C98</f>
        <v>0</v>
      </c>
      <c r="D94" s="342">
        <f>D95+D96+D98</f>
        <v>0</v>
      </c>
      <c r="E94" s="328">
        <f>E95+E96+E98</f>
        <v>0</v>
      </c>
      <c r="F94" s="328">
        <f>F96</f>
        <v>0</v>
      </c>
      <c r="G94" s="328">
        <f>G96</f>
        <v>0</v>
      </c>
      <c r="H94" s="327">
        <f>H95+H96+H98</f>
        <v>0</v>
      </c>
      <c r="I94" s="327">
        <f t="shared" ref="I94:AE94" si="32">I95+I96+I98</f>
        <v>0</v>
      </c>
      <c r="J94" s="327">
        <f t="shared" si="32"/>
        <v>0</v>
      </c>
      <c r="K94" s="327">
        <f t="shared" si="32"/>
        <v>0</v>
      </c>
      <c r="L94" s="327">
        <f t="shared" si="32"/>
        <v>0</v>
      </c>
      <c r="M94" s="327">
        <f t="shared" si="32"/>
        <v>0</v>
      </c>
      <c r="N94" s="327">
        <f t="shared" si="32"/>
        <v>0</v>
      </c>
      <c r="O94" s="327">
        <f t="shared" si="32"/>
        <v>0</v>
      </c>
      <c r="P94" s="327">
        <f t="shared" si="32"/>
        <v>0</v>
      </c>
      <c r="Q94" s="327">
        <f t="shared" si="32"/>
        <v>0</v>
      </c>
      <c r="R94" s="327">
        <f t="shared" si="32"/>
        <v>0</v>
      </c>
      <c r="S94" s="327">
        <f t="shared" si="32"/>
        <v>0</v>
      </c>
      <c r="T94" s="327">
        <f t="shared" si="32"/>
        <v>0</v>
      </c>
      <c r="U94" s="327">
        <f t="shared" si="32"/>
        <v>0</v>
      </c>
      <c r="V94" s="327">
        <f t="shared" si="32"/>
        <v>0</v>
      </c>
      <c r="W94" s="327">
        <f t="shared" si="32"/>
        <v>0</v>
      </c>
      <c r="X94" s="327">
        <f t="shared" si="32"/>
        <v>0</v>
      </c>
      <c r="Y94" s="327">
        <f t="shared" si="32"/>
        <v>0</v>
      </c>
      <c r="Z94" s="327">
        <f t="shared" si="32"/>
        <v>500</v>
      </c>
      <c r="AA94" s="327">
        <f t="shared" si="32"/>
        <v>0</v>
      </c>
      <c r="AB94" s="327">
        <f t="shared" si="32"/>
        <v>0</v>
      </c>
      <c r="AC94" s="327">
        <f t="shared" si="32"/>
        <v>0</v>
      </c>
      <c r="AD94" s="327">
        <f t="shared" si="32"/>
        <v>0</v>
      </c>
      <c r="AE94" s="327">
        <f t="shared" si="32"/>
        <v>0</v>
      </c>
      <c r="AF94" s="1161" t="s">
        <v>543</v>
      </c>
    </row>
    <row r="95" spans="1:32" x14ac:dyDescent="0.25">
      <c r="A95" s="326" t="s">
        <v>32</v>
      </c>
      <c r="B95" s="328"/>
      <c r="C95" s="327"/>
      <c r="D95" s="328"/>
      <c r="E95" s="328"/>
      <c r="F95" s="336"/>
      <c r="G95" s="336"/>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1161"/>
    </row>
    <row r="96" spans="1:32" x14ac:dyDescent="0.25">
      <c r="A96" s="326" t="s">
        <v>33</v>
      </c>
      <c r="B96" s="328">
        <f>H96+J96+L96+N96+P96+R96+T96+V96+X96+Z96+AB96+AD96</f>
        <v>500</v>
      </c>
      <c r="C96" s="327">
        <f>H96+J96+L96+N96+P96+R96+T96</f>
        <v>0</v>
      </c>
      <c r="D96" s="328">
        <f>E96</f>
        <v>0</v>
      </c>
      <c r="E96" s="328">
        <f>I96+K96+M96+O96+Q96+S96+U96+W96+Y96+AA96+AC96+AE96</f>
        <v>0</v>
      </c>
      <c r="F96" s="336">
        <f>IFERROR(E96/B96%,0)</f>
        <v>0</v>
      </c>
      <c r="G96" s="336">
        <f>IFERROR(E96/C96%,0)</f>
        <v>0</v>
      </c>
      <c r="H96" s="327"/>
      <c r="I96" s="327"/>
      <c r="J96" s="327"/>
      <c r="K96" s="327"/>
      <c r="L96" s="327"/>
      <c r="M96" s="327"/>
      <c r="N96" s="327"/>
      <c r="O96" s="327"/>
      <c r="P96" s="327"/>
      <c r="Q96" s="327"/>
      <c r="R96" s="327"/>
      <c r="S96" s="327"/>
      <c r="T96" s="327"/>
      <c r="U96" s="327"/>
      <c r="V96" s="327"/>
      <c r="W96" s="327"/>
      <c r="X96" s="327"/>
      <c r="Y96" s="327"/>
      <c r="Z96" s="327">
        <v>500</v>
      </c>
      <c r="AA96" s="327"/>
      <c r="AB96" s="327"/>
      <c r="AC96" s="327"/>
      <c r="AD96" s="327"/>
      <c r="AE96" s="327"/>
      <c r="AF96" s="1161"/>
    </row>
    <row r="97" spans="1:32" ht="31.5" x14ac:dyDescent="0.25">
      <c r="A97" s="340" t="s">
        <v>174</v>
      </c>
      <c r="B97" s="328"/>
      <c r="C97" s="327"/>
      <c r="D97" s="328"/>
      <c r="E97" s="328"/>
      <c r="F97" s="336"/>
      <c r="G97" s="336"/>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1161"/>
    </row>
    <row r="98" spans="1:32" x14ac:dyDescent="0.25">
      <c r="A98" s="326" t="s">
        <v>374</v>
      </c>
      <c r="B98" s="328"/>
      <c r="C98" s="327"/>
      <c r="D98" s="328"/>
      <c r="E98" s="328"/>
      <c r="F98" s="336"/>
      <c r="G98" s="336"/>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1161"/>
    </row>
    <row r="99" spans="1:32" ht="63" x14ac:dyDescent="0.25">
      <c r="A99" s="1011" t="s">
        <v>544</v>
      </c>
      <c r="B99" s="849"/>
      <c r="C99" s="850"/>
      <c r="D99" s="849"/>
      <c r="E99" s="849"/>
      <c r="F99" s="851"/>
      <c r="G99" s="851"/>
      <c r="H99" s="850"/>
      <c r="I99" s="850"/>
      <c r="J99" s="850"/>
      <c r="K99" s="850"/>
      <c r="L99" s="850"/>
      <c r="M99" s="850"/>
      <c r="N99" s="850"/>
      <c r="O99" s="850"/>
      <c r="P99" s="850"/>
      <c r="Q99" s="850"/>
      <c r="R99" s="850"/>
      <c r="S99" s="850"/>
      <c r="T99" s="850"/>
      <c r="U99" s="850"/>
      <c r="V99" s="850"/>
      <c r="W99" s="850"/>
      <c r="X99" s="850"/>
      <c r="Y99" s="850"/>
      <c r="Z99" s="850"/>
      <c r="AA99" s="850"/>
      <c r="AB99" s="850"/>
      <c r="AC99" s="850"/>
      <c r="AD99" s="850"/>
      <c r="AE99" s="852"/>
      <c r="AF99" s="848"/>
    </row>
    <row r="100" spans="1:32" x14ac:dyDescent="0.25">
      <c r="A100" s="326" t="s">
        <v>31</v>
      </c>
      <c r="B100" s="342">
        <f>B101+B102+B104</f>
        <v>3446.8599999999997</v>
      </c>
      <c r="C100" s="342">
        <f>C101+C102+C104</f>
        <v>0</v>
      </c>
      <c r="D100" s="342">
        <f>D101+D102+D104</f>
        <v>0</v>
      </c>
      <c r="E100" s="328">
        <f>E101+E102+E104</f>
        <v>0</v>
      </c>
      <c r="F100" s="361">
        <f>F102</f>
        <v>0</v>
      </c>
      <c r="G100" s="361">
        <f>G102</f>
        <v>0</v>
      </c>
      <c r="H100" s="327">
        <f t="shared" ref="H100:AE100" si="33">H101+H102+H104</f>
        <v>0</v>
      </c>
      <c r="I100" s="327">
        <f t="shared" si="33"/>
        <v>0</v>
      </c>
      <c r="J100" s="327">
        <f t="shared" si="33"/>
        <v>0</v>
      </c>
      <c r="K100" s="327">
        <f t="shared" si="33"/>
        <v>0</v>
      </c>
      <c r="L100" s="327">
        <f t="shared" si="33"/>
        <v>0</v>
      </c>
      <c r="M100" s="327">
        <f t="shared" si="33"/>
        <v>0</v>
      </c>
      <c r="N100" s="327">
        <f t="shared" si="33"/>
        <v>0</v>
      </c>
      <c r="O100" s="327">
        <f t="shared" si="33"/>
        <v>0</v>
      </c>
      <c r="P100" s="327">
        <f t="shared" si="33"/>
        <v>0</v>
      </c>
      <c r="Q100" s="327">
        <f t="shared" si="33"/>
        <v>0</v>
      </c>
      <c r="R100" s="327">
        <f t="shared" si="33"/>
        <v>0</v>
      </c>
      <c r="S100" s="327">
        <f t="shared" si="33"/>
        <v>0</v>
      </c>
      <c r="T100" s="327">
        <f t="shared" si="33"/>
        <v>0</v>
      </c>
      <c r="U100" s="327">
        <f t="shared" si="33"/>
        <v>0</v>
      </c>
      <c r="V100" s="327">
        <f t="shared" si="33"/>
        <v>3446.8599999999997</v>
      </c>
      <c r="W100" s="327">
        <f t="shared" si="33"/>
        <v>0</v>
      </c>
      <c r="X100" s="327">
        <f t="shared" si="33"/>
        <v>0</v>
      </c>
      <c r="Y100" s="327">
        <f t="shared" si="33"/>
        <v>0</v>
      </c>
      <c r="Z100" s="327">
        <f t="shared" si="33"/>
        <v>0</v>
      </c>
      <c r="AA100" s="327">
        <f t="shared" si="33"/>
        <v>0</v>
      </c>
      <c r="AB100" s="327">
        <f t="shared" si="33"/>
        <v>0</v>
      </c>
      <c r="AC100" s="327">
        <f t="shared" si="33"/>
        <v>0</v>
      </c>
      <c r="AD100" s="327">
        <f t="shared" si="33"/>
        <v>0</v>
      </c>
      <c r="AE100" s="327">
        <f t="shared" si="33"/>
        <v>0</v>
      </c>
      <c r="AF100" s="853" t="s">
        <v>545</v>
      </c>
    </row>
    <row r="101" spans="1:32" ht="78.75" x14ac:dyDescent="0.25">
      <c r="A101" s="326" t="s">
        <v>32</v>
      </c>
      <c r="B101" s="328"/>
      <c r="C101" s="327"/>
      <c r="D101" s="328"/>
      <c r="E101" s="328"/>
      <c r="F101" s="336"/>
      <c r="G101" s="336"/>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848" t="s">
        <v>608</v>
      </c>
    </row>
    <row r="102" spans="1:32" x14ac:dyDescent="0.25">
      <c r="A102" s="326" t="s">
        <v>33</v>
      </c>
      <c r="B102" s="328">
        <f>H102+J102+L102+N102+P102+R102+T102+V102+X102+Z102+AB102+AD102</f>
        <v>3446.8599999999997</v>
      </c>
      <c r="C102" s="327">
        <f>H102+J102+L102+N102+P102+R102+T102</f>
        <v>0</v>
      </c>
      <c r="D102" s="328">
        <f>E102</f>
        <v>0</v>
      </c>
      <c r="E102" s="328">
        <f>I102+K102+M102+O102+Q102+S102+U102+W102+Y102+AA102+AC102+AE102</f>
        <v>0</v>
      </c>
      <c r="F102" s="336">
        <f>IFERROR(E102/B102%,0)</f>
        <v>0</v>
      </c>
      <c r="G102" s="336">
        <f>IFERROR(E102/C102%,0)</f>
        <v>0</v>
      </c>
      <c r="H102" s="327"/>
      <c r="I102" s="327"/>
      <c r="J102" s="327"/>
      <c r="K102" s="327"/>
      <c r="L102" s="327"/>
      <c r="M102" s="327"/>
      <c r="N102" s="327"/>
      <c r="O102" s="327"/>
      <c r="P102" s="327"/>
      <c r="Q102" s="327"/>
      <c r="R102" s="327"/>
      <c r="S102" s="327"/>
      <c r="T102" s="327"/>
      <c r="U102" s="327"/>
      <c r="V102" s="327">
        <f>2333.75+1113.11</f>
        <v>3446.8599999999997</v>
      </c>
      <c r="W102" s="327"/>
      <c r="X102" s="327"/>
      <c r="Y102" s="327"/>
      <c r="Z102" s="327"/>
      <c r="AA102" s="327"/>
      <c r="AB102" s="327"/>
      <c r="AC102" s="327"/>
      <c r="AD102" s="327"/>
      <c r="AE102" s="327"/>
      <c r="AF102" s="848"/>
    </row>
    <row r="103" spans="1:32" ht="31.5" x14ac:dyDescent="0.25">
      <c r="A103" s="340" t="s">
        <v>174</v>
      </c>
      <c r="B103" s="328"/>
      <c r="C103" s="327"/>
      <c r="D103" s="328"/>
      <c r="E103" s="328"/>
      <c r="F103" s="336"/>
      <c r="G103" s="336"/>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848"/>
    </row>
    <row r="104" spans="1:32" x14ac:dyDescent="0.25">
      <c r="A104" s="326" t="s">
        <v>374</v>
      </c>
      <c r="B104" s="328"/>
      <c r="C104" s="327"/>
      <c r="D104" s="328"/>
      <c r="E104" s="328"/>
      <c r="F104" s="336"/>
      <c r="G104" s="336"/>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848"/>
    </row>
    <row r="105" spans="1:32" x14ac:dyDescent="0.25">
      <c r="A105" s="1142" t="s">
        <v>412</v>
      </c>
      <c r="B105" s="1143"/>
      <c r="C105" s="1143"/>
      <c r="D105" s="1143"/>
      <c r="E105" s="1143"/>
      <c r="F105" s="1143"/>
      <c r="G105" s="1143"/>
      <c r="H105" s="1143"/>
      <c r="I105" s="1143"/>
      <c r="J105" s="1143"/>
      <c r="K105" s="1143"/>
      <c r="L105" s="1143"/>
      <c r="M105" s="1143"/>
      <c r="N105" s="1143"/>
      <c r="O105" s="1143"/>
      <c r="P105" s="1143"/>
      <c r="Q105" s="1143"/>
      <c r="R105" s="1143"/>
      <c r="S105" s="1143"/>
      <c r="T105" s="1143"/>
      <c r="U105" s="1143"/>
      <c r="V105" s="1143"/>
      <c r="W105" s="1143"/>
      <c r="X105" s="1143"/>
      <c r="Y105" s="1143"/>
      <c r="Z105" s="1143"/>
      <c r="AA105" s="1143"/>
      <c r="AB105" s="1143"/>
      <c r="AC105" s="1143"/>
      <c r="AD105" s="1143"/>
      <c r="AE105" s="1144"/>
      <c r="AF105" s="345"/>
    </row>
    <row r="106" spans="1:32" x14ac:dyDescent="0.25">
      <c r="A106" s="326" t="s">
        <v>31</v>
      </c>
      <c r="B106" s="342">
        <f>B107+B108+B110</f>
        <v>4262.7</v>
      </c>
      <c r="C106" s="342">
        <f>C107+C108+C110</f>
        <v>0</v>
      </c>
      <c r="D106" s="342">
        <f>D107+D108+D110</f>
        <v>0</v>
      </c>
      <c r="E106" s="328">
        <f>E107+E108+E110</f>
        <v>0</v>
      </c>
      <c r="F106" s="328">
        <f>F108</f>
        <v>0</v>
      </c>
      <c r="G106" s="328">
        <f>G108</f>
        <v>0</v>
      </c>
      <c r="H106" s="327">
        <f>H107+H108+H110</f>
        <v>0</v>
      </c>
      <c r="I106" s="327">
        <f t="shared" ref="I106:AE106" si="34">I107+I108+I110</f>
        <v>0</v>
      </c>
      <c r="J106" s="327">
        <f t="shared" si="34"/>
        <v>0</v>
      </c>
      <c r="K106" s="327">
        <f t="shared" si="34"/>
        <v>0</v>
      </c>
      <c r="L106" s="327">
        <f t="shared" si="34"/>
        <v>0</v>
      </c>
      <c r="M106" s="327">
        <f t="shared" si="34"/>
        <v>0</v>
      </c>
      <c r="N106" s="327">
        <f t="shared" si="34"/>
        <v>0</v>
      </c>
      <c r="O106" s="327">
        <f t="shared" si="34"/>
        <v>0</v>
      </c>
      <c r="P106" s="327">
        <f t="shared" si="34"/>
        <v>0</v>
      </c>
      <c r="Q106" s="327">
        <f t="shared" si="34"/>
        <v>0</v>
      </c>
      <c r="R106" s="327">
        <f t="shared" si="34"/>
        <v>0</v>
      </c>
      <c r="S106" s="327">
        <f t="shared" si="34"/>
        <v>0</v>
      </c>
      <c r="T106" s="327">
        <f t="shared" si="34"/>
        <v>0</v>
      </c>
      <c r="U106" s="327">
        <f t="shared" si="34"/>
        <v>0</v>
      </c>
      <c r="V106" s="327">
        <f t="shared" si="34"/>
        <v>0</v>
      </c>
      <c r="W106" s="327">
        <f t="shared" si="34"/>
        <v>0</v>
      </c>
      <c r="X106" s="327">
        <f t="shared" si="34"/>
        <v>30.5</v>
      </c>
      <c r="Y106" s="327">
        <f t="shared" si="34"/>
        <v>0</v>
      </c>
      <c r="Z106" s="327">
        <f t="shared" si="34"/>
        <v>0</v>
      </c>
      <c r="AA106" s="327">
        <f t="shared" si="34"/>
        <v>0</v>
      </c>
      <c r="AB106" s="327">
        <f t="shared" si="34"/>
        <v>0</v>
      </c>
      <c r="AC106" s="327">
        <f t="shared" si="34"/>
        <v>0</v>
      </c>
      <c r="AD106" s="327">
        <f t="shared" si="34"/>
        <v>4232.2</v>
      </c>
      <c r="AE106" s="327">
        <f t="shared" si="34"/>
        <v>0</v>
      </c>
      <c r="AF106" s="1173"/>
    </row>
    <row r="107" spans="1:32" x14ac:dyDescent="0.25">
      <c r="A107" s="326" t="s">
        <v>32</v>
      </c>
      <c r="B107" s="328"/>
      <c r="C107" s="327"/>
      <c r="D107" s="328"/>
      <c r="E107" s="328"/>
      <c r="F107" s="336"/>
      <c r="G107" s="336"/>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1173"/>
    </row>
    <row r="108" spans="1:32" x14ac:dyDescent="0.25">
      <c r="A108" s="326" t="s">
        <v>33</v>
      </c>
      <c r="B108" s="328">
        <f>H108+J108+L108+N108+P108+R108+T108+V108+X108+Z108+AB108+AD108</f>
        <v>4262.7</v>
      </c>
      <c r="C108" s="327">
        <f>H108+J108+L108+N108+P108+R108+T108</f>
        <v>0</v>
      </c>
      <c r="D108" s="328">
        <f>E108</f>
        <v>0</v>
      </c>
      <c r="E108" s="328">
        <f>I108+K108+M108+O108+Q108+S108+U108+W108+Y108+AA108+AC108+AE108</f>
        <v>0</v>
      </c>
      <c r="F108" s="336">
        <f>IFERROR(E108/B108%,0)</f>
        <v>0</v>
      </c>
      <c r="G108" s="336">
        <f>IFERROR(E108/C108%,0)</f>
        <v>0</v>
      </c>
      <c r="H108" s="327">
        <f t="shared" ref="H108:W108" si="35">H114</f>
        <v>0</v>
      </c>
      <c r="I108" s="327">
        <f t="shared" si="35"/>
        <v>0</v>
      </c>
      <c r="J108" s="327">
        <f t="shared" si="35"/>
        <v>0</v>
      </c>
      <c r="K108" s="327">
        <f t="shared" si="35"/>
        <v>0</v>
      </c>
      <c r="L108" s="327">
        <f t="shared" si="35"/>
        <v>0</v>
      </c>
      <c r="M108" s="327">
        <f t="shared" si="35"/>
        <v>0</v>
      </c>
      <c r="N108" s="327">
        <f t="shared" si="35"/>
        <v>0</v>
      </c>
      <c r="O108" s="327">
        <f t="shared" si="35"/>
        <v>0</v>
      </c>
      <c r="P108" s="327">
        <f t="shared" si="35"/>
        <v>0</v>
      </c>
      <c r="Q108" s="327">
        <f t="shared" si="35"/>
        <v>0</v>
      </c>
      <c r="R108" s="327">
        <f t="shared" si="35"/>
        <v>0</v>
      </c>
      <c r="S108" s="327">
        <f t="shared" si="35"/>
        <v>0</v>
      </c>
      <c r="T108" s="327">
        <f t="shared" si="35"/>
        <v>0</v>
      </c>
      <c r="U108" s="327">
        <f t="shared" si="35"/>
        <v>0</v>
      </c>
      <c r="V108" s="327">
        <f t="shared" si="35"/>
        <v>0</v>
      </c>
      <c r="W108" s="327">
        <f t="shared" si="35"/>
        <v>0</v>
      </c>
      <c r="X108" s="327">
        <f t="shared" ref="X108:AE108" si="36">X114</f>
        <v>30.5</v>
      </c>
      <c r="Y108" s="327">
        <f t="shared" si="36"/>
        <v>0</v>
      </c>
      <c r="Z108" s="327">
        <f t="shared" si="36"/>
        <v>0</v>
      </c>
      <c r="AA108" s="327">
        <f t="shared" si="36"/>
        <v>0</v>
      </c>
      <c r="AB108" s="327">
        <f t="shared" si="36"/>
        <v>0</v>
      </c>
      <c r="AC108" s="327">
        <f t="shared" si="36"/>
        <v>0</v>
      </c>
      <c r="AD108" s="327">
        <f t="shared" si="36"/>
        <v>4232.2</v>
      </c>
      <c r="AE108" s="327">
        <f t="shared" si="36"/>
        <v>0</v>
      </c>
      <c r="AF108" s="1173"/>
    </row>
    <row r="109" spans="1:32" ht="31.5" x14ac:dyDescent="0.25">
      <c r="A109" s="340" t="s">
        <v>174</v>
      </c>
      <c r="B109" s="328"/>
      <c r="C109" s="327"/>
      <c r="D109" s="328"/>
      <c r="E109" s="328"/>
      <c r="F109" s="336"/>
      <c r="G109" s="336"/>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1173"/>
    </row>
    <row r="110" spans="1:32" x14ac:dyDescent="0.25">
      <c r="A110" s="326" t="s">
        <v>374</v>
      </c>
      <c r="B110" s="328"/>
      <c r="C110" s="327"/>
      <c r="D110" s="328"/>
      <c r="E110" s="328"/>
      <c r="F110" s="336"/>
      <c r="G110" s="336"/>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1173"/>
    </row>
    <row r="111" spans="1:32" x14ac:dyDescent="0.25">
      <c r="A111" s="1148" t="s">
        <v>413</v>
      </c>
      <c r="B111" s="1149"/>
      <c r="C111" s="1149"/>
      <c r="D111" s="1149"/>
      <c r="E111" s="1149"/>
      <c r="F111" s="1149"/>
      <c r="G111" s="1149"/>
      <c r="H111" s="1149"/>
      <c r="I111" s="1149"/>
      <c r="J111" s="1149"/>
      <c r="K111" s="1149"/>
      <c r="L111" s="1149"/>
      <c r="M111" s="1149"/>
      <c r="N111" s="1149"/>
      <c r="O111" s="1149"/>
      <c r="P111" s="1149"/>
      <c r="Q111" s="1149"/>
      <c r="R111" s="1149"/>
      <c r="S111" s="1149"/>
      <c r="T111" s="1149"/>
      <c r="U111" s="1149"/>
      <c r="V111" s="1149"/>
      <c r="W111" s="1149"/>
      <c r="X111" s="1149"/>
      <c r="Y111" s="1149"/>
      <c r="Z111" s="1149"/>
      <c r="AA111" s="1149"/>
      <c r="AB111" s="1149"/>
      <c r="AC111" s="1149"/>
      <c r="AD111" s="1149"/>
      <c r="AE111" s="1150"/>
      <c r="AF111" s="345"/>
    </row>
    <row r="112" spans="1:32" x14ac:dyDescent="0.25">
      <c r="A112" s="326" t="s">
        <v>31</v>
      </c>
      <c r="B112" s="342">
        <f>B113+B114+B116</f>
        <v>4262.7</v>
      </c>
      <c r="C112" s="342">
        <f>C113+C114+C116</f>
        <v>0</v>
      </c>
      <c r="D112" s="342">
        <f>D113+D114+D116</f>
        <v>0</v>
      </c>
      <c r="E112" s="342">
        <f>E113+E114+E116</f>
        <v>0</v>
      </c>
      <c r="F112" s="328">
        <f>F114</f>
        <v>0</v>
      </c>
      <c r="G112" s="328">
        <f>G114</f>
        <v>0</v>
      </c>
      <c r="H112" s="327">
        <f>H113+H114+H116</f>
        <v>0</v>
      </c>
      <c r="I112" s="327">
        <f t="shared" ref="I112:AE112" si="37">I113+I114+I116</f>
        <v>0</v>
      </c>
      <c r="J112" s="327">
        <f t="shared" si="37"/>
        <v>0</v>
      </c>
      <c r="K112" s="327">
        <f t="shared" si="37"/>
        <v>0</v>
      </c>
      <c r="L112" s="327">
        <f t="shared" si="37"/>
        <v>0</v>
      </c>
      <c r="M112" s="327">
        <f t="shared" si="37"/>
        <v>0</v>
      </c>
      <c r="N112" s="327">
        <f t="shared" si="37"/>
        <v>0</v>
      </c>
      <c r="O112" s="327">
        <f t="shared" si="37"/>
        <v>0</v>
      </c>
      <c r="P112" s="327">
        <f t="shared" si="37"/>
        <v>0</v>
      </c>
      <c r="Q112" s="327">
        <f t="shared" si="37"/>
        <v>0</v>
      </c>
      <c r="R112" s="327">
        <f t="shared" si="37"/>
        <v>0</v>
      </c>
      <c r="S112" s="327">
        <f t="shared" si="37"/>
        <v>0</v>
      </c>
      <c r="T112" s="327">
        <f t="shared" si="37"/>
        <v>0</v>
      </c>
      <c r="U112" s="327">
        <f t="shared" si="37"/>
        <v>0</v>
      </c>
      <c r="V112" s="327">
        <f t="shared" si="37"/>
        <v>0</v>
      </c>
      <c r="W112" s="327">
        <f t="shared" si="37"/>
        <v>0</v>
      </c>
      <c r="X112" s="327">
        <f t="shared" si="37"/>
        <v>30.5</v>
      </c>
      <c r="Y112" s="327">
        <f t="shared" si="37"/>
        <v>0</v>
      </c>
      <c r="Z112" s="327">
        <f t="shared" si="37"/>
        <v>0</v>
      </c>
      <c r="AA112" s="327">
        <f t="shared" si="37"/>
        <v>0</v>
      </c>
      <c r="AB112" s="327">
        <f t="shared" si="37"/>
        <v>0</v>
      </c>
      <c r="AC112" s="327">
        <f t="shared" si="37"/>
        <v>0</v>
      </c>
      <c r="AD112" s="327">
        <f t="shared" si="37"/>
        <v>4232.2</v>
      </c>
      <c r="AE112" s="327">
        <f t="shared" si="37"/>
        <v>0</v>
      </c>
      <c r="AF112" s="1161" t="s">
        <v>567</v>
      </c>
    </row>
    <row r="113" spans="1:32" x14ac:dyDescent="0.25">
      <c r="A113" s="326" t="s">
        <v>32</v>
      </c>
      <c r="B113" s="328"/>
      <c r="C113" s="327"/>
      <c r="D113" s="328"/>
      <c r="E113" s="328"/>
      <c r="F113" s="336"/>
      <c r="G113" s="336"/>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1161"/>
    </row>
    <row r="114" spans="1:32" x14ac:dyDescent="0.25">
      <c r="A114" s="326" t="s">
        <v>33</v>
      </c>
      <c r="B114" s="328">
        <f>H114+J114+L114+N114+P114+R114+T114+V114+X114+Z114+AB114+AD114</f>
        <v>4262.7</v>
      </c>
      <c r="C114" s="327">
        <f>H114+J114+L114+N114+P114+R114+T114</f>
        <v>0</v>
      </c>
      <c r="D114" s="328">
        <f>E114</f>
        <v>0</v>
      </c>
      <c r="E114" s="328">
        <f>I114+K114+M114+O114+Q114+S114+U114+W114+Y114+AA114+AC114+AE114</f>
        <v>0</v>
      </c>
      <c r="F114" s="336">
        <f>IFERROR(E114/B114%,0)</f>
        <v>0</v>
      </c>
      <c r="G114" s="336">
        <f>IFERROR(E114/C114%,0)</f>
        <v>0</v>
      </c>
      <c r="H114" s="327"/>
      <c r="I114" s="327"/>
      <c r="J114" s="327"/>
      <c r="K114" s="327"/>
      <c r="L114" s="327"/>
      <c r="M114" s="327"/>
      <c r="N114" s="327"/>
      <c r="O114" s="327"/>
      <c r="P114" s="327"/>
      <c r="Q114" s="327"/>
      <c r="R114" s="327"/>
      <c r="S114" s="327"/>
      <c r="T114" s="327"/>
      <c r="U114" s="327"/>
      <c r="V114" s="327"/>
      <c r="W114" s="327"/>
      <c r="X114" s="327">
        <v>30.5</v>
      </c>
      <c r="Y114" s="327"/>
      <c r="Z114" s="327"/>
      <c r="AA114" s="327"/>
      <c r="AB114" s="327"/>
      <c r="AC114" s="327"/>
      <c r="AD114" s="327">
        <v>4232.2</v>
      </c>
      <c r="AE114" s="327"/>
      <c r="AF114" s="1161"/>
    </row>
    <row r="115" spans="1:32" ht="31.5" x14ac:dyDescent="0.25">
      <c r="A115" s="340" t="s">
        <v>174</v>
      </c>
      <c r="B115" s="328"/>
      <c r="C115" s="327"/>
      <c r="D115" s="328"/>
      <c r="E115" s="328"/>
      <c r="F115" s="336"/>
      <c r="G115" s="336"/>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1161"/>
    </row>
    <row r="116" spans="1:32" x14ac:dyDescent="0.25">
      <c r="A116" s="326" t="s">
        <v>374</v>
      </c>
      <c r="B116" s="328"/>
      <c r="C116" s="327"/>
      <c r="D116" s="328"/>
      <c r="E116" s="328"/>
      <c r="F116" s="336"/>
      <c r="G116" s="336"/>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1161"/>
    </row>
    <row r="117" spans="1:32" x14ac:dyDescent="0.25">
      <c r="A117" s="329" t="s">
        <v>35</v>
      </c>
      <c r="B117" s="640">
        <f>B118+B119+B121</f>
        <v>851308.73900000006</v>
      </c>
      <c r="C117" s="640">
        <f>C118+C119+C121</f>
        <v>84521.479000000021</v>
      </c>
      <c r="D117" s="640">
        <f>D118+D119+D121</f>
        <v>147790.96000000002</v>
      </c>
      <c r="E117" s="640">
        <f>E118+E119+E121</f>
        <v>147790.96000000002</v>
      </c>
      <c r="F117" s="640">
        <f>E117/B117*100</f>
        <v>17.360442014680178</v>
      </c>
      <c r="G117" s="640">
        <f>E117/C117*100</f>
        <v>174.85609782100477</v>
      </c>
      <c r="H117" s="640">
        <f>H118+H119+H121</f>
        <v>33912.783000000003</v>
      </c>
      <c r="I117" s="640">
        <f t="shared" ref="I117:AE117" si="38">I118+I119+I121</f>
        <v>17885.599999999999</v>
      </c>
      <c r="J117" s="640">
        <f t="shared" si="38"/>
        <v>27118.280000000002</v>
      </c>
      <c r="K117" s="640">
        <f t="shared" si="38"/>
        <v>30278.300000000003</v>
      </c>
      <c r="L117" s="640">
        <f t="shared" si="38"/>
        <v>23490.416000000005</v>
      </c>
      <c r="M117" s="640">
        <f t="shared" si="38"/>
        <v>19182.32</v>
      </c>
      <c r="N117" s="640">
        <f t="shared" si="38"/>
        <v>28632.109000000004</v>
      </c>
      <c r="O117" s="640">
        <f t="shared" si="38"/>
        <v>20242.2</v>
      </c>
      <c r="P117" s="640">
        <f t="shared" si="38"/>
        <v>18063.654000000002</v>
      </c>
      <c r="Q117" s="640">
        <f t="shared" si="38"/>
        <v>20171.210000000003</v>
      </c>
      <c r="R117" s="640">
        <f t="shared" si="38"/>
        <v>17270.697</v>
      </c>
      <c r="S117" s="640">
        <f t="shared" si="38"/>
        <v>19085.489999999998</v>
      </c>
      <c r="T117" s="640">
        <f t="shared" si="38"/>
        <v>20182.940000000002</v>
      </c>
      <c r="U117" s="640">
        <f t="shared" si="38"/>
        <v>20945.839999999997</v>
      </c>
      <c r="V117" s="640">
        <f t="shared" si="38"/>
        <v>36253.47</v>
      </c>
      <c r="W117" s="640">
        <f t="shared" si="38"/>
        <v>0</v>
      </c>
      <c r="X117" s="640">
        <f t="shared" si="38"/>
        <v>94146.93299999999</v>
      </c>
      <c r="Y117" s="640">
        <f t="shared" si="38"/>
        <v>0</v>
      </c>
      <c r="Z117" s="640">
        <f t="shared" si="38"/>
        <v>439279.1</v>
      </c>
      <c r="AA117" s="640">
        <f t="shared" si="38"/>
        <v>0</v>
      </c>
      <c r="AB117" s="640">
        <f t="shared" si="38"/>
        <v>66868.395000000004</v>
      </c>
      <c r="AC117" s="640">
        <f t="shared" si="38"/>
        <v>0</v>
      </c>
      <c r="AD117" s="640">
        <f t="shared" si="38"/>
        <v>46089.962</v>
      </c>
      <c r="AE117" s="640">
        <f t="shared" si="38"/>
        <v>0</v>
      </c>
      <c r="AF117" s="1163"/>
    </row>
    <row r="118" spans="1:32" x14ac:dyDescent="0.25">
      <c r="A118" s="326" t="s">
        <v>32</v>
      </c>
      <c r="B118" s="641">
        <f>H118+J118+L118+N118+P118+R118+T118+V118+X118+Z118+AB118+AD118</f>
        <v>210752.09999999998</v>
      </c>
      <c r="C118" s="641">
        <f>H118+J118+L118</f>
        <v>0</v>
      </c>
      <c r="D118" s="641">
        <f t="shared" ref="D118:E121" si="39">D17+D53</f>
        <v>0</v>
      </c>
      <c r="E118" s="641">
        <f t="shared" si="39"/>
        <v>0</v>
      </c>
      <c r="F118" s="342">
        <f>IFERROR(E118/B118*100,0)</f>
        <v>0</v>
      </c>
      <c r="G118" s="342">
        <f>IFERROR(E118/C118*100,0)</f>
        <v>0</v>
      </c>
      <c r="H118" s="641">
        <f t="shared" ref="H118:AE118" si="40">H17+H53+H107</f>
        <v>0</v>
      </c>
      <c r="I118" s="641">
        <f t="shared" si="40"/>
        <v>0</v>
      </c>
      <c r="J118" s="641">
        <f t="shared" si="40"/>
        <v>0</v>
      </c>
      <c r="K118" s="641">
        <f t="shared" si="40"/>
        <v>0</v>
      </c>
      <c r="L118" s="641">
        <f t="shared" si="40"/>
        <v>0</v>
      </c>
      <c r="M118" s="641">
        <f t="shared" si="40"/>
        <v>0</v>
      </c>
      <c r="N118" s="641">
        <f t="shared" si="40"/>
        <v>0</v>
      </c>
      <c r="O118" s="641">
        <f t="shared" si="40"/>
        <v>0</v>
      </c>
      <c r="P118" s="641">
        <f t="shared" si="40"/>
        <v>0</v>
      </c>
      <c r="Q118" s="641">
        <f t="shared" si="40"/>
        <v>0</v>
      </c>
      <c r="R118" s="641">
        <f t="shared" si="40"/>
        <v>0</v>
      </c>
      <c r="S118" s="641">
        <f t="shared" si="40"/>
        <v>0</v>
      </c>
      <c r="T118" s="641">
        <f t="shared" si="40"/>
        <v>0</v>
      </c>
      <c r="U118" s="641">
        <f t="shared" si="40"/>
        <v>0</v>
      </c>
      <c r="V118" s="641">
        <f t="shared" si="40"/>
        <v>5612.6</v>
      </c>
      <c r="W118" s="641">
        <f t="shared" si="40"/>
        <v>0</v>
      </c>
      <c r="X118" s="641">
        <f t="shared" si="40"/>
        <v>41529.199999999997</v>
      </c>
      <c r="Y118" s="641">
        <f t="shared" si="40"/>
        <v>0</v>
      </c>
      <c r="Z118" s="641">
        <f t="shared" si="40"/>
        <v>163610.29999999999</v>
      </c>
      <c r="AA118" s="641">
        <f t="shared" si="40"/>
        <v>0</v>
      </c>
      <c r="AB118" s="641">
        <f t="shared" si="40"/>
        <v>0</v>
      </c>
      <c r="AC118" s="641">
        <f t="shared" si="40"/>
        <v>0</v>
      </c>
      <c r="AD118" s="641">
        <f t="shared" si="40"/>
        <v>0</v>
      </c>
      <c r="AE118" s="641">
        <f t="shared" si="40"/>
        <v>0</v>
      </c>
      <c r="AF118" s="1164"/>
    </row>
    <row r="119" spans="1:32" x14ac:dyDescent="0.25">
      <c r="A119" s="326" t="s">
        <v>33</v>
      </c>
      <c r="B119" s="641">
        <f>H119+J119+L119+N119+P119+R119+T119+V119+X119+Z119+AB119+AD119</f>
        <v>283948.87900000002</v>
      </c>
      <c r="C119" s="641">
        <f>H119+J119+L119</f>
        <v>84521.479000000021</v>
      </c>
      <c r="D119" s="641">
        <f t="shared" si="39"/>
        <v>147790.96000000002</v>
      </c>
      <c r="E119" s="641">
        <f t="shared" si="39"/>
        <v>147790.96000000002</v>
      </c>
      <c r="F119" s="342">
        <f>IFERROR(E119/B119*100,0)</f>
        <v>52.048439324882843</v>
      </c>
      <c r="G119" s="342">
        <f>IFERROR(E119/C119*100,0)</f>
        <v>174.85609782100477</v>
      </c>
      <c r="H119" s="641">
        <f t="shared" ref="H119:AE119" si="41">H18+H54+H108</f>
        <v>33912.783000000003</v>
      </c>
      <c r="I119" s="641">
        <f t="shared" si="41"/>
        <v>17885.599999999999</v>
      </c>
      <c r="J119" s="641">
        <f t="shared" si="41"/>
        <v>27118.280000000002</v>
      </c>
      <c r="K119" s="641">
        <f t="shared" si="41"/>
        <v>30278.300000000003</v>
      </c>
      <c r="L119" s="641">
        <f t="shared" si="41"/>
        <v>23490.416000000005</v>
      </c>
      <c r="M119" s="641">
        <f t="shared" si="41"/>
        <v>19182.32</v>
      </c>
      <c r="N119" s="641">
        <f t="shared" si="41"/>
        <v>28632.109000000004</v>
      </c>
      <c r="O119" s="641">
        <f t="shared" si="41"/>
        <v>20242.2</v>
      </c>
      <c r="P119" s="641">
        <f t="shared" si="41"/>
        <v>18063.654000000002</v>
      </c>
      <c r="Q119" s="641">
        <f t="shared" si="41"/>
        <v>20171.210000000003</v>
      </c>
      <c r="R119" s="641">
        <f t="shared" si="41"/>
        <v>17270.697</v>
      </c>
      <c r="S119" s="641">
        <f t="shared" si="41"/>
        <v>19085.489999999998</v>
      </c>
      <c r="T119" s="641">
        <f t="shared" si="41"/>
        <v>20182.940000000002</v>
      </c>
      <c r="U119" s="641">
        <f t="shared" si="41"/>
        <v>20945.839999999997</v>
      </c>
      <c r="V119" s="641">
        <f t="shared" si="41"/>
        <v>25028.270000000004</v>
      </c>
      <c r="W119" s="641">
        <f t="shared" si="41"/>
        <v>0</v>
      </c>
      <c r="X119" s="641">
        <f t="shared" si="41"/>
        <v>11088.533000000001</v>
      </c>
      <c r="Y119" s="641">
        <f t="shared" si="41"/>
        <v>0</v>
      </c>
      <c r="Z119" s="641">
        <f t="shared" si="41"/>
        <v>42079.54</v>
      </c>
      <c r="AA119" s="641">
        <f t="shared" si="41"/>
        <v>0</v>
      </c>
      <c r="AB119" s="641">
        <f t="shared" si="41"/>
        <v>21395.395</v>
      </c>
      <c r="AC119" s="641">
        <f t="shared" si="41"/>
        <v>0</v>
      </c>
      <c r="AD119" s="641">
        <f t="shared" si="41"/>
        <v>15686.261999999999</v>
      </c>
      <c r="AE119" s="641">
        <f t="shared" si="41"/>
        <v>0</v>
      </c>
      <c r="AF119" s="1164"/>
    </row>
    <row r="120" spans="1:32" ht="31.5" x14ac:dyDescent="0.25">
      <c r="A120" s="340" t="s">
        <v>174</v>
      </c>
      <c r="B120" s="641">
        <f>H120+J120+L120+N120+P120+R120+T120+V120+X120+Z120+AB120+AD120</f>
        <v>0</v>
      </c>
      <c r="C120" s="641">
        <f>H120+J120+L120</f>
        <v>0</v>
      </c>
      <c r="D120" s="641">
        <f t="shared" si="39"/>
        <v>0</v>
      </c>
      <c r="E120" s="641">
        <f t="shared" si="39"/>
        <v>0</v>
      </c>
      <c r="F120" s="342">
        <f>IFERROR(E120/B120*100,0)</f>
        <v>0</v>
      </c>
      <c r="G120" s="342">
        <f>IFERROR(E120/C120*100,0)</f>
        <v>0</v>
      </c>
      <c r="H120" s="641">
        <f t="shared" ref="H120:AE120" si="42">H19+H55+H109</f>
        <v>0</v>
      </c>
      <c r="I120" s="641">
        <f t="shared" si="42"/>
        <v>0</v>
      </c>
      <c r="J120" s="641">
        <f t="shared" si="42"/>
        <v>0</v>
      </c>
      <c r="K120" s="641">
        <f t="shared" si="42"/>
        <v>0</v>
      </c>
      <c r="L120" s="641">
        <f t="shared" si="42"/>
        <v>0</v>
      </c>
      <c r="M120" s="641">
        <f t="shared" si="42"/>
        <v>0</v>
      </c>
      <c r="N120" s="641">
        <f t="shared" si="42"/>
        <v>0</v>
      </c>
      <c r="O120" s="641">
        <f t="shared" si="42"/>
        <v>0</v>
      </c>
      <c r="P120" s="641">
        <f t="shared" si="42"/>
        <v>0</v>
      </c>
      <c r="Q120" s="641">
        <f t="shared" si="42"/>
        <v>0</v>
      </c>
      <c r="R120" s="641">
        <f t="shared" si="42"/>
        <v>0</v>
      </c>
      <c r="S120" s="641">
        <f t="shared" si="42"/>
        <v>0</v>
      </c>
      <c r="T120" s="641">
        <f t="shared" si="42"/>
        <v>0</v>
      </c>
      <c r="U120" s="641">
        <f t="shared" si="42"/>
        <v>0</v>
      </c>
      <c r="V120" s="641">
        <f t="shared" si="42"/>
        <v>0</v>
      </c>
      <c r="W120" s="641">
        <f t="shared" si="42"/>
        <v>0</v>
      </c>
      <c r="X120" s="641">
        <f t="shared" si="42"/>
        <v>0</v>
      </c>
      <c r="Y120" s="641">
        <f t="shared" si="42"/>
        <v>0</v>
      </c>
      <c r="Z120" s="641">
        <f t="shared" si="42"/>
        <v>0</v>
      </c>
      <c r="AA120" s="641">
        <f t="shared" si="42"/>
        <v>0</v>
      </c>
      <c r="AB120" s="641">
        <f t="shared" si="42"/>
        <v>0</v>
      </c>
      <c r="AC120" s="641">
        <f t="shared" si="42"/>
        <v>0</v>
      </c>
      <c r="AD120" s="641">
        <f t="shared" si="42"/>
        <v>0</v>
      </c>
      <c r="AE120" s="641">
        <f t="shared" si="42"/>
        <v>0</v>
      </c>
      <c r="AF120" s="1164"/>
    </row>
    <row r="121" spans="1:32" x14ac:dyDescent="0.25">
      <c r="A121" s="326" t="s">
        <v>374</v>
      </c>
      <c r="B121" s="641">
        <f>H121+J121+L121+N121+P121+R121+T121+V121+X121+Z121+AB121+AD121</f>
        <v>356607.76</v>
      </c>
      <c r="C121" s="641">
        <f>H121+J121+L121</f>
        <v>0</v>
      </c>
      <c r="D121" s="641">
        <f t="shared" si="39"/>
        <v>0</v>
      </c>
      <c r="E121" s="641">
        <f t="shared" si="39"/>
        <v>0</v>
      </c>
      <c r="F121" s="342">
        <f>IFERROR(E121/B121*100,0)</f>
        <v>0</v>
      </c>
      <c r="G121" s="342">
        <f>IFERROR(E121/C121*100,0)</f>
        <v>0</v>
      </c>
      <c r="H121" s="641">
        <f t="shared" ref="H121:AE121" si="43">H20+H56+H110</f>
        <v>0</v>
      </c>
      <c r="I121" s="641">
        <f t="shared" si="43"/>
        <v>0</v>
      </c>
      <c r="J121" s="641">
        <f t="shared" si="43"/>
        <v>0</v>
      </c>
      <c r="K121" s="641">
        <f t="shared" si="43"/>
        <v>0</v>
      </c>
      <c r="L121" s="641">
        <f t="shared" si="43"/>
        <v>0</v>
      </c>
      <c r="M121" s="641">
        <f t="shared" si="43"/>
        <v>0</v>
      </c>
      <c r="N121" s="641">
        <f t="shared" si="43"/>
        <v>0</v>
      </c>
      <c r="O121" s="641">
        <f t="shared" si="43"/>
        <v>0</v>
      </c>
      <c r="P121" s="641">
        <f t="shared" si="43"/>
        <v>0</v>
      </c>
      <c r="Q121" s="641">
        <f t="shared" si="43"/>
        <v>0</v>
      </c>
      <c r="R121" s="641">
        <f t="shared" si="43"/>
        <v>0</v>
      </c>
      <c r="S121" s="641">
        <f t="shared" si="43"/>
        <v>0</v>
      </c>
      <c r="T121" s="641">
        <f t="shared" si="43"/>
        <v>0</v>
      </c>
      <c r="U121" s="641">
        <f t="shared" si="43"/>
        <v>0</v>
      </c>
      <c r="V121" s="641">
        <f t="shared" si="43"/>
        <v>5612.6</v>
      </c>
      <c r="W121" s="641">
        <f t="shared" si="43"/>
        <v>0</v>
      </c>
      <c r="X121" s="641">
        <f t="shared" si="43"/>
        <v>41529.199999999997</v>
      </c>
      <c r="Y121" s="641">
        <f t="shared" si="43"/>
        <v>0</v>
      </c>
      <c r="Z121" s="641">
        <f t="shared" si="43"/>
        <v>233589.26</v>
      </c>
      <c r="AA121" s="641">
        <f t="shared" si="43"/>
        <v>0</v>
      </c>
      <c r="AB121" s="641">
        <f t="shared" si="43"/>
        <v>45473</v>
      </c>
      <c r="AC121" s="641">
        <f t="shared" si="43"/>
        <v>0</v>
      </c>
      <c r="AD121" s="641">
        <f t="shared" si="43"/>
        <v>30403.7</v>
      </c>
      <c r="AE121" s="641">
        <f t="shared" si="43"/>
        <v>0</v>
      </c>
      <c r="AF121" s="1165"/>
    </row>
    <row r="122" spans="1:32" x14ac:dyDescent="0.25">
      <c r="A122" s="1154" t="s">
        <v>414</v>
      </c>
      <c r="B122" s="1155"/>
      <c r="C122" s="1155"/>
      <c r="D122" s="1155"/>
      <c r="E122" s="1155"/>
      <c r="F122" s="1155"/>
      <c r="G122" s="1155"/>
      <c r="H122" s="1155"/>
      <c r="I122" s="1155"/>
      <c r="J122" s="1155"/>
      <c r="K122" s="1155"/>
      <c r="L122" s="1155"/>
      <c r="M122" s="1155"/>
      <c r="N122" s="1155"/>
      <c r="O122" s="1155"/>
      <c r="P122" s="1155"/>
      <c r="Q122" s="1155"/>
      <c r="R122" s="1155"/>
      <c r="S122" s="1155"/>
      <c r="T122" s="1155"/>
      <c r="U122" s="1155"/>
      <c r="V122" s="1155"/>
      <c r="W122" s="1155"/>
      <c r="X122" s="1155"/>
      <c r="Y122" s="1155"/>
      <c r="Z122" s="1155"/>
      <c r="AA122" s="1155"/>
      <c r="AB122" s="1155"/>
      <c r="AC122" s="1155"/>
      <c r="AD122" s="1155"/>
      <c r="AE122" s="1156"/>
      <c r="AF122" s="314"/>
    </row>
    <row r="123" spans="1:32" x14ac:dyDescent="0.25">
      <c r="A123" s="315" t="s">
        <v>54</v>
      </c>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2"/>
      <c r="Y123" s="322"/>
      <c r="Z123" s="322"/>
      <c r="AA123" s="322"/>
      <c r="AB123" s="322"/>
      <c r="AC123" s="322"/>
      <c r="AD123" s="322"/>
      <c r="AE123" s="322"/>
      <c r="AF123" s="303"/>
    </row>
    <row r="124" spans="1:32" x14ac:dyDescent="0.25">
      <c r="A124" s="1142" t="s">
        <v>415</v>
      </c>
      <c r="B124" s="1143"/>
      <c r="C124" s="1143"/>
      <c r="D124" s="1143"/>
      <c r="E124" s="1143"/>
      <c r="F124" s="1143"/>
      <c r="G124" s="1143"/>
      <c r="H124" s="1143"/>
      <c r="I124" s="1143"/>
      <c r="J124" s="1143"/>
      <c r="K124" s="1143"/>
      <c r="L124" s="1143"/>
      <c r="M124" s="1143"/>
      <c r="N124" s="1143"/>
      <c r="O124" s="1143"/>
      <c r="P124" s="1143"/>
      <c r="Q124" s="1143"/>
      <c r="R124" s="1143"/>
      <c r="S124" s="1143"/>
      <c r="T124" s="1143"/>
      <c r="U124" s="1143"/>
      <c r="V124" s="1143"/>
      <c r="W124" s="1143"/>
      <c r="X124" s="1143"/>
      <c r="Y124" s="1143"/>
      <c r="Z124" s="1143"/>
      <c r="AA124" s="1143"/>
      <c r="AB124" s="1143"/>
      <c r="AC124" s="1143"/>
      <c r="AD124" s="1143"/>
      <c r="AE124" s="1144"/>
      <c r="AF124" s="333"/>
    </row>
    <row r="125" spans="1:32" x14ac:dyDescent="0.25">
      <c r="A125" s="334" t="s">
        <v>31</v>
      </c>
      <c r="B125" s="335">
        <f>B126+B127+B129</f>
        <v>13281.096000000001</v>
      </c>
      <c r="C125" s="335">
        <f>C126+C127+C129</f>
        <v>3554.7069999999999</v>
      </c>
      <c r="D125" s="335">
        <f>D126+D127+D129</f>
        <v>2401.64</v>
      </c>
      <c r="E125" s="335">
        <f>E126+E127+E129</f>
        <v>2401.64</v>
      </c>
      <c r="F125" s="335">
        <f>E125/B125*100</f>
        <v>18.083146149986415</v>
      </c>
      <c r="G125" s="335">
        <f>E125/C125*100</f>
        <v>67.562249153024425</v>
      </c>
      <c r="H125" s="335">
        <f>H126+H127+H129</f>
        <v>309.10599999999999</v>
      </c>
      <c r="I125" s="335">
        <f t="shared" ref="I125:AE125" si="44">I126+I127+I129</f>
        <v>290.38</v>
      </c>
      <c r="J125" s="335">
        <f t="shared" si="44"/>
        <v>520.11699999999996</v>
      </c>
      <c r="K125" s="335">
        <f t="shared" si="44"/>
        <v>297.3</v>
      </c>
      <c r="L125" s="335">
        <f t="shared" si="44"/>
        <v>519.91700000000003</v>
      </c>
      <c r="M125" s="335">
        <f t="shared" si="44"/>
        <v>298.05</v>
      </c>
      <c r="N125" s="335">
        <f t="shared" si="44"/>
        <v>519.91700000000003</v>
      </c>
      <c r="O125" s="335">
        <f t="shared" si="44"/>
        <v>304.35000000000002</v>
      </c>
      <c r="P125" s="335">
        <f t="shared" si="44"/>
        <v>519.91700000000003</v>
      </c>
      <c r="Q125" s="335">
        <f t="shared" si="44"/>
        <v>298.10000000000002</v>
      </c>
      <c r="R125" s="335">
        <f t="shared" si="44"/>
        <v>645.81700000000001</v>
      </c>
      <c r="S125" s="335">
        <f t="shared" si="44"/>
        <v>291.16000000000003</v>
      </c>
      <c r="T125" s="335">
        <f t="shared" si="44"/>
        <v>519.91600000000005</v>
      </c>
      <c r="U125" s="335">
        <f t="shared" si="44"/>
        <v>622.29999999999995</v>
      </c>
      <c r="V125" s="335">
        <f t="shared" si="44"/>
        <v>519.91600000000005</v>
      </c>
      <c r="W125" s="335">
        <f t="shared" si="44"/>
        <v>0</v>
      </c>
      <c r="X125" s="335">
        <f t="shared" si="44"/>
        <v>519.91600000000005</v>
      </c>
      <c r="Y125" s="335">
        <f t="shared" si="44"/>
        <v>0</v>
      </c>
      <c r="Z125" s="335">
        <f t="shared" si="44"/>
        <v>3700.4160000000002</v>
      </c>
      <c r="AA125" s="335">
        <f t="shared" si="44"/>
        <v>0</v>
      </c>
      <c r="AB125" s="335">
        <f t="shared" si="44"/>
        <v>4442.817</v>
      </c>
      <c r="AC125" s="335">
        <f t="shared" si="44"/>
        <v>0</v>
      </c>
      <c r="AD125" s="335">
        <f t="shared" si="44"/>
        <v>543.32399999999996</v>
      </c>
      <c r="AE125" s="335">
        <f t="shared" si="44"/>
        <v>0</v>
      </c>
      <c r="AF125" s="1145"/>
    </row>
    <row r="126" spans="1:32" x14ac:dyDescent="0.25">
      <c r="A126" s="326" t="s">
        <v>32</v>
      </c>
      <c r="B126" s="328">
        <f>H126+J126+L126+N126+P126+R126+T126+V126+X126+Z126+AB126+AD126</f>
        <v>0</v>
      </c>
      <c r="C126" s="328">
        <f>C132+C138+C144</f>
        <v>0</v>
      </c>
      <c r="D126" s="328">
        <f>E126</f>
        <v>0</v>
      </c>
      <c r="E126" s="328">
        <f>I126+K126+M126+O126+Q126+S126+U126+W126+Y126+AA126+AC126+AE126</f>
        <v>0</v>
      </c>
      <c r="F126" s="342">
        <f>IFERROR(E126/B126*100,0)</f>
        <v>0</v>
      </c>
      <c r="G126" s="342">
        <f>IFERROR(E126/C126*100,0)</f>
        <v>0</v>
      </c>
      <c r="H126" s="328">
        <f>H132+H138+H144</f>
        <v>0</v>
      </c>
      <c r="I126" s="328">
        <f t="shared" ref="I126:AE129" si="45">I132+I138+I144</f>
        <v>0</v>
      </c>
      <c r="J126" s="328">
        <f t="shared" si="45"/>
        <v>0</v>
      </c>
      <c r="K126" s="328">
        <f t="shared" si="45"/>
        <v>0</v>
      </c>
      <c r="L126" s="328">
        <f t="shared" si="45"/>
        <v>0</v>
      </c>
      <c r="M126" s="328">
        <f t="shared" si="45"/>
        <v>0</v>
      </c>
      <c r="N126" s="328">
        <f t="shared" si="45"/>
        <v>0</v>
      </c>
      <c r="O126" s="328">
        <f t="shared" si="45"/>
        <v>0</v>
      </c>
      <c r="P126" s="328">
        <f t="shared" si="45"/>
        <v>0</v>
      </c>
      <c r="Q126" s="328">
        <f t="shared" si="45"/>
        <v>0</v>
      </c>
      <c r="R126" s="328">
        <f t="shared" si="45"/>
        <v>0</v>
      </c>
      <c r="S126" s="328">
        <f t="shared" si="45"/>
        <v>0</v>
      </c>
      <c r="T126" s="328">
        <f t="shared" si="45"/>
        <v>0</v>
      </c>
      <c r="U126" s="328">
        <f t="shared" si="45"/>
        <v>0</v>
      </c>
      <c r="V126" s="328">
        <f t="shared" si="45"/>
        <v>0</v>
      </c>
      <c r="W126" s="328">
        <f t="shared" si="45"/>
        <v>0</v>
      </c>
      <c r="X126" s="328">
        <f t="shared" si="45"/>
        <v>0</v>
      </c>
      <c r="Y126" s="328">
        <f t="shared" si="45"/>
        <v>0</v>
      </c>
      <c r="Z126" s="328">
        <f t="shared" si="45"/>
        <v>0</v>
      </c>
      <c r="AA126" s="328">
        <f t="shared" si="45"/>
        <v>0</v>
      </c>
      <c r="AB126" s="328">
        <f t="shared" si="45"/>
        <v>0</v>
      </c>
      <c r="AC126" s="328">
        <f t="shared" si="45"/>
        <v>0</v>
      </c>
      <c r="AD126" s="328">
        <f t="shared" si="45"/>
        <v>0</v>
      </c>
      <c r="AE126" s="328">
        <f t="shared" si="45"/>
        <v>0</v>
      </c>
      <c r="AF126" s="1146"/>
    </row>
    <row r="127" spans="1:32" x14ac:dyDescent="0.25">
      <c r="A127" s="326" t="s">
        <v>33</v>
      </c>
      <c r="B127" s="328">
        <f>H127+J127+L127+N127+P127+R127+T127+V127+X127+Z127+AB127+AD127</f>
        <v>13281.096000000001</v>
      </c>
      <c r="C127" s="328">
        <f>C133+C139+C145</f>
        <v>3554.7069999999999</v>
      </c>
      <c r="D127" s="328">
        <f>E127</f>
        <v>2401.64</v>
      </c>
      <c r="E127" s="328">
        <f>I127+K127+M127+O127+Q127+S127+U127+W127+Y127+AA127+AC127+AE127</f>
        <v>2401.64</v>
      </c>
      <c r="F127" s="342">
        <f>IFERROR(E127/B127*100,0)</f>
        <v>18.083146149986415</v>
      </c>
      <c r="G127" s="342">
        <f>IFERROR(E127/C127*100,0)</f>
        <v>67.562249153024425</v>
      </c>
      <c r="H127" s="328">
        <f>H133+H139+H145</f>
        <v>309.10599999999999</v>
      </c>
      <c r="I127" s="328">
        <f t="shared" ref="I127:W127" si="46">I133+I139+I145</f>
        <v>290.38</v>
      </c>
      <c r="J127" s="328">
        <f t="shared" si="46"/>
        <v>520.11699999999996</v>
      </c>
      <c r="K127" s="328">
        <f t="shared" si="46"/>
        <v>297.3</v>
      </c>
      <c r="L127" s="328">
        <f t="shared" si="46"/>
        <v>519.91700000000003</v>
      </c>
      <c r="M127" s="328">
        <f t="shared" si="46"/>
        <v>298.05</v>
      </c>
      <c r="N127" s="328">
        <f t="shared" si="46"/>
        <v>519.91700000000003</v>
      </c>
      <c r="O127" s="328">
        <f t="shared" si="46"/>
        <v>304.35000000000002</v>
      </c>
      <c r="P127" s="328">
        <f t="shared" si="46"/>
        <v>519.91700000000003</v>
      </c>
      <c r="Q127" s="328">
        <f t="shared" si="46"/>
        <v>298.10000000000002</v>
      </c>
      <c r="R127" s="328">
        <f t="shared" si="46"/>
        <v>645.81700000000001</v>
      </c>
      <c r="S127" s="328">
        <f t="shared" si="46"/>
        <v>291.16000000000003</v>
      </c>
      <c r="T127" s="328">
        <f t="shared" si="46"/>
        <v>519.91600000000005</v>
      </c>
      <c r="U127" s="328">
        <f t="shared" si="46"/>
        <v>622.29999999999995</v>
      </c>
      <c r="V127" s="328">
        <f t="shared" si="46"/>
        <v>519.91600000000005</v>
      </c>
      <c r="W127" s="328">
        <f t="shared" si="46"/>
        <v>0</v>
      </c>
      <c r="X127" s="328">
        <f t="shared" si="45"/>
        <v>519.91600000000005</v>
      </c>
      <c r="Y127" s="328">
        <f t="shared" si="45"/>
        <v>0</v>
      </c>
      <c r="Z127" s="328">
        <f t="shared" si="45"/>
        <v>3700.4160000000002</v>
      </c>
      <c r="AA127" s="328">
        <f t="shared" si="45"/>
        <v>0</v>
      </c>
      <c r="AB127" s="328">
        <f t="shared" si="45"/>
        <v>4442.817</v>
      </c>
      <c r="AC127" s="328">
        <f t="shared" si="45"/>
        <v>0</v>
      </c>
      <c r="AD127" s="328">
        <f t="shared" si="45"/>
        <v>543.32399999999996</v>
      </c>
      <c r="AE127" s="328">
        <f t="shared" si="45"/>
        <v>0</v>
      </c>
      <c r="AF127" s="1146"/>
    </row>
    <row r="128" spans="1:32" ht="31.5" x14ac:dyDescent="0.25">
      <c r="A128" s="340" t="s">
        <v>174</v>
      </c>
      <c r="B128" s="328">
        <f>H128+J128+L128+N128+P128+R128+T128+V128+X128+Z128+AB128+AD128</f>
        <v>0</v>
      </c>
      <c r="C128" s="328">
        <f>C134+C140+C146</f>
        <v>0</v>
      </c>
      <c r="D128" s="328">
        <f>E128</f>
        <v>0</v>
      </c>
      <c r="E128" s="328">
        <f>I128+K128+M128+O128+Q128+S128+U128+W128+Y128+AA128+AC128+AE128</f>
        <v>0</v>
      </c>
      <c r="F128" s="342">
        <f>IFERROR(E128/B128*100,0)</f>
        <v>0</v>
      </c>
      <c r="G128" s="342">
        <f>IFERROR(E128/C128*100,0)</f>
        <v>0</v>
      </c>
      <c r="H128" s="328">
        <f>H134+H140+H146</f>
        <v>0</v>
      </c>
      <c r="I128" s="328">
        <f t="shared" si="45"/>
        <v>0</v>
      </c>
      <c r="J128" s="328">
        <f t="shared" si="45"/>
        <v>0</v>
      </c>
      <c r="K128" s="328">
        <f t="shared" si="45"/>
        <v>0</v>
      </c>
      <c r="L128" s="328">
        <f t="shared" si="45"/>
        <v>0</v>
      </c>
      <c r="M128" s="328">
        <f t="shared" si="45"/>
        <v>0</v>
      </c>
      <c r="N128" s="328">
        <f t="shared" si="45"/>
        <v>0</v>
      </c>
      <c r="O128" s="328">
        <f t="shared" si="45"/>
        <v>0</v>
      </c>
      <c r="P128" s="328">
        <f t="shared" si="45"/>
        <v>0</v>
      </c>
      <c r="Q128" s="328">
        <f t="shared" si="45"/>
        <v>0</v>
      </c>
      <c r="R128" s="328">
        <f t="shared" si="45"/>
        <v>0</v>
      </c>
      <c r="S128" s="328">
        <f t="shared" si="45"/>
        <v>0</v>
      </c>
      <c r="T128" s="328">
        <f t="shared" si="45"/>
        <v>0</v>
      </c>
      <c r="U128" s="328">
        <f t="shared" si="45"/>
        <v>0</v>
      </c>
      <c r="V128" s="328">
        <f t="shared" si="45"/>
        <v>0</v>
      </c>
      <c r="W128" s="328">
        <f t="shared" si="45"/>
        <v>0</v>
      </c>
      <c r="X128" s="328">
        <f t="shared" si="45"/>
        <v>0</v>
      </c>
      <c r="Y128" s="328">
        <f t="shared" si="45"/>
        <v>0</v>
      </c>
      <c r="Z128" s="328">
        <f t="shared" si="45"/>
        <v>0</v>
      </c>
      <c r="AA128" s="328">
        <f t="shared" si="45"/>
        <v>0</v>
      </c>
      <c r="AB128" s="328">
        <f t="shared" si="45"/>
        <v>0</v>
      </c>
      <c r="AC128" s="328">
        <f t="shared" si="45"/>
        <v>0</v>
      </c>
      <c r="AD128" s="328">
        <f t="shared" si="45"/>
        <v>0</v>
      </c>
      <c r="AE128" s="328">
        <f t="shared" si="45"/>
        <v>0</v>
      </c>
      <c r="AF128" s="1146"/>
    </row>
    <row r="129" spans="1:32" x14ac:dyDescent="0.25">
      <c r="A129" s="326" t="s">
        <v>374</v>
      </c>
      <c r="B129" s="328">
        <f>H129+J129+L129+N129+P129+R129+T129+V129+X129+Z129+AB129+AD129</f>
        <v>0</v>
      </c>
      <c r="C129" s="328">
        <f>C135+C141+C147</f>
        <v>0</v>
      </c>
      <c r="D129" s="328">
        <f>E129</f>
        <v>0</v>
      </c>
      <c r="E129" s="328">
        <f>I129+K129+M129+O129+Q129+S129+U129+W129+Y129+AA129+AC129+AE129</f>
        <v>0</v>
      </c>
      <c r="F129" s="342">
        <f>IFERROR(E129/B129*100,0)</f>
        <v>0</v>
      </c>
      <c r="G129" s="342">
        <f>IFERROR(E129/C129*100,0)</f>
        <v>0</v>
      </c>
      <c r="H129" s="328">
        <f>H135+H141+H147</f>
        <v>0</v>
      </c>
      <c r="I129" s="328">
        <f t="shared" si="45"/>
        <v>0</v>
      </c>
      <c r="J129" s="328">
        <f t="shared" si="45"/>
        <v>0</v>
      </c>
      <c r="K129" s="328">
        <f t="shared" si="45"/>
        <v>0</v>
      </c>
      <c r="L129" s="328">
        <f t="shared" si="45"/>
        <v>0</v>
      </c>
      <c r="M129" s="328">
        <f t="shared" si="45"/>
        <v>0</v>
      </c>
      <c r="N129" s="328">
        <f t="shared" si="45"/>
        <v>0</v>
      </c>
      <c r="O129" s="328">
        <f t="shared" si="45"/>
        <v>0</v>
      </c>
      <c r="P129" s="328">
        <f t="shared" si="45"/>
        <v>0</v>
      </c>
      <c r="Q129" s="328">
        <f t="shared" si="45"/>
        <v>0</v>
      </c>
      <c r="R129" s="328">
        <f t="shared" si="45"/>
        <v>0</v>
      </c>
      <c r="S129" s="328">
        <f t="shared" si="45"/>
        <v>0</v>
      </c>
      <c r="T129" s="328">
        <f t="shared" si="45"/>
        <v>0</v>
      </c>
      <c r="U129" s="328">
        <f t="shared" si="45"/>
        <v>0</v>
      </c>
      <c r="V129" s="328">
        <f t="shared" si="45"/>
        <v>0</v>
      </c>
      <c r="W129" s="328">
        <f t="shared" si="45"/>
        <v>0</v>
      </c>
      <c r="X129" s="328">
        <f t="shared" si="45"/>
        <v>0</v>
      </c>
      <c r="Y129" s="328">
        <f t="shared" si="45"/>
        <v>0</v>
      </c>
      <c r="Z129" s="328">
        <f t="shared" si="45"/>
        <v>0</v>
      </c>
      <c r="AA129" s="328">
        <f t="shared" si="45"/>
        <v>0</v>
      </c>
      <c r="AB129" s="328">
        <f t="shared" si="45"/>
        <v>0</v>
      </c>
      <c r="AC129" s="328">
        <f t="shared" si="45"/>
        <v>0</v>
      </c>
      <c r="AD129" s="328">
        <f t="shared" si="45"/>
        <v>0</v>
      </c>
      <c r="AE129" s="328">
        <f t="shared" si="45"/>
        <v>0</v>
      </c>
      <c r="AF129" s="1147"/>
    </row>
    <row r="130" spans="1:32" x14ac:dyDescent="0.25">
      <c r="A130" s="1148" t="s">
        <v>416</v>
      </c>
      <c r="B130" s="1149"/>
      <c r="C130" s="1149"/>
      <c r="D130" s="1149"/>
      <c r="E130" s="1149"/>
      <c r="F130" s="1149"/>
      <c r="G130" s="1149"/>
      <c r="H130" s="1149"/>
      <c r="I130" s="1149"/>
      <c r="J130" s="1149"/>
      <c r="K130" s="1149"/>
      <c r="L130" s="1149"/>
      <c r="M130" s="1149"/>
      <c r="N130" s="1149"/>
      <c r="O130" s="1149"/>
      <c r="P130" s="1149"/>
      <c r="Q130" s="1149"/>
      <c r="R130" s="1149"/>
      <c r="S130" s="1149"/>
      <c r="T130" s="1149"/>
      <c r="U130" s="1149"/>
      <c r="V130" s="1149"/>
      <c r="W130" s="1149"/>
      <c r="X130" s="1149"/>
      <c r="Y130" s="1149"/>
      <c r="Z130" s="1149"/>
      <c r="AA130" s="1149"/>
      <c r="AB130" s="1149"/>
      <c r="AC130" s="1149"/>
      <c r="AD130" s="1149"/>
      <c r="AE130" s="1150"/>
      <c r="AF130" s="337"/>
    </row>
    <row r="131" spans="1:32" x14ac:dyDescent="0.25">
      <c r="A131" s="326" t="s">
        <v>31</v>
      </c>
      <c r="B131" s="342">
        <f>B132+B133+B135</f>
        <v>6177.6959999999999</v>
      </c>
      <c r="C131" s="342">
        <f>C132+C133+C135</f>
        <v>3554.7069999999999</v>
      </c>
      <c r="D131" s="342">
        <f>D132+D133+D135</f>
        <v>2401.64</v>
      </c>
      <c r="E131" s="342">
        <f>E132+E133+E135</f>
        <v>2401.64</v>
      </c>
      <c r="F131" s="328">
        <f>IFERROR(E131/B131*100,0)</f>
        <v>38.875982243218182</v>
      </c>
      <c r="G131" s="328">
        <f>IFERROR(E131/C131*100,0)</f>
        <v>67.562249153024425</v>
      </c>
      <c r="H131" s="328">
        <f>H132+H133+H135</f>
        <v>309.10599999999999</v>
      </c>
      <c r="I131" s="328">
        <f t="shared" ref="I131:AE131" si="47">I132+I133+I135</f>
        <v>290.38</v>
      </c>
      <c r="J131" s="328">
        <f t="shared" si="47"/>
        <v>520.11699999999996</v>
      </c>
      <c r="K131" s="328">
        <f t="shared" si="47"/>
        <v>297.3</v>
      </c>
      <c r="L131" s="328">
        <f t="shared" si="47"/>
        <v>519.91700000000003</v>
      </c>
      <c r="M131" s="328">
        <f t="shared" si="47"/>
        <v>298.05</v>
      </c>
      <c r="N131" s="328">
        <f t="shared" si="47"/>
        <v>519.91700000000003</v>
      </c>
      <c r="O131" s="328">
        <f t="shared" si="47"/>
        <v>304.35000000000002</v>
      </c>
      <c r="P131" s="328">
        <f t="shared" si="47"/>
        <v>519.91700000000003</v>
      </c>
      <c r="Q131" s="328">
        <f t="shared" si="47"/>
        <v>298.10000000000002</v>
      </c>
      <c r="R131" s="328">
        <f t="shared" si="47"/>
        <v>645.81700000000001</v>
      </c>
      <c r="S131" s="328">
        <f t="shared" si="47"/>
        <v>291.16000000000003</v>
      </c>
      <c r="T131" s="328">
        <f t="shared" si="47"/>
        <v>519.91600000000005</v>
      </c>
      <c r="U131" s="328">
        <f t="shared" si="47"/>
        <v>622.29999999999995</v>
      </c>
      <c r="V131" s="328">
        <f t="shared" si="47"/>
        <v>519.91600000000005</v>
      </c>
      <c r="W131" s="328">
        <f t="shared" si="47"/>
        <v>0</v>
      </c>
      <c r="X131" s="328">
        <f t="shared" si="47"/>
        <v>519.91600000000005</v>
      </c>
      <c r="Y131" s="328">
        <f t="shared" si="47"/>
        <v>0</v>
      </c>
      <c r="Z131" s="328">
        <f t="shared" si="47"/>
        <v>519.91600000000005</v>
      </c>
      <c r="AA131" s="328">
        <f t="shared" si="47"/>
        <v>0</v>
      </c>
      <c r="AB131" s="328">
        <f t="shared" si="47"/>
        <v>519.91700000000003</v>
      </c>
      <c r="AC131" s="328">
        <f t="shared" si="47"/>
        <v>0</v>
      </c>
      <c r="AD131" s="328">
        <f t="shared" si="47"/>
        <v>543.32399999999996</v>
      </c>
      <c r="AE131" s="328">
        <f t="shared" si="47"/>
        <v>0</v>
      </c>
      <c r="AF131" s="1151" t="s">
        <v>471</v>
      </c>
    </row>
    <row r="132" spans="1:32" x14ac:dyDescent="0.25">
      <c r="A132" s="326" t="s">
        <v>32</v>
      </c>
      <c r="B132" s="328"/>
      <c r="C132" s="327"/>
      <c r="D132" s="328"/>
      <c r="E132" s="328"/>
      <c r="F132" s="328"/>
      <c r="G132" s="328"/>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1152"/>
    </row>
    <row r="133" spans="1:32" x14ac:dyDescent="0.25">
      <c r="A133" s="326" t="s">
        <v>33</v>
      </c>
      <c r="B133" s="328">
        <f>H133+J133+L133+N133+P133+R133+T133+V133+X133+Z133+AB133+AD133</f>
        <v>6177.6959999999999</v>
      </c>
      <c r="C133" s="327">
        <f>H133+J133+L133+N133+P133+R133+T133</f>
        <v>3554.7069999999999</v>
      </c>
      <c r="D133" s="328">
        <f>E133</f>
        <v>2401.64</v>
      </c>
      <c r="E133" s="328">
        <f>I133+K133+M133+O133+Q133+S133+U133+W133+Y133+AA133+AC133+AE133</f>
        <v>2401.64</v>
      </c>
      <c r="F133" s="328">
        <f>IFERROR(E133/B133*100,0)</f>
        <v>38.875982243218182</v>
      </c>
      <c r="G133" s="328">
        <f>IFERROR(E133/C133*100,0)</f>
        <v>67.562249153024425</v>
      </c>
      <c r="H133" s="327">
        <v>309.10599999999999</v>
      </c>
      <c r="I133" s="327">
        <v>290.38</v>
      </c>
      <c r="J133" s="327">
        <v>520.11699999999996</v>
      </c>
      <c r="K133" s="327">
        <v>297.3</v>
      </c>
      <c r="L133" s="327">
        <v>519.91700000000003</v>
      </c>
      <c r="M133" s="327">
        <v>298.05</v>
      </c>
      <c r="N133" s="327">
        <v>519.91700000000003</v>
      </c>
      <c r="O133" s="327">
        <v>304.35000000000002</v>
      </c>
      <c r="P133" s="327">
        <v>519.91700000000003</v>
      </c>
      <c r="Q133" s="327">
        <v>298.10000000000002</v>
      </c>
      <c r="R133" s="327">
        <v>645.81700000000001</v>
      </c>
      <c r="S133" s="327">
        <v>291.16000000000003</v>
      </c>
      <c r="T133" s="327">
        <v>519.91600000000005</v>
      </c>
      <c r="U133" s="327">
        <v>622.29999999999995</v>
      </c>
      <c r="V133" s="327">
        <v>519.91600000000005</v>
      </c>
      <c r="W133" s="327"/>
      <c r="X133" s="327">
        <v>519.91600000000005</v>
      </c>
      <c r="Y133" s="327"/>
      <c r="Z133" s="327">
        <v>519.91600000000005</v>
      </c>
      <c r="AA133" s="327"/>
      <c r="AB133" s="327">
        <v>519.91700000000003</v>
      </c>
      <c r="AC133" s="327">
        <v>0</v>
      </c>
      <c r="AD133" s="327">
        <v>543.32399999999996</v>
      </c>
      <c r="AE133" s="327"/>
      <c r="AF133" s="1152"/>
    </row>
    <row r="134" spans="1:32" ht="31.5" x14ac:dyDescent="0.25">
      <c r="A134" s="340" t="s">
        <v>174</v>
      </c>
      <c r="B134" s="328"/>
      <c r="C134" s="327"/>
      <c r="D134" s="328"/>
      <c r="E134" s="328"/>
      <c r="F134" s="328"/>
      <c r="G134" s="328"/>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1152"/>
    </row>
    <row r="135" spans="1:32" x14ac:dyDescent="0.25">
      <c r="A135" s="326" t="s">
        <v>374</v>
      </c>
      <c r="B135" s="328"/>
      <c r="C135" s="327"/>
      <c r="D135" s="328"/>
      <c r="E135" s="328"/>
      <c r="F135" s="328"/>
      <c r="G135" s="328"/>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1153"/>
    </row>
    <row r="136" spans="1:32" ht="19.5" customHeight="1" x14ac:dyDescent="0.25">
      <c r="A136" s="1148" t="s">
        <v>417</v>
      </c>
      <c r="B136" s="1149"/>
      <c r="C136" s="1149"/>
      <c r="D136" s="1149"/>
      <c r="E136" s="1149"/>
      <c r="F136" s="1149"/>
      <c r="G136" s="1149"/>
      <c r="H136" s="1149"/>
      <c r="I136" s="1149"/>
      <c r="J136" s="1149"/>
      <c r="K136" s="1149"/>
      <c r="L136" s="1149"/>
      <c r="M136" s="1149"/>
      <c r="N136" s="1149"/>
      <c r="O136" s="1149"/>
      <c r="P136" s="1149"/>
      <c r="Q136" s="1149"/>
      <c r="R136" s="1149"/>
      <c r="S136" s="1149"/>
      <c r="T136" s="1149"/>
      <c r="U136" s="1149"/>
      <c r="V136" s="1149"/>
      <c r="W136" s="1149"/>
      <c r="X136" s="1149"/>
      <c r="Y136" s="1149"/>
      <c r="Z136" s="1149"/>
      <c r="AA136" s="1149"/>
      <c r="AB136" s="1149"/>
      <c r="AC136" s="1149"/>
      <c r="AD136" s="1149"/>
      <c r="AE136" s="1150"/>
      <c r="AF136" s="325"/>
    </row>
    <row r="137" spans="1:32" x14ac:dyDescent="0.25">
      <c r="A137" s="326" t="s">
        <v>31</v>
      </c>
      <c r="B137" s="342">
        <f>B138+B139+B141</f>
        <v>3180.5</v>
      </c>
      <c r="C137" s="342">
        <f>C138+C139+C141</f>
        <v>0</v>
      </c>
      <c r="D137" s="342">
        <f>D138+D139+D141</f>
        <v>0</v>
      </c>
      <c r="E137" s="342">
        <f>E138+E139+E141</f>
        <v>0</v>
      </c>
      <c r="F137" s="328">
        <f>IFERROR(E137/B137*100,0)</f>
        <v>0</v>
      </c>
      <c r="G137" s="328">
        <f>IFERROR(E137/C137*100,0)</f>
        <v>0</v>
      </c>
      <c r="H137" s="328">
        <f>H138+H139+H141</f>
        <v>0</v>
      </c>
      <c r="I137" s="328">
        <f t="shared" ref="I137:AE137" si="48">I138+I139+I141</f>
        <v>0</v>
      </c>
      <c r="J137" s="328">
        <f t="shared" si="48"/>
        <v>0</v>
      </c>
      <c r="K137" s="328">
        <f t="shared" si="48"/>
        <v>0</v>
      </c>
      <c r="L137" s="328">
        <f t="shared" si="48"/>
        <v>0</v>
      </c>
      <c r="M137" s="328">
        <f t="shared" si="48"/>
        <v>0</v>
      </c>
      <c r="N137" s="328">
        <f t="shared" si="48"/>
        <v>0</v>
      </c>
      <c r="O137" s="328">
        <f t="shared" si="48"/>
        <v>0</v>
      </c>
      <c r="P137" s="328">
        <f t="shared" si="48"/>
        <v>0</v>
      </c>
      <c r="Q137" s="328">
        <f t="shared" si="48"/>
        <v>0</v>
      </c>
      <c r="R137" s="328">
        <f t="shared" si="48"/>
        <v>0</v>
      </c>
      <c r="S137" s="328">
        <f t="shared" si="48"/>
        <v>0</v>
      </c>
      <c r="T137" s="328">
        <f t="shared" si="48"/>
        <v>0</v>
      </c>
      <c r="U137" s="328">
        <f t="shared" si="48"/>
        <v>0</v>
      </c>
      <c r="V137" s="328">
        <f t="shared" si="48"/>
        <v>0</v>
      </c>
      <c r="W137" s="328">
        <f t="shared" si="48"/>
        <v>0</v>
      </c>
      <c r="X137" s="328">
        <f t="shared" si="48"/>
        <v>0</v>
      </c>
      <c r="Y137" s="328">
        <f t="shared" si="48"/>
        <v>0</v>
      </c>
      <c r="Z137" s="328">
        <f t="shared" si="48"/>
        <v>3180.5</v>
      </c>
      <c r="AA137" s="328">
        <f t="shared" si="48"/>
        <v>0</v>
      </c>
      <c r="AB137" s="328">
        <f t="shared" si="48"/>
        <v>0</v>
      </c>
      <c r="AC137" s="328">
        <f t="shared" si="48"/>
        <v>0</v>
      </c>
      <c r="AD137" s="328">
        <f t="shared" si="48"/>
        <v>0</v>
      </c>
      <c r="AE137" s="328">
        <f t="shared" si="48"/>
        <v>0</v>
      </c>
      <c r="AF137" s="1158" t="s">
        <v>528</v>
      </c>
    </row>
    <row r="138" spans="1:32" x14ac:dyDescent="0.25">
      <c r="A138" s="326" t="s">
        <v>32</v>
      </c>
      <c r="B138" s="328"/>
      <c r="C138" s="327"/>
      <c r="D138" s="328"/>
      <c r="E138" s="328"/>
      <c r="F138" s="328"/>
      <c r="G138" s="328"/>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1152"/>
    </row>
    <row r="139" spans="1:32" ht="51.75" customHeight="1" x14ac:dyDescent="0.25">
      <c r="A139" s="326" t="s">
        <v>33</v>
      </c>
      <c r="B139" s="328">
        <f>H139+J139+L139+N139+P139+R139+T139+V139+X139+Z139+AB139+AD139</f>
        <v>3180.5</v>
      </c>
      <c r="C139" s="327">
        <f>H139+J139+L139+N139+P139+R139+T139</f>
        <v>0</v>
      </c>
      <c r="D139" s="328">
        <f>E139</f>
        <v>0</v>
      </c>
      <c r="E139" s="328">
        <f>I139+K139+M139+O139+Q139+S139+U139+W139+Y139+AA139+AC139+AE139</f>
        <v>0</v>
      </c>
      <c r="F139" s="328">
        <f>IFERROR(E139/B139*100,0)</f>
        <v>0</v>
      </c>
      <c r="G139" s="328">
        <f>IFERROR(E139/C139*100,0)</f>
        <v>0</v>
      </c>
      <c r="H139" s="327"/>
      <c r="I139" s="327"/>
      <c r="J139" s="327"/>
      <c r="K139" s="327"/>
      <c r="L139" s="327"/>
      <c r="M139" s="327"/>
      <c r="N139" s="327"/>
      <c r="O139" s="327"/>
      <c r="P139" s="327"/>
      <c r="Q139" s="327"/>
      <c r="R139" s="327"/>
      <c r="S139" s="327"/>
      <c r="T139" s="327"/>
      <c r="U139" s="327"/>
      <c r="V139" s="327"/>
      <c r="W139" s="327"/>
      <c r="X139" s="327"/>
      <c r="Y139" s="327"/>
      <c r="Z139" s="327">
        <v>3180.5</v>
      </c>
      <c r="AA139" s="327"/>
      <c r="AB139" s="327"/>
      <c r="AC139" s="327"/>
      <c r="AD139" s="327"/>
      <c r="AE139" s="327"/>
      <c r="AF139" s="1152"/>
    </row>
    <row r="140" spans="1:32" ht="31.5" x14ac:dyDescent="0.25">
      <c r="A140" s="340" t="s">
        <v>174</v>
      </c>
      <c r="B140" s="328"/>
      <c r="C140" s="327"/>
      <c r="D140" s="328"/>
      <c r="E140" s="328"/>
      <c r="F140" s="328"/>
      <c r="G140" s="328"/>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1152"/>
    </row>
    <row r="141" spans="1:32" x14ac:dyDescent="0.25">
      <c r="A141" s="326" t="s">
        <v>374</v>
      </c>
      <c r="B141" s="328"/>
      <c r="C141" s="327"/>
      <c r="D141" s="328"/>
      <c r="E141" s="328"/>
      <c r="F141" s="328"/>
      <c r="G141" s="328"/>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1153"/>
    </row>
    <row r="142" spans="1:32" ht="126.75" customHeight="1" x14ac:dyDescent="0.25">
      <c r="A142" s="933" t="s">
        <v>568</v>
      </c>
      <c r="B142" s="328"/>
      <c r="C142" s="327"/>
      <c r="D142" s="328"/>
      <c r="E142" s="328"/>
      <c r="F142" s="328"/>
      <c r="G142" s="328"/>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935" t="s">
        <v>569</v>
      </c>
    </row>
    <row r="143" spans="1:32" x14ac:dyDescent="0.25">
      <c r="A143" s="326" t="s">
        <v>31</v>
      </c>
      <c r="B143" s="342">
        <f>B144+B145+B147</f>
        <v>3922.9</v>
      </c>
      <c r="C143" s="342">
        <f>C144+C145+C147</f>
        <v>0</v>
      </c>
      <c r="D143" s="342">
        <f>D144+D145+D147</f>
        <v>0</v>
      </c>
      <c r="E143" s="342">
        <f>E144+E145+E147</f>
        <v>0</v>
      </c>
      <c r="F143" s="328">
        <f>IFERROR(E143/B143*100,0)</f>
        <v>0</v>
      </c>
      <c r="G143" s="328">
        <f>IFERROR(E143/C143*100,0)</f>
        <v>0</v>
      </c>
      <c r="H143" s="328">
        <f>H144+H145+H147</f>
        <v>0</v>
      </c>
      <c r="I143" s="328">
        <f t="shared" ref="I143:AE143" si="49">I144+I145+I147</f>
        <v>0</v>
      </c>
      <c r="J143" s="328">
        <f t="shared" si="49"/>
        <v>0</v>
      </c>
      <c r="K143" s="328">
        <f t="shared" si="49"/>
        <v>0</v>
      </c>
      <c r="L143" s="328">
        <f t="shared" si="49"/>
        <v>0</v>
      </c>
      <c r="M143" s="328">
        <f t="shared" si="49"/>
        <v>0</v>
      </c>
      <c r="N143" s="328">
        <f t="shared" si="49"/>
        <v>0</v>
      </c>
      <c r="O143" s="328">
        <f t="shared" si="49"/>
        <v>0</v>
      </c>
      <c r="P143" s="328">
        <f t="shared" si="49"/>
        <v>0</v>
      </c>
      <c r="Q143" s="328">
        <f t="shared" si="49"/>
        <v>0</v>
      </c>
      <c r="R143" s="328">
        <f t="shared" si="49"/>
        <v>0</v>
      </c>
      <c r="S143" s="328">
        <f t="shared" si="49"/>
        <v>0</v>
      </c>
      <c r="T143" s="328">
        <f t="shared" si="49"/>
        <v>0</v>
      </c>
      <c r="U143" s="328">
        <f t="shared" si="49"/>
        <v>0</v>
      </c>
      <c r="V143" s="328">
        <f t="shared" si="49"/>
        <v>0</v>
      </c>
      <c r="W143" s="328">
        <f t="shared" si="49"/>
        <v>0</v>
      </c>
      <c r="X143" s="328">
        <f t="shared" si="49"/>
        <v>0</v>
      </c>
      <c r="Y143" s="328">
        <f t="shared" si="49"/>
        <v>0</v>
      </c>
      <c r="Z143" s="328">
        <f t="shared" si="49"/>
        <v>0</v>
      </c>
      <c r="AA143" s="328">
        <f t="shared" si="49"/>
        <v>0</v>
      </c>
      <c r="AB143" s="328">
        <f t="shared" si="49"/>
        <v>3922.9</v>
      </c>
      <c r="AC143" s="328">
        <f t="shared" si="49"/>
        <v>0</v>
      </c>
      <c r="AD143" s="328">
        <f t="shared" si="49"/>
        <v>0</v>
      </c>
      <c r="AE143" s="328">
        <f t="shared" si="49"/>
        <v>0</v>
      </c>
      <c r="AF143" s="935"/>
    </row>
    <row r="144" spans="1:32" x14ac:dyDescent="0.25">
      <c r="A144" s="326" t="s">
        <v>32</v>
      </c>
      <c r="B144" s="328"/>
      <c r="C144" s="327"/>
      <c r="D144" s="328"/>
      <c r="E144" s="328"/>
      <c r="F144" s="328"/>
      <c r="G144" s="328"/>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934"/>
    </row>
    <row r="145" spans="1:32" ht="51.75" customHeight="1" x14ac:dyDescent="0.25">
      <c r="A145" s="326" t="s">
        <v>33</v>
      </c>
      <c r="B145" s="328">
        <f>H145+J145+L145+N145+P145+R145+T145+V145+X145+Z145+AB145+AD145</f>
        <v>3922.9</v>
      </c>
      <c r="C145" s="327">
        <f>H145+J145+L145+N145+P145+R145+T145</f>
        <v>0</v>
      </c>
      <c r="D145" s="328">
        <f>E145</f>
        <v>0</v>
      </c>
      <c r="E145" s="328">
        <f>I145+K145+M145+O145+Q145+S145+U145+W145+Y145+AA145+AC145+AE145</f>
        <v>0</v>
      </c>
      <c r="F145" s="328">
        <f>IFERROR(E145/B145*100,0)</f>
        <v>0</v>
      </c>
      <c r="G145" s="328">
        <f>IFERROR(E145/C145*100,0)</f>
        <v>0</v>
      </c>
      <c r="H145" s="327"/>
      <c r="I145" s="327"/>
      <c r="J145" s="327"/>
      <c r="K145" s="327"/>
      <c r="L145" s="327"/>
      <c r="M145" s="327"/>
      <c r="N145" s="327"/>
      <c r="O145" s="327"/>
      <c r="P145" s="327"/>
      <c r="Q145" s="327"/>
      <c r="R145" s="327"/>
      <c r="S145" s="327"/>
      <c r="T145" s="327"/>
      <c r="U145" s="327"/>
      <c r="V145" s="327"/>
      <c r="W145" s="327"/>
      <c r="X145" s="327"/>
      <c r="Y145" s="327"/>
      <c r="Z145" s="327"/>
      <c r="AA145" s="327"/>
      <c r="AB145" s="327">
        <v>3922.9</v>
      </c>
      <c r="AC145" s="327"/>
      <c r="AD145" s="327"/>
      <c r="AE145" s="327"/>
      <c r="AF145" s="934"/>
    </row>
    <row r="146" spans="1:32" ht="31.5" x14ac:dyDescent="0.25">
      <c r="A146" s="340" t="s">
        <v>174</v>
      </c>
      <c r="B146" s="328"/>
      <c r="C146" s="327"/>
      <c r="D146" s="328"/>
      <c r="E146" s="328"/>
      <c r="F146" s="328"/>
      <c r="G146" s="328"/>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934"/>
    </row>
    <row r="147" spans="1:32" x14ac:dyDescent="0.25">
      <c r="A147" s="326" t="s">
        <v>374</v>
      </c>
      <c r="B147" s="328"/>
      <c r="C147" s="327"/>
      <c r="D147" s="328"/>
      <c r="E147" s="328"/>
      <c r="F147" s="328"/>
      <c r="G147" s="328"/>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934"/>
    </row>
    <row r="148" spans="1:32" x14ac:dyDescent="0.25">
      <c r="A148" s="329" t="s">
        <v>62</v>
      </c>
      <c r="B148" s="335">
        <f>B149+B150+B152</f>
        <v>13281.096000000001</v>
      </c>
      <c r="C148" s="335">
        <f>C149+C150+C152</f>
        <v>3554.7069999999999</v>
      </c>
      <c r="D148" s="335">
        <f>D149+D150+D152</f>
        <v>2401.64</v>
      </c>
      <c r="E148" s="335">
        <f>E149+E150+E152</f>
        <v>2401.64</v>
      </c>
      <c r="F148" s="335">
        <f>IFERROR(E148/B148*100,0)</f>
        <v>18.083146149986415</v>
      </c>
      <c r="G148" s="335">
        <f>IFERROR(E148/C148*100,0)</f>
        <v>67.562249153024425</v>
      </c>
      <c r="H148" s="335">
        <f>H149+H150+H152</f>
        <v>309.10599999999999</v>
      </c>
      <c r="I148" s="335">
        <f t="shared" ref="I148:AE148" si="50">I149+I150+I152</f>
        <v>290.38</v>
      </c>
      <c r="J148" s="335">
        <f t="shared" si="50"/>
        <v>520.11699999999996</v>
      </c>
      <c r="K148" s="335">
        <f t="shared" si="50"/>
        <v>297.3</v>
      </c>
      <c r="L148" s="335">
        <f t="shared" si="50"/>
        <v>519.91700000000003</v>
      </c>
      <c r="M148" s="335">
        <f t="shared" si="50"/>
        <v>298.05</v>
      </c>
      <c r="N148" s="335">
        <f t="shared" si="50"/>
        <v>519.91700000000003</v>
      </c>
      <c r="O148" s="335">
        <f t="shared" si="50"/>
        <v>304.35000000000002</v>
      </c>
      <c r="P148" s="335">
        <f t="shared" si="50"/>
        <v>519.91700000000003</v>
      </c>
      <c r="Q148" s="335">
        <f t="shared" si="50"/>
        <v>298.10000000000002</v>
      </c>
      <c r="R148" s="335">
        <f t="shared" si="50"/>
        <v>645.81700000000001</v>
      </c>
      <c r="S148" s="335">
        <f t="shared" si="50"/>
        <v>291.16000000000003</v>
      </c>
      <c r="T148" s="335">
        <f t="shared" si="50"/>
        <v>519.91600000000005</v>
      </c>
      <c r="U148" s="335">
        <f t="shared" si="50"/>
        <v>622.29999999999995</v>
      </c>
      <c r="V148" s="335">
        <f t="shared" si="50"/>
        <v>519.91600000000005</v>
      </c>
      <c r="W148" s="335">
        <f t="shared" si="50"/>
        <v>0</v>
      </c>
      <c r="X148" s="335">
        <f t="shared" si="50"/>
        <v>519.91600000000005</v>
      </c>
      <c r="Y148" s="335">
        <f t="shared" si="50"/>
        <v>0</v>
      </c>
      <c r="Z148" s="335">
        <f t="shared" si="50"/>
        <v>3700.4160000000002</v>
      </c>
      <c r="AA148" s="335">
        <f t="shared" si="50"/>
        <v>0</v>
      </c>
      <c r="AB148" s="335">
        <f t="shared" si="50"/>
        <v>4442.817</v>
      </c>
      <c r="AC148" s="335">
        <f t="shared" si="50"/>
        <v>0</v>
      </c>
      <c r="AD148" s="335">
        <f t="shared" si="50"/>
        <v>543.32399999999996</v>
      </c>
      <c r="AE148" s="335">
        <f t="shared" si="50"/>
        <v>0</v>
      </c>
      <c r="AF148" s="1163"/>
    </row>
    <row r="149" spans="1:32" x14ac:dyDescent="0.25">
      <c r="A149" s="326" t="s">
        <v>32</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1164"/>
    </row>
    <row r="150" spans="1:32" x14ac:dyDescent="0.25">
      <c r="A150" s="326" t="s">
        <v>93</v>
      </c>
      <c r="B150" s="328">
        <f>H150+J150+L150+N150+P150+R150+T150+V150+X150+Z150+AB150+AD150</f>
        <v>13281.096000000001</v>
      </c>
      <c r="C150" s="328">
        <f>C127</f>
        <v>3554.7069999999999</v>
      </c>
      <c r="D150" s="328">
        <f>E150</f>
        <v>2401.64</v>
      </c>
      <c r="E150" s="328">
        <f>I150+K150+M150+O150+Q150+S150+U150+W150+Y150+AA150+AC150+AE150</f>
        <v>2401.64</v>
      </c>
      <c r="F150" s="328">
        <f>IFERROR(E150/B150*100,0)</f>
        <v>18.083146149986415</v>
      </c>
      <c r="G150" s="328">
        <f>IFERROR(E150/C150*100,0)</f>
        <v>67.562249153024425</v>
      </c>
      <c r="H150" s="328">
        <f t="shared" ref="H150:W150" si="51">H127</f>
        <v>309.10599999999999</v>
      </c>
      <c r="I150" s="328">
        <f t="shared" si="51"/>
        <v>290.38</v>
      </c>
      <c r="J150" s="328">
        <f t="shared" si="51"/>
        <v>520.11699999999996</v>
      </c>
      <c r="K150" s="328">
        <f t="shared" si="51"/>
        <v>297.3</v>
      </c>
      <c r="L150" s="328">
        <f t="shared" si="51"/>
        <v>519.91700000000003</v>
      </c>
      <c r="M150" s="328">
        <f t="shared" si="51"/>
        <v>298.05</v>
      </c>
      <c r="N150" s="328">
        <f t="shared" si="51"/>
        <v>519.91700000000003</v>
      </c>
      <c r="O150" s="328">
        <f t="shared" si="51"/>
        <v>304.35000000000002</v>
      </c>
      <c r="P150" s="328">
        <f t="shared" si="51"/>
        <v>519.91700000000003</v>
      </c>
      <c r="Q150" s="328">
        <f t="shared" si="51"/>
        <v>298.10000000000002</v>
      </c>
      <c r="R150" s="328">
        <f t="shared" si="51"/>
        <v>645.81700000000001</v>
      </c>
      <c r="S150" s="328">
        <f t="shared" si="51"/>
        <v>291.16000000000003</v>
      </c>
      <c r="T150" s="328">
        <f t="shared" si="51"/>
        <v>519.91600000000005</v>
      </c>
      <c r="U150" s="328">
        <f t="shared" si="51"/>
        <v>622.29999999999995</v>
      </c>
      <c r="V150" s="328">
        <f t="shared" si="51"/>
        <v>519.91600000000005</v>
      </c>
      <c r="W150" s="328">
        <f t="shared" si="51"/>
        <v>0</v>
      </c>
      <c r="X150" s="328">
        <f t="shared" ref="X150:AE150" si="52">X127</f>
        <v>519.91600000000005</v>
      </c>
      <c r="Y150" s="328">
        <f t="shared" si="52"/>
        <v>0</v>
      </c>
      <c r="Z150" s="328">
        <f t="shared" si="52"/>
        <v>3700.4160000000002</v>
      </c>
      <c r="AA150" s="328">
        <f t="shared" si="52"/>
        <v>0</v>
      </c>
      <c r="AB150" s="328">
        <f t="shared" si="52"/>
        <v>4442.817</v>
      </c>
      <c r="AC150" s="328">
        <f t="shared" si="52"/>
        <v>0</v>
      </c>
      <c r="AD150" s="328">
        <f t="shared" si="52"/>
        <v>543.32399999999996</v>
      </c>
      <c r="AE150" s="328">
        <f t="shared" si="52"/>
        <v>0</v>
      </c>
      <c r="AF150" s="1164"/>
    </row>
    <row r="151" spans="1:32" ht="31.5" x14ac:dyDescent="0.25">
      <c r="A151" s="340" t="s">
        <v>174</v>
      </c>
      <c r="B151" s="327"/>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1164"/>
    </row>
    <row r="152" spans="1:32" x14ac:dyDescent="0.25">
      <c r="A152" s="326" t="s">
        <v>374</v>
      </c>
      <c r="B152" s="327"/>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1164"/>
    </row>
    <row r="153" spans="1:32" ht="31.5" x14ac:dyDescent="0.25">
      <c r="A153" s="329" t="s">
        <v>63</v>
      </c>
      <c r="B153" s="346">
        <f>B154+B155+B157</f>
        <v>904343.92700000003</v>
      </c>
      <c r="C153" s="346">
        <f>C154+C155+C157</f>
        <v>95688.049000000014</v>
      </c>
      <c r="D153" s="346">
        <f>D154+D155+D157</f>
        <v>173130.99</v>
      </c>
      <c r="E153" s="346">
        <f>E154+E155+E157</f>
        <v>173130.99</v>
      </c>
      <c r="F153" s="346">
        <f>E153/B153*100</f>
        <v>19.144374704248992</v>
      </c>
      <c r="G153" s="346">
        <f>E153/C153*100</f>
        <v>180.93272023970303</v>
      </c>
      <c r="H153" s="346">
        <f>H154+H155+H157</f>
        <v>37687.879000000001</v>
      </c>
      <c r="I153" s="346">
        <f t="shared" ref="I153:AE153" si="53">I154+I155+I157</f>
        <v>21641.969999999998</v>
      </c>
      <c r="J153" s="346">
        <f t="shared" si="53"/>
        <v>30920.217000000001</v>
      </c>
      <c r="K153" s="346">
        <f t="shared" si="53"/>
        <v>33857.420000000006</v>
      </c>
      <c r="L153" s="346">
        <f t="shared" si="53"/>
        <v>27079.953000000005</v>
      </c>
      <c r="M153" s="346">
        <f t="shared" si="53"/>
        <v>22549.989999999998</v>
      </c>
      <c r="N153" s="346">
        <f t="shared" si="53"/>
        <v>32433.851000000006</v>
      </c>
      <c r="O153" s="346">
        <f t="shared" si="53"/>
        <v>23828.379999999997</v>
      </c>
      <c r="P153" s="346">
        <f t="shared" si="53"/>
        <v>21759.444000000003</v>
      </c>
      <c r="Q153" s="346">
        <f t="shared" si="53"/>
        <v>23625.32</v>
      </c>
      <c r="R153" s="346">
        <f t="shared" si="53"/>
        <v>21198.339</v>
      </c>
      <c r="S153" s="346">
        <f t="shared" si="53"/>
        <v>22637.929999999997</v>
      </c>
      <c r="T153" s="346">
        <f t="shared" si="53"/>
        <v>24124.656000000003</v>
      </c>
      <c r="U153" s="346">
        <f t="shared" si="53"/>
        <v>24989.979999999996</v>
      </c>
      <c r="V153" s="346">
        <f t="shared" si="53"/>
        <v>40328.163000000008</v>
      </c>
      <c r="W153" s="346">
        <f t="shared" si="53"/>
        <v>0</v>
      </c>
      <c r="X153" s="346">
        <f t="shared" si="53"/>
        <v>98194.060999999987</v>
      </c>
      <c r="Y153" s="346">
        <f t="shared" si="53"/>
        <v>0</v>
      </c>
      <c r="Z153" s="346">
        <f t="shared" si="53"/>
        <v>446155.38899999997</v>
      </c>
      <c r="AA153" s="346">
        <f t="shared" si="53"/>
        <v>0</v>
      </c>
      <c r="AB153" s="346">
        <f t="shared" si="53"/>
        <v>74593.036999999997</v>
      </c>
      <c r="AC153" s="346">
        <f t="shared" si="53"/>
        <v>0</v>
      </c>
      <c r="AD153" s="346">
        <f t="shared" si="53"/>
        <v>49868.938000000002</v>
      </c>
      <c r="AE153" s="346">
        <f t="shared" si="53"/>
        <v>0</v>
      </c>
      <c r="AF153" s="1164"/>
    </row>
    <row r="154" spans="1:32" x14ac:dyDescent="0.25">
      <c r="A154" s="326" t="s">
        <v>32</v>
      </c>
      <c r="B154" s="328">
        <f>H154+J154+L154+N154+P154+R154+T154+V154+X154+Z154+AB154+AD154</f>
        <v>210752.09999999998</v>
      </c>
      <c r="C154" s="328">
        <f>H154+J154+L154</f>
        <v>0</v>
      </c>
      <c r="D154" s="328">
        <f>E154</f>
        <v>0</v>
      </c>
      <c r="E154" s="328">
        <f>I154+K154+M154+O154+Q154+S154+U154+W154+Y154+AA154+AC154+AE154</f>
        <v>0</v>
      </c>
      <c r="F154" s="328">
        <f>IFERROR(E154/B154*100,0)</f>
        <v>0</v>
      </c>
      <c r="G154" s="328">
        <f>IFERROR(E154/C154*100,0)</f>
        <v>0</v>
      </c>
      <c r="H154" s="328">
        <f t="shared" ref="H154:AE154" si="54">H159</f>
        <v>0</v>
      </c>
      <c r="I154" s="328">
        <f t="shared" si="54"/>
        <v>0</v>
      </c>
      <c r="J154" s="328">
        <f t="shared" si="54"/>
        <v>0</v>
      </c>
      <c r="K154" s="328">
        <f t="shared" si="54"/>
        <v>0</v>
      </c>
      <c r="L154" s="328">
        <f t="shared" si="54"/>
        <v>0</v>
      </c>
      <c r="M154" s="328">
        <f t="shared" si="54"/>
        <v>0</v>
      </c>
      <c r="N154" s="328">
        <f t="shared" si="54"/>
        <v>0</v>
      </c>
      <c r="O154" s="328">
        <f t="shared" si="54"/>
        <v>0</v>
      </c>
      <c r="P154" s="328">
        <f t="shared" si="54"/>
        <v>0</v>
      </c>
      <c r="Q154" s="328">
        <f t="shared" si="54"/>
        <v>0</v>
      </c>
      <c r="R154" s="328">
        <f t="shared" si="54"/>
        <v>0</v>
      </c>
      <c r="S154" s="328">
        <f t="shared" si="54"/>
        <v>0</v>
      </c>
      <c r="T154" s="328">
        <f t="shared" si="54"/>
        <v>0</v>
      </c>
      <c r="U154" s="328">
        <f t="shared" si="54"/>
        <v>0</v>
      </c>
      <c r="V154" s="328">
        <f t="shared" si="54"/>
        <v>5612.6</v>
      </c>
      <c r="W154" s="328">
        <f t="shared" si="54"/>
        <v>0</v>
      </c>
      <c r="X154" s="328">
        <f t="shared" si="54"/>
        <v>41529.199999999997</v>
      </c>
      <c r="Y154" s="328">
        <f t="shared" si="54"/>
        <v>0</v>
      </c>
      <c r="Z154" s="328">
        <f t="shared" si="54"/>
        <v>163610.29999999999</v>
      </c>
      <c r="AA154" s="328">
        <f t="shared" si="54"/>
        <v>0</v>
      </c>
      <c r="AB154" s="328">
        <f t="shared" si="54"/>
        <v>0</v>
      </c>
      <c r="AC154" s="328">
        <f t="shared" si="54"/>
        <v>0</v>
      </c>
      <c r="AD154" s="328">
        <f t="shared" si="54"/>
        <v>0</v>
      </c>
      <c r="AE154" s="328">
        <f t="shared" si="54"/>
        <v>0</v>
      </c>
      <c r="AF154" s="1164"/>
    </row>
    <row r="155" spans="1:32" x14ac:dyDescent="0.25">
      <c r="A155" s="326" t="s">
        <v>33</v>
      </c>
      <c r="B155" s="328">
        <f>H155+J155+L155+N155+P155+R155+T155+V155+X155+Z155+AB155+AD155</f>
        <v>336984.06700000004</v>
      </c>
      <c r="C155" s="328">
        <f>H155+J155+L155</f>
        <v>95688.049000000014</v>
      </c>
      <c r="D155" s="328">
        <f>E155</f>
        <v>173130.99</v>
      </c>
      <c r="E155" s="328">
        <f>I155+K155+M155+O155+Q155+S155+U155+W155+Y155+AA155+AC155+AE155</f>
        <v>173130.99</v>
      </c>
      <c r="F155" s="328">
        <f>IFERROR(E155/B155*100,0)</f>
        <v>51.376610040141749</v>
      </c>
      <c r="G155" s="328">
        <f>IFERROR(E155/C155*100,0)</f>
        <v>180.93272023970303</v>
      </c>
      <c r="H155" s="328">
        <f t="shared" ref="H155:W157" si="55">H160</f>
        <v>37687.879000000001</v>
      </c>
      <c r="I155" s="328">
        <f t="shared" si="55"/>
        <v>21641.969999999998</v>
      </c>
      <c r="J155" s="328">
        <f t="shared" si="55"/>
        <v>30920.217000000001</v>
      </c>
      <c r="K155" s="328">
        <f t="shared" si="55"/>
        <v>33857.420000000006</v>
      </c>
      <c r="L155" s="328">
        <f t="shared" si="55"/>
        <v>27079.953000000005</v>
      </c>
      <c r="M155" s="328">
        <f t="shared" si="55"/>
        <v>22549.989999999998</v>
      </c>
      <c r="N155" s="328">
        <f t="shared" si="55"/>
        <v>32433.851000000006</v>
      </c>
      <c r="O155" s="328">
        <f t="shared" si="55"/>
        <v>23828.379999999997</v>
      </c>
      <c r="P155" s="328">
        <f t="shared" si="55"/>
        <v>21759.444000000003</v>
      </c>
      <c r="Q155" s="328">
        <f t="shared" si="55"/>
        <v>23625.32</v>
      </c>
      <c r="R155" s="328">
        <f t="shared" si="55"/>
        <v>21198.339</v>
      </c>
      <c r="S155" s="328">
        <f t="shared" si="55"/>
        <v>22637.929999999997</v>
      </c>
      <c r="T155" s="328">
        <f t="shared" si="55"/>
        <v>24124.656000000003</v>
      </c>
      <c r="U155" s="328">
        <f t="shared" si="55"/>
        <v>24989.979999999996</v>
      </c>
      <c r="V155" s="328">
        <f t="shared" si="55"/>
        <v>29102.963000000007</v>
      </c>
      <c r="W155" s="328">
        <f t="shared" si="55"/>
        <v>0</v>
      </c>
      <c r="X155" s="328">
        <f t="shared" ref="X155:AE155" si="56">X160</f>
        <v>15135.661</v>
      </c>
      <c r="Y155" s="328">
        <f t="shared" si="56"/>
        <v>0</v>
      </c>
      <c r="Z155" s="328">
        <f t="shared" si="56"/>
        <v>48955.828999999998</v>
      </c>
      <c r="AA155" s="328">
        <f t="shared" si="56"/>
        <v>0</v>
      </c>
      <c r="AB155" s="328">
        <f t="shared" si="56"/>
        <v>29120.037</v>
      </c>
      <c r="AC155" s="328">
        <f t="shared" si="56"/>
        <v>0</v>
      </c>
      <c r="AD155" s="328">
        <f t="shared" si="56"/>
        <v>19465.238000000001</v>
      </c>
      <c r="AE155" s="328">
        <f t="shared" si="56"/>
        <v>0</v>
      </c>
      <c r="AF155" s="1164"/>
    </row>
    <row r="156" spans="1:32" ht="31.5" x14ac:dyDescent="0.25">
      <c r="A156" s="340" t="s">
        <v>174</v>
      </c>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c r="AA156" s="328"/>
      <c r="AB156" s="328"/>
      <c r="AC156" s="328"/>
      <c r="AD156" s="328"/>
      <c r="AE156" s="328"/>
      <c r="AF156" s="1164"/>
    </row>
    <row r="157" spans="1:32" x14ac:dyDescent="0.25">
      <c r="A157" s="326" t="s">
        <v>374</v>
      </c>
      <c r="B157" s="328">
        <f>H157+J157+L157+N157+P157+R157+T157+V157+X157+Z157+AB157+AD157</f>
        <v>356607.76</v>
      </c>
      <c r="C157" s="328">
        <f>H157+J157+L157</f>
        <v>0</v>
      </c>
      <c r="D157" s="328">
        <f>E157</f>
        <v>0</v>
      </c>
      <c r="E157" s="328">
        <f>I157+K157+M157+O157+Q157+S157+U157+W157+Y157+AA157+AC157+AE157</f>
        <v>0</v>
      </c>
      <c r="F157" s="328">
        <f>IFERROR(E157/B157*100,0)</f>
        <v>0</v>
      </c>
      <c r="G157" s="328">
        <f>IFERROR(E157/C157*100,0)</f>
        <v>0</v>
      </c>
      <c r="H157" s="328">
        <f t="shared" si="55"/>
        <v>0</v>
      </c>
      <c r="I157" s="328">
        <f t="shared" si="55"/>
        <v>0</v>
      </c>
      <c r="J157" s="328">
        <f t="shared" si="55"/>
        <v>0</v>
      </c>
      <c r="K157" s="328">
        <f t="shared" si="55"/>
        <v>0</v>
      </c>
      <c r="L157" s="328">
        <f t="shared" si="55"/>
        <v>0</v>
      </c>
      <c r="M157" s="328">
        <f t="shared" si="55"/>
        <v>0</v>
      </c>
      <c r="N157" s="328">
        <f t="shared" si="55"/>
        <v>0</v>
      </c>
      <c r="O157" s="328">
        <f t="shared" si="55"/>
        <v>0</v>
      </c>
      <c r="P157" s="328">
        <f t="shared" si="55"/>
        <v>0</v>
      </c>
      <c r="Q157" s="328">
        <f t="shared" si="55"/>
        <v>0</v>
      </c>
      <c r="R157" s="328">
        <f t="shared" si="55"/>
        <v>0</v>
      </c>
      <c r="S157" s="328">
        <f t="shared" si="55"/>
        <v>0</v>
      </c>
      <c r="T157" s="328">
        <f t="shared" si="55"/>
        <v>0</v>
      </c>
      <c r="U157" s="328">
        <f t="shared" si="55"/>
        <v>0</v>
      </c>
      <c r="V157" s="328">
        <f t="shared" si="55"/>
        <v>5612.6</v>
      </c>
      <c r="W157" s="328">
        <f t="shared" si="55"/>
        <v>0</v>
      </c>
      <c r="X157" s="328">
        <f t="shared" ref="X157:AE157" si="57">X162</f>
        <v>41529.199999999997</v>
      </c>
      <c r="Y157" s="328">
        <f t="shared" si="57"/>
        <v>0</v>
      </c>
      <c r="Z157" s="328">
        <f t="shared" si="57"/>
        <v>233589.26</v>
      </c>
      <c r="AA157" s="328">
        <f t="shared" si="57"/>
        <v>0</v>
      </c>
      <c r="AB157" s="328">
        <f t="shared" si="57"/>
        <v>45473</v>
      </c>
      <c r="AC157" s="328">
        <f t="shared" si="57"/>
        <v>0</v>
      </c>
      <c r="AD157" s="328">
        <f t="shared" si="57"/>
        <v>30403.7</v>
      </c>
      <c r="AE157" s="328">
        <f t="shared" si="57"/>
        <v>0</v>
      </c>
      <c r="AF157" s="1165"/>
    </row>
    <row r="158" spans="1:32" ht="31.5" x14ac:dyDescent="0.25">
      <c r="A158" s="347" t="s">
        <v>100</v>
      </c>
      <c r="B158" s="348">
        <f>B159+B160+B162</f>
        <v>904343.92700000014</v>
      </c>
      <c r="C158" s="348">
        <f>C159+C160+C162</f>
        <v>195136.639</v>
      </c>
      <c r="D158" s="348">
        <f>D159+D160+D162</f>
        <v>173130.99000000002</v>
      </c>
      <c r="E158" s="348">
        <f>E159+E160+E162</f>
        <v>173130.99000000002</v>
      </c>
      <c r="F158" s="348">
        <f>IFERROR(E158/B158%,0)</f>
        <v>19.144374704248996</v>
      </c>
      <c r="G158" s="348">
        <f>IFERROR(E158/C158%,0)</f>
        <v>88.722953765745672</v>
      </c>
      <c r="H158" s="348">
        <f>H159+H160+H162</f>
        <v>37687.879000000001</v>
      </c>
      <c r="I158" s="348">
        <f t="shared" ref="I158:AE158" si="58">I159+I160+I162</f>
        <v>21641.969999999998</v>
      </c>
      <c r="J158" s="348">
        <f t="shared" si="58"/>
        <v>30920.217000000001</v>
      </c>
      <c r="K158" s="348">
        <f t="shared" si="58"/>
        <v>33857.420000000006</v>
      </c>
      <c r="L158" s="348">
        <f t="shared" si="58"/>
        <v>27079.953000000005</v>
      </c>
      <c r="M158" s="348">
        <f t="shared" si="58"/>
        <v>22549.989999999998</v>
      </c>
      <c r="N158" s="348">
        <f t="shared" si="58"/>
        <v>32433.851000000006</v>
      </c>
      <c r="O158" s="348">
        <f t="shared" si="58"/>
        <v>23828.379999999997</v>
      </c>
      <c r="P158" s="348">
        <f t="shared" si="58"/>
        <v>21759.444000000003</v>
      </c>
      <c r="Q158" s="348">
        <f t="shared" si="58"/>
        <v>23625.32</v>
      </c>
      <c r="R158" s="348">
        <f t="shared" si="58"/>
        <v>21198.339</v>
      </c>
      <c r="S158" s="348">
        <f t="shared" si="58"/>
        <v>22637.929999999997</v>
      </c>
      <c r="T158" s="348">
        <f t="shared" si="58"/>
        <v>24124.656000000003</v>
      </c>
      <c r="U158" s="348">
        <f t="shared" si="58"/>
        <v>24989.979999999996</v>
      </c>
      <c r="V158" s="348">
        <f t="shared" si="58"/>
        <v>40328.163000000008</v>
      </c>
      <c r="W158" s="348">
        <f t="shared" si="58"/>
        <v>0</v>
      </c>
      <c r="X158" s="348">
        <f t="shared" si="58"/>
        <v>98194.060999999987</v>
      </c>
      <c r="Y158" s="348">
        <f t="shared" si="58"/>
        <v>0</v>
      </c>
      <c r="Z158" s="348">
        <f t="shared" si="58"/>
        <v>446155.38899999997</v>
      </c>
      <c r="AA158" s="348">
        <f t="shared" si="58"/>
        <v>0</v>
      </c>
      <c r="AB158" s="348">
        <f t="shared" si="58"/>
        <v>74593.036999999997</v>
      </c>
      <c r="AC158" s="348">
        <f t="shared" si="58"/>
        <v>0</v>
      </c>
      <c r="AD158" s="348">
        <f t="shared" si="58"/>
        <v>49868.938000000002</v>
      </c>
      <c r="AE158" s="348">
        <f t="shared" si="58"/>
        <v>0</v>
      </c>
      <c r="AF158" s="1145"/>
    </row>
    <row r="159" spans="1:32" x14ac:dyDescent="0.25">
      <c r="A159" s="326" t="s">
        <v>32</v>
      </c>
      <c r="B159" s="328">
        <f>B17+B53+B107+B126</f>
        <v>210752.09999999998</v>
      </c>
      <c r="C159" s="328">
        <f>C17+C53+C107+C126</f>
        <v>0</v>
      </c>
      <c r="D159" s="328">
        <f>D17+D53+D107+D126</f>
        <v>0</v>
      </c>
      <c r="E159" s="328">
        <f>E17+E53+E107+E126</f>
        <v>0</v>
      </c>
      <c r="F159" s="328">
        <f>IFERROR(E159/B159%,0)</f>
        <v>0</v>
      </c>
      <c r="G159" s="328">
        <f>IFERROR(E159/C159%,0)</f>
        <v>0</v>
      </c>
      <c r="H159" s="328">
        <f t="shared" ref="H159:AE159" si="59">H17+H53+H107+H126</f>
        <v>0</v>
      </c>
      <c r="I159" s="328">
        <f t="shared" si="59"/>
        <v>0</v>
      </c>
      <c r="J159" s="328">
        <f t="shared" si="59"/>
        <v>0</v>
      </c>
      <c r="K159" s="328">
        <f t="shared" si="59"/>
        <v>0</v>
      </c>
      <c r="L159" s="328">
        <f t="shared" si="59"/>
        <v>0</v>
      </c>
      <c r="M159" s="328">
        <f t="shared" si="59"/>
        <v>0</v>
      </c>
      <c r="N159" s="328">
        <f t="shared" si="59"/>
        <v>0</v>
      </c>
      <c r="O159" s="328">
        <f t="shared" si="59"/>
        <v>0</v>
      </c>
      <c r="P159" s="328">
        <f t="shared" si="59"/>
        <v>0</v>
      </c>
      <c r="Q159" s="328">
        <f t="shared" si="59"/>
        <v>0</v>
      </c>
      <c r="R159" s="328">
        <f t="shared" si="59"/>
        <v>0</v>
      </c>
      <c r="S159" s="328">
        <f t="shared" si="59"/>
        <v>0</v>
      </c>
      <c r="T159" s="328">
        <f t="shared" si="59"/>
        <v>0</v>
      </c>
      <c r="U159" s="328">
        <f t="shared" si="59"/>
        <v>0</v>
      </c>
      <c r="V159" s="328">
        <f t="shared" si="59"/>
        <v>5612.6</v>
      </c>
      <c r="W159" s="328">
        <f t="shared" si="59"/>
        <v>0</v>
      </c>
      <c r="X159" s="328">
        <f t="shared" si="59"/>
        <v>41529.199999999997</v>
      </c>
      <c r="Y159" s="328">
        <f t="shared" si="59"/>
        <v>0</v>
      </c>
      <c r="Z159" s="328">
        <f t="shared" si="59"/>
        <v>163610.29999999999</v>
      </c>
      <c r="AA159" s="328">
        <f t="shared" si="59"/>
        <v>0</v>
      </c>
      <c r="AB159" s="328">
        <f t="shared" si="59"/>
        <v>0</v>
      </c>
      <c r="AC159" s="328">
        <f t="shared" si="59"/>
        <v>0</v>
      </c>
      <c r="AD159" s="328">
        <f t="shared" si="59"/>
        <v>0</v>
      </c>
      <c r="AE159" s="328">
        <f t="shared" si="59"/>
        <v>0</v>
      </c>
      <c r="AF159" s="1146"/>
    </row>
    <row r="160" spans="1:32" x14ac:dyDescent="0.25">
      <c r="A160" s="326" t="s">
        <v>33</v>
      </c>
      <c r="B160" s="328">
        <f>B10+B18+B54+B108+B127</f>
        <v>336984.0670000001</v>
      </c>
      <c r="C160" s="328">
        <f>C10+C18+C54+C108+C127</f>
        <v>195136.639</v>
      </c>
      <c r="D160" s="328">
        <f>D10+D18+D54+D108+D127</f>
        <v>173130.99000000002</v>
      </c>
      <c r="E160" s="328">
        <f>E10+E18+E54+E108+E127</f>
        <v>173130.99000000002</v>
      </c>
      <c r="F160" s="328">
        <f>IFERROR(E160/B160%,0)</f>
        <v>51.376610040141742</v>
      </c>
      <c r="G160" s="328">
        <f>IFERROR(E160/C160%,0)</f>
        <v>88.722953765745672</v>
      </c>
      <c r="H160" s="601">
        <f t="shared" ref="H160:AE160" si="60">H10+H18+H54+H108+H127</f>
        <v>37687.879000000001</v>
      </c>
      <c r="I160" s="328">
        <f t="shared" si="60"/>
        <v>21641.969999999998</v>
      </c>
      <c r="J160" s="328">
        <f t="shared" si="60"/>
        <v>30920.217000000001</v>
      </c>
      <c r="K160" s="328">
        <f t="shared" si="60"/>
        <v>33857.420000000006</v>
      </c>
      <c r="L160" s="328">
        <f t="shared" si="60"/>
        <v>27079.953000000005</v>
      </c>
      <c r="M160" s="328">
        <f t="shared" si="60"/>
        <v>22549.989999999998</v>
      </c>
      <c r="N160" s="328">
        <f t="shared" si="60"/>
        <v>32433.851000000006</v>
      </c>
      <c r="O160" s="328">
        <f t="shared" si="60"/>
        <v>23828.379999999997</v>
      </c>
      <c r="P160" s="328">
        <f t="shared" si="60"/>
        <v>21759.444000000003</v>
      </c>
      <c r="Q160" s="328">
        <f t="shared" si="60"/>
        <v>23625.32</v>
      </c>
      <c r="R160" s="328">
        <f t="shared" si="60"/>
        <v>21198.339</v>
      </c>
      <c r="S160" s="328">
        <f t="shared" si="60"/>
        <v>22637.929999999997</v>
      </c>
      <c r="T160" s="328">
        <f t="shared" si="60"/>
        <v>24124.656000000003</v>
      </c>
      <c r="U160" s="328">
        <f t="shared" si="60"/>
        <v>24989.979999999996</v>
      </c>
      <c r="V160" s="328">
        <f t="shared" si="60"/>
        <v>29102.963000000007</v>
      </c>
      <c r="W160" s="328">
        <f t="shared" si="60"/>
        <v>0</v>
      </c>
      <c r="X160" s="328">
        <f t="shared" si="60"/>
        <v>15135.661</v>
      </c>
      <c r="Y160" s="328">
        <f t="shared" si="60"/>
        <v>0</v>
      </c>
      <c r="Z160" s="328">
        <f t="shared" si="60"/>
        <v>48955.828999999998</v>
      </c>
      <c r="AA160" s="328">
        <f t="shared" si="60"/>
        <v>0</v>
      </c>
      <c r="AB160" s="328">
        <f t="shared" si="60"/>
        <v>29120.037</v>
      </c>
      <c r="AC160" s="328">
        <f t="shared" si="60"/>
        <v>0</v>
      </c>
      <c r="AD160" s="328">
        <f t="shared" si="60"/>
        <v>19465.238000000001</v>
      </c>
      <c r="AE160" s="328">
        <f t="shared" si="60"/>
        <v>0</v>
      </c>
      <c r="AF160" s="1146"/>
    </row>
    <row r="161" spans="1:32" ht="31.5" x14ac:dyDescent="0.25">
      <c r="A161" s="340" t="s">
        <v>174</v>
      </c>
      <c r="B161" s="328">
        <f t="shared" ref="B161:E162" si="61">B19+B55++B109+B128</f>
        <v>0</v>
      </c>
      <c r="C161" s="328">
        <f t="shared" si="61"/>
        <v>0</v>
      </c>
      <c r="D161" s="328">
        <f t="shared" si="61"/>
        <v>0</v>
      </c>
      <c r="E161" s="328">
        <f t="shared" si="61"/>
        <v>0</v>
      </c>
      <c r="F161" s="328">
        <f>IFERROR(E161/B161%,0)</f>
        <v>0</v>
      </c>
      <c r="G161" s="328">
        <f>IFERROR(E161/C161%,0)</f>
        <v>0</v>
      </c>
      <c r="H161" s="328">
        <f t="shared" ref="H161:AE161" si="62">H19+H55++H109+H128</f>
        <v>0</v>
      </c>
      <c r="I161" s="328">
        <f t="shared" si="62"/>
        <v>0</v>
      </c>
      <c r="J161" s="328">
        <f t="shared" si="62"/>
        <v>0</v>
      </c>
      <c r="K161" s="328">
        <f t="shared" si="62"/>
        <v>0</v>
      </c>
      <c r="L161" s="328">
        <f t="shared" si="62"/>
        <v>0</v>
      </c>
      <c r="M161" s="328">
        <f t="shared" si="62"/>
        <v>0</v>
      </c>
      <c r="N161" s="328">
        <f t="shared" si="62"/>
        <v>0</v>
      </c>
      <c r="O161" s="328">
        <f t="shared" si="62"/>
        <v>0</v>
      </c>
      <c r="P161" s="328">
        <f t="shared" si="62"/>
        <v>0</v>
      </c>
      <c r="Q161" s="328">
        <f t="shared" si="62"/>
        <v>0</v>
      </c>
      <c r="R161" s="328">
        <f t="shared" si="62"/>
        <v>0</v>
      </c>
      <c r="S161" s="328">
        <f t="shared" si="62"/>
        <v>0</v>
      </c>
      <c r="T161" s="328">
        <f t="shared" si="62"/>
        <v>0</v>
      </c>
      <c r="U161" s="328">
        <f t="shared" si="62"/>
        <v>0</v>
      </c>
      <c r="V161" s="328">
        <f t="shared" si="62"/>
        <v>0</v>
      </c>
      <c r="W161" s="328">
        <f t="shared" si="62"/>
        <v>0</v>
      </c>
      <c r="X161" s="328">
        <f t="shared" si="62"/>
        <v>0</v>
      </c>
      <c r="Y161" s="328">
        <f t="shared" si="62"/>
        <v>0</v>
      </c>
      <c r="Z161" s="328">
        <f t="shared" si="62"/>
        <v>0</v>
      </c>
      <c r="AA161" s="328">
        <f t="shared" si="62"/>
        <v>0</v>
      </c>
      <c r="AB161" s="328">
        <f t="shared" si="62"/>
        <v>0</v>
      </c>
      <c r="AC161" s="328">
        <f t="shared" si="62"/>
        <v>0</v>
      </c>
      <c r="AD161" s="328">
        <f t="shared" si="62"/>
        <v>0</v>
      </c>
      <c r="AE161" s="328">
        <f t="shared" si="62"/>
        <v>0</v>
      </c>
      <c r="AF161" s="1146"/>
    </row>
    <row r="162" spans="1:32" x14ac:dyDescent="0.25">
      <c r="A162" s="326" t="s">
        <v>374</v>
      </c>
      <c r="B162" s="328">
        <f t="shared" si="61"/>
        <v>356607.76</v>
      </c>
      <c r="C162" s="328">
        <f t="shared" si="61"/>
        <v>0</v>
      </c>
      <c r="D162" s="328">
        <f t="shared" si="61"/>
        <v>0</v>
      </c>
      <c r="E162" s="328">
        <f t="shared" si="61"/>
        <v>0</v>
      </c>
      <c r="F162" s="328">
        <f>IFERROR(E162/B162%,0)</f>
        <v>0</v>
      </c>
      <c r="G162" s="328">
        <f>IFERROR(E162/C162%,0)</f>
        <v>0</v>
      </c>
      <c r="H162" s="328">
        <f t="shared" ref="H162:AE162" si="63">H20+H56++H110+H129</f>
        <v>0</v>
      </c>
      <c r="I162" s="328">
        <f t="shared" si="63"/>
        <v>0</v>
      </c>
      <c r="J162" s="328">
        <f t="shared" si="63"/>
        <v>0</v>
      </c>
      <c r="K162" s="328">
        <f t="shared" si="63"/>
        <v>0</v>
      </c>
      <c r="L162" s="328">
        <f t="shared" si="63"/>
        <v>0</v>
      </c>
      <c r="M162" s="328">
        <f t="shared" si="63"/>
        <v>0</v>
      </c>
      <c r="N162" s="328">
        <f t="shared" si="63"/>
        <v>0</v>
      </c>
      <c r="O162" s="328">
        <f t="shared" si="63"/>
        <v>0</v>
      </c>
      <c r="P162" s="328">
        <f t="shared" si="63"/>
        <v>0</v>
      </c>
      <c r="Q162" s="328">
        <f t="shared" si="63"/>
        <v>0</v>
      </c>
      <c r="R162" s="328">
        <f t="shared" si="63"/>
        <v>0</v>
      </c>
      <c r="S162" s="328">
        <f t="shared" si="63"/>
        <v>0</v>
      </c>
      <c r="T162" s="328">
        <f t="shared" si="63"/>
        <v>0</v>
      </c>
      <c r="U162" s="328">
        <f t="shared" si="63"/>
        <v>0</v>
      </c>
      <c r="V162" s="328">
        <f t="shared" si="63"/>
        <v>5612.6</v>
      </c>
      <c r="W162" s="328">
        <f t="shared" si="63"/>
        <v>0</v>
      </c>
      <c r="X162" s="328">
        <f t="shared" si="63"/>
        <v>41529.199999999997</v>
      </c>
      <c r="Y162" s="328">
        <f t="shared" si="63"/>
        <v>0</v>
      </c>
      <c r="Z162" s="328">
        <f t="shared" si="63"/>
        <v>233589.26</v>
      </c>
      <c r="AA162" s="328">
        <f t="shared" si="63"/>
        <v>0</v>
      </c>
      <c r="AB162" s="328">
        <f t="shared" si="63"/>
        <v>45473</v>
      </c>
      <c r="AC162" s="328">
        <f t="shared" si="63"/>
        <v>0</v>
      </c>
      <c r="AD162" s="328">
        <f t="shared" si="63"/>
        <v>30403.7</v>
      </c>
      <c r="AE162" s="328">
        <f t="shared" si="63"/>
        <v>0</v>
      </c>
      <c r="AF162" s="1147"/>
    </row>
    <row r="165" spans="1:32" ht="16.5" x14ac:dyDescent="0.25">
      <c r="A165" s="521" t="s">
        <v>482</v>
      </c>
      <c r="B165" s="521"/>
      <c r="C165" s="521"/>
      <c r="D165" s="521"/>
      <c r="F165" s="521" t="s">
        <v>474</v>
      </c>
      <c r="G165" s="521"/>
      <c r="H165" s="521"/>
    </row>
    <row r="166" spans="1:32" ht="16.5" x14ac:dyDescent="0.25">
      <c r="A166" s="521"/>
      <c r="B166" s="521"/>
      <c r="C166" s="521"/>
      <c r="D166" s="521"/>
      <c r="F166" s="521"/>
      <c r="G166" s="521"/>
      <c r="H166" s="521"/>
    </row>
    <row r="167" spans="1:32" ht="16.5" x14ac:dyDescent="0.25">
      <c r="A167" s="521" t="s">
        <v>472</v>
      </c>
      <c r="B167" s="522"/>
      <c r="C167" s="522"/>
      <c r="D167" s="521"/>
      <c r="F167" s="521" t="s">
        <v>481</v>
      </c>
      <c r="G167" s="522"/>
      <c r="H167" s="522"/>
    </row>
    <row r="168" spans="1:32" ht="16.5" x14ac:dyDescent="0.25">
      <c r="A168" s="521" t="s">
        <v>473</v>
      </c>
      <c r="B168" s="521"/>
      <c r="C168" s="521"/>
      <c r="D168" s="521"/>
    </row>
    <row r="169" spans="1:32" ht="16.5" x14ac:dyDescent="0.25">
      <c r="A169" s="521"/>
      <c r="B169" s="521"/>
      <c r="C169" s="521"/>
      <c r="D169" s="521"/>
    </row>
    <row r="170" spans="1:32" ht="16.5" x14ac:dyDescent="0.25">
      <c r="A170" s="521"/>
      <c r="B170" s="521"/>
      <c r="C170" s="521"/>
      <c r="D170" s="521"/>
    </row>
    <row r="171" spans="1:32" ht="16.5" x14ac:dyDescent="0.25">
      <c r="A171" s="521"/>
      <c r="B171" s="521"/>
      <c r="C171" s="521"/>
      <c r="D171" s="521"/>
    </row>
    <row r="172" spans="1:32" ht="16.5" x14ac:dyDescent="0.25">
      <c r="D172" s="521"/>
    </row>
    <row r="173" spans="1:32" ht="16.5" x14ac:dyDescent="0.25">
      <c r="D173" s="521"/>
    </row>
    <row r="174" spans="1:32" ht="16.5" x14ac:dyDescent="0.25">
      <c r="D174" s="521"/>
    </row>
    <row r="175" spans="1:32" ht="16.5" x14ac:dyDescent="0.25">
      <c r="A175" s="521"/>
      <c r="B175" s="521"/>
      <c r="C175" s="521"/>
      <c r="D175" s="521"/>
    </row>
  </sheetData>
  <customSheetViews>
    <customSheetView guid="{7C130984-112A-4861-AA43-E2940708E3DC}" scale="60" state="hidden">
      <pane xSplit="1" ySplit="8" topLeftCell="F48" activePane="bottomRight" state="frozen"/>
      <selection pane="bottomRight" activeCell="A63" sqref="A63:AE63"/>
      <pageMargins left="0.11811023622047245" right="0.11811023622047245" top="0" bottom="0.15748031496062992" header="0.31496062992125984" footer="0.31496062992125984"/>
      <pageSetup paperSize="9" scale="45" orientation="landscape" r:id="rId1"/>
    </customSheetView>
    <customSheetView guid="{3C3F523F-5F34-4CF7-831E-F1ABC4278CEB}" scale="60">
      <pane xSplit="1" ySplit="8" topLeftCell="F48" activePane="bottomRight" state="frozen"/>
      <selection pane="bottomRight" activeCell="A63" sqref="A63:AE63"/>
      <pageMargins left="0.11811023622047245" right="0.11811023622047245" top="0" bottom="0.15748031496062992" header="0.31496062992125984" footer="0.31496062992125984"/>
      <pageSetup paperSize="9" scale="45" orientation="landscape" r:id="rId2"/>
    </customSheetView>
    <customSheetView guid="{D01FA037-9AEC-4167-ADB8-2F327C01ECE6}" scale="60">
      <pane xSplit="1" ySplit="8" topLeftCell="F48" activePane="bottomRight" state="frozen"/>
      <selection pane="bottomRight" activeCell="A63" sqref="A63:AE63"/>
      <pageMargins left="0.11811023622047245" right="0.11811023622047245" top="0" bottom="0.15748031496062992" header="0.31496062992125984" footer="0.31496062992125984"/>
      <pageSetup paperSize="9" scale="45" orientation="landscape" r:id="rId3"/>
    </customSheetView>
    <customSheetView guid="{602C8EDB-B9EF-4C85-B0D5-0558C3A0ABAB}" scale="60">
      <pane xSplit="1" ySplit="8" topLeftCell="F48" activePane="bottomRight" state="frozen"/>
      <selection pane="bottomRight" activeCell="A63" sqref="A63:AE63"/>
      <pageMargins left="0.11811023622047245" right="0.11811023622047245" top="0" bottom="0.15748031496062992" header="0.31496062992125984" footer="0.31496062992125984"/>
      <pageSetup paperSize="9" scale="45" orientation="landscape" r:id="rId4"/>
    </customSheetView>
    <customSheetView guid="{69DABE6F-6182-4403-A4A2-969F10F1C13A}" scale="60">
      <pane xSplit="1" ySplit="8" topLeftCell="J129" activePane="bottomRight" state="frozen"/>
      <selection pane="bottomRight" activeCell="AF137" sqref="AF137:AF141"/>
      <pageMargins left="0.11811023622047245" right="0.11811023622047245" top="0" bottom="0.15748031496062992" header="0.31496062992125984" footer="0.31496062992125984"/>
      <pageSetup paperSize="9" scale="45" orientation="landscape" r:id="rId5"/>
    </customSheetView>
    <customSheetView guid="{E508E171-4ED9-4B07-84DF-DA28C60E1969}" scale="60">
      <pane xSplit="1" ySplit="8" topLeftCell="J129" activePane="bottomRight" state="frozen"/>
      <selection pane="bottomRight" activeCell="AF137" sqref="AF137:AF141"/>
      <pageMargins left="0.11811023622047245" right="0.11811023622047245" top="0" bottom="0.15748031496062992" header="0.31496062992125984" footer="0.31496062992125984"/>
      <pageSetup paperSize="9" scale="45" orientation="landscape" r:id="rId6"/>
    </customSheetView>
    <customSheetView guid="{AC2D5927-4079-4C74-AF69-1BFAC505648F}"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7"/>
    </customSheetView>
    <customSheetView guid="{442F2C94-DD1B-4A01-8694-513D4D6F3BD9}" scale="60">
      <pane xSplit="1" ySplit="8" topLeftCell="B9" activePane="bottomRight" state="frozen"/>
      <selection pane="bottomRight" sqref="A1:XFD1048576"/>
      <pageMargins left="0.11811023622047245" right="0.11811023622047245" top="0" bottom="0.15748031496062992" header="0.31496062992125984" footer="0.31496062992125984"/>
      <pageSetup paperSize="9" scale="45" orientation="landscape" r:id="rId8"/>
    </customSheetView>
    <customSheetView guid="{CE1CCA00-200D-4EAA-9FBE-F8EE7C5F82FE}" scale="60">
      <pane xSplit="1" ySplit="8" topLeftCell="B9" activePane="bottomRight" state="frozen"/>
      <selection pane="bottomRight" sqref="A1:XFD1048576"/>
      <pageMargins left="0.11811023622047245" right="0.11811023622047245" top="0" bottom="0.15748031496062992" header="0.31496062992125984" footer="0.31496062992125984"/>
      <pageSetup paperSize="9" scale="45" orientation="landscape" r:id="rId9"/>
    </customSheetView>
    <customSheetView guid="{4D0DFB57-2CBA-42F2-9A97-C453A6851FBA}" scale="60">
      <pane xSplit="1" ySplit="8" topLeftCell="B9" activePane="bottomRight" state="frozen"/>
      <selection pane="bottomRight" sqref="A1:XFD1048576"/>
      <pageMargins left="0.11811023622047245" right="0.11811023622047245" top="0" bottom="0.15748031496062992" header="0.31496062992125984" footer="0.31496062992125984"/>
      <pageSetup paperSize="9" scale="45" orientation="landscape" r:id="rId10"/>
    </customSheetView>
    <customSheetView guid="{85F4575B-DBC5-482A-9916-255D8F0BC94E}"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1"/>
    </customSheetView>
    <customSheetView guid="{B1BF08D1-D416-4B47-ADD0-4F59132DC9E8}"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2"/>
    </customSheetView>
    <customSheetView guid="{BCD82A82-B724-4763-8580-D765356E09BA}" scale="70">
      <selection sqref="A1:AD1"/>
      <pageMargins left="0.7" right="0.7" top="0.75" bottom="0.75" header="0.3" footer="0.3"/>
    </customSheetView>
    <customSheetView guid="{C236B307-BD63-48C4-A75F-B3F3717BF55C}" scale="60" topLeftCell="A142">
      <selection activeCell="G145" sqref="G145"/>
      <pageMargins left="0.11811023622047245" right="0.11811023622047245" top="0.15748031496062992" bottom="0.15748031496062992" header="0.31496062992125984" footer="0.31496062992125984"/>
      <pageSetup paperSize="9" scale="45" orientation="landscape" r:id="rId13"/>
    </customSheetView>
    <customSheetView guid="{874882D1-E741-4CCA-BF0D-E72FA60B771D}" scale="60" topLeftCell="A142">
      <selection activeCell="G145" sqref="G145"/>
      <pageMargins left="0.11811023622047245" right="0.11811023622047245" top="0.15748031496062992" bottom="0.15748031496062992" header="0.31496062992125984" footer="0.31496062992125984"/>
      <pageSetup paperSize="9" scale="45" orientation="landscape" r:id="rId14"/>
    </customSheetView>
    <customSheetView guid="{B82BA08A-1A30-4F4D-A478-74A6BD09EA97}" scale="60" topLeftCell="A112">
      <selection activeCell="K140" sqref="K140"/>
      <pageMargins left="0.11811023622047245" right="0.11811023622047245" top="0.15748031496062992" bottom="0.15748031496062992" header="0.31496062992125984" footer="0.31496062992125984"/>
      <pageSetup paperSize="9" scale="45" orientation="landscape" r:id="rId15"/>
    </customSheetView>
    <customSheetView guid="{770624BF-07F3-44B6-94C3-4CC447CDD45C}" scale="80">
      <pane xSplit="1" ySplit="8" topLeftCell="B9" activePane="bottomRight" state="frozen"/>
      <selection pane="bottomRight" activeCell="J24" sqref="J24"/>
      <pageMargins left="0.11811023622047245" right="0.11811023622047245" top="0.15748031496062992" bottom="0.15748031496062992" header="0.31496062992125984" footer="0.31496062992125984"/>
      <pageSetup paperSize="9" scale="45" orientation="landscape" r:id="rId16"/>
    </customSheetView>
    <customSheetView guid="{009B3074-D8EC-4952-BF50-43CD64449612}" scale="60">
      <pane xSplit="1" ySplit="8" topLeftCell="B30"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7"/>
    </customSheetView>
    <customSheetView guid="{F679EF4A-C5FD-4B86-B87B-D85968E0F2CA}"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8"/>
    </customSheetView>
    <customSheetView guid="{959E901C-5DDE-42EE-AE94-AB8976B5E00B}" scale="60">
      <pane xSplit="1" ySplit="8" topLeftCell="B126" activePane="bottomRight" state="frozen"/>
      <selection pane="bottomRight" activeCell="A38" sqref="A38"/>
      <pageMargins left="0.11811023622047245" right="0.11811023622047245" top="0.15748031496062992" bottom="0.15748031496062992" header="0.31496062992125984" footer="0.31496062992125984"/>
      <pageSetup paperSize="9" scale="45" orientation="landscape" r:id="rId19"/>
    </customSheetView>
    <customSheetView guid="{533DC55B-6AD4-4674-9488-685EF2039F3E}" scale="60">
      <pane xSplit="1" ySplit="8" topLeftCell="F63" activePane="bottomRight" state="frozen"/>
      <selection pane="bottomRight" sqref="A1:AF164"/>
      <pageMargins left="0.11811023622047245" right="0.11811023622047245" top="0" bottom="0.15748031496062992" header="0.31496062992125984" footer="0.31496062992125984"/>
      <pageSetup paperSize="9" scale="45" orientation="landscape" r:id="rId20"/>
    </customSheetView>
    <customSheetView guid="{87218168-6C8E-4D5B-A5E5-DCCC26803AA3}" scale="60">
      <pane xSplit="1" ySplit="8" topLeftCell="F63" activePane="bottomRight" state="frozen"/>
      <selection pane="bottomRight" sqref="A1:AF164"/>
      <pageMargins left="0.11811023622047245" right="0.11811023622047245" top="0" bottom="0.15748031496062992" header="0.31496062992125984" footer="0.31496062992125984"/>
      <pageSetup paperSize="9" scale="45" orientation="landscape" r:id="rId21"/>
    </customSheetView>
    <customSheetView guid="{DAA8A688-7558-4B5B-8DBD-E2629BD9E9A8}"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22"/>
    </customSheetView>
    <customSheetView guid="{391AB76E-B386-49C1-800F-016A48AA1A46}" scale="60">
      <pane xSplit="1" ySplit="8" topLeftCell="B142" activePane="bottomRight" state="frozen"/>
      <selection pane="bottomRight" activeCell="L149" sqref="L149"/>
      <pageMargins left="0.11811023622047245" right="0.11811023622047245" top="0" bottom="0.15748031496062992" header="0.31496062992125984" footer="0.31496062992125984"/>
      <pageSetup paperSize="9" scale="45" orientation="landscape" r:id="rId23"/>
    </customSheetView>
    <customSheetView guid="{09C3E205-981E-4A4E-BE89-8B7044192060}" scale="60">
      <pane xSplit="1" ySplit="8" topLeftCell="O22" activePane="bottomRight" state="frozen"/>
      <selection pane="bottomRight" activeCell="T35" sqref="T35"/>
      <pageMargins left="0.11811023622047245" right="0.11811023622047245" top="0" bottom="0.15748031496062992" header="0.31496062992125984" footer="0.31496062992125984"/>
      <pageSetup paperSize="9" scale="45" orientation="landscape" r:id="rId24"/>
    </customSheetView>
    <customSheetView guid="{84867370-1F3E-4368-AF79-FBCE46FFFE92}" scale="60">
      <pane xSplit="1" ySplit="8" topLeftCell="O22" activePane="bottomRight" state="frozen"/>
      <selection pane="bottomRight" activeCell="T35" sqref="T35"/>
      <pageMargins left="0.11811023622047245" right="0.11811023622047245" top="0" bottom="0.15748031496062992" header="0.31496062992125984" footer="0.31496062992125984"/>
      <pageSetup paperSize="9" scale="45" orientation="landscape" r:id="rId25"/>
    </customSheetView>
    <customSheetView guid="{0C2B9C2A-7B94-41EF-A2E6-F8AC9A67DE25}" scale="60">
      <pane xSplit="1" ySplit="8" topLeftCell="B126" activePane="bottomRight" state="frozen"/>
      <selection pane="bottomRight" activeCell="A130" sqref="A130:AE130"/>
      <pageMargins left="0.11811023622047245" right="0.11811023622047245" top="0" bottom="0.15748031496062992" header="0.31496062992125984" footer="0.31496062992125984"/>
      <pageSetup paperSize="9" scale="45" orientation="landscape" r:id="rId26"/>
    </customSheetView>
    <customSheetView guid="{CB4792DB-A624-4844-AEB6-A6ADA80946BB}" scale="60">
      <pane xSplit="1" ySplit="8" topLeftCell="F129" activePane="bottomRight" state="frozen"/>
      <selection pane="bottomRight" activeCell="U134" sqref="U134"/>
      <pageMargins left="0.11811023622047245" right="0.11811023622047245" top="0" bottom="0.15748031496062992" header="0.31496062992125984" footer="0.31496062992125984"/>
      <pageSetup paperSize="9" scale="45" orientation="landscape" r:id="rId27"/>
    </customSheetView>
    <customSheetView guid="{74870EE6-26B9-40F7-9DC9-260EF16D8959}" scale="60">
      <pane xSplit="1" ySplit="8" topLeftCell="O22" activePane="bottomRight" state="frozen"/>
      <selection pane="bottomRight" activeCell="T35" sqref="T35"/>
      <pageMargins left="0.11811023622047245" right="0.11811023622047245" top="0" bottom="0.15748031496062992" header="0.31496062992125984" footer="0.31496062992125984"/>
      <pageSetup paperSize="9" scale="45" orientation="landscape" r:id="rId28"/>
    </customSheetView>
    <customSheetView guid="{6A602CB8-B24C-4ED4-B378-B27354BE0A1A}" scale="60">
      <pane xSplit="1" ySplit="8" topLeftCell="J129" activePane="bottomRight" state="frozen"/>
      <selection pane="bottomRight" activeCell="AF137" sqref="AF137:AF141"/>
      <pageMargins left="0.11811023622047245" right="0.11811023622047245" top="0" bottom="0.15748031496062992" header="0.31496062992125984" footer="0.31496062992125984"/>
      <pageSetup paperSize="9" scale="45" orientation="landscape" r:id="rId29"/>
    </customSheetView>
    <customSheetView guid="{4F41B9CC-959D-442C-80B0-1F0DB2C76D27}" scale="60">
      <pane xSplit="1" ySplit="7" topLeftCell="F48" activePane="bottomRight" state="frozen"/>
      <selection pane="bottomRight" activeCell="A63" sqref="A63:AE63"/>
      <pageMargins left="0.11811023622047245" right="0.11811023622047245" top="0" bottom="0.15748031496062992" header="0.31496062992125984" footer="0.31496062992125984"/>
      <pageSetup paperSize="9" scale="45" orientation="landscape" r:id="rId30"/>
    </customSheetView>
    <customSheetView guid="{47B983AB-FE5F-4725-860C-A2F29420596D}" scale="60">
      <pane xSplit="1" ySplit="8" topLeftCell="F48" activePane="bottomRight" state="frozen"/>
      <selection pane="bottomRight" activeCell="A63" sqref="A63:AE63"/>
      <pageMargins left="0.11811023622047245" right="0.11811023622047245" top="0" bottom="0.15748031496062992" header="0.31496062992125984" footer="0.31496062992125984"/>
      <pageSetup paperSize="9" scale="45" orientation="landscape" r:id="rId31"/>
    </customSheetView>
  </customSheetViews>
  <mergeCells count="64">
    <mergeCell ref="AF137:AF141"/>
    <mergeCell ref="AF148:AF152"/>
    <mergeCell ref="AF153:AF157"/>
    <mergeCell ref="AF158:AF162"/>
    <mergeCell ref="AF40:AF44"/>
    <mergeCell ref="AF46:AF50"/>
    <mergeCell ref="AF94:AF98"/>
    <mergeCell ref="AF106:AF110"/>
    <mergeCell ref="AF112:AF116"/>
    <mergeCell ref="AF52:AF68"/>
    <mergeCell ref="A1:AD1"/>
    <mergeCell ref="A3:A4"/>
    <mergeCell ref="B3:B4"/>
    <mergeCell ref="C3:C4"/>
    <mergeCell ref="D3:D4"/>
    <mergeCell ref="E3:E4"/>
    <mergeCell ref="F3:G3"/>
    <mergeCell ref="H3:I3"/>
    <mergeCell ref="J3:K3"/>
    <mergeCell ref="L3:M3"/>
    <mergeCell ref="A13:AE13"/>
    <mergeCell ref="A15:AE15"/>
    <mergeCell ref="AF8:AF12"/>
    <mergeCell ref="N3:O3"/>
    <mergeCell ref="P3:Q3"/>
    <mergeCell ref="R3:S3"/>
    <mergeCell ref="T3:U3"/>
    <mergeCell ref="V3:W3"/>
    <mergeCell ref="X3:Y3"/>
    <mergeCell ref="Z3:AA3"/>
    <mergeCell ref="AB3:AC3"/>
    <mergeCell ref="AD3:AE3"/>
    <mergeCell ref="A6:AE6"/>
    <mergeCell ref="A8:AE8"/>
    <mergeCell ref="AF16:AF20"/>
    <mergeCell ref="A21:AE21"/>
    <mergeCell ref="AF22:AF26"/>
    <mergeCell ref="A69:AE69"/>
    <mergeCell ref="AF28:AF32"/>
    <mergeCell ref="A33:AE33"/>
    <mergeCell ref="AF34:AF38"/>
    <mergeCell ref="A39:AE39"/>
    <mergeCell ref="A45:AE45"/>
    <mergeCell ref="A51:AE51"/>
    <mergeCell ref="A57:AE57"/>
    <mergeCell ref="A63:AE63"/>
    <mergeCell ref="A27:AE27"/>
    <mergeCell ref="A122:AE122"/>
    <mergeCell ref="AF70:AF74"/>
    <mergeCell ref="A75:AE75"/>
    <mergeCell ref="AF76:AF80"/>
    <mergeCell ref="A81:AE81"/>
    <mergeCell ref="AF82:AF86"/>
    <mergeCell ref="A87:AE87"/>
    <mergeCell ref="AF88:AF92"/>
    <mergeCell ref="A93:AE93"/>
    <mergeCell ref="A105:AE105"/>
    <mergeCell ref="A111:AE111"/>
    <mergeCell ref="AF117:AF121"/>
    <mergeCell ref="A124:AE124"/>
    <mergeCell ref="AF125:AF129"/>
    <mergeCell ref="A130:AE130"/>
    <mergeCell ref="AF131:AF135"/>
    <mergeCell ref="A136:AE136"/>
  </mergeCells>
  <hyperlinks>
    <hyperlink ref="A1:AD1" location="Оглавление!A1" display="Отчет о ходе реализации (сетевой график) муниципальной программы «Развитие транспортной системы города Когалыма» "/>
  </hyperlinks>
  <pageMargins left="0.11811023622047245" right="0.11811023622047245" top="0" bottom="0.15748031496062992" header="0.31496062992125984" footer="0.31496062992125984"/>
  <pageSetup paperSize="9" scale="45" orientation="landscape" r:id="rId32"/>
  <legacyDrawing r:id="rId3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7C130984-112A-4861-AA43-E2940708E3DC}" state="hidden">
      <pageMargins left="0.7" right="0.7" top="0.75" bottom="0.75" header="0.3" footer="0.3"/>
    </customSheetView>
    <customSheetView guid="{3C3F523F-5F34-4CF7-831E-F1ABC4278CEB}">
      <pageMargins left="0.7" right="0.7" top="0.75" bottom="0.75" header="0.3" footer="0.3"/>
    </customSheetView>
    <customSheetView guid="{D01FA037-9AEC-4167-ADB8-2F327C01ECE6}">
      <pageMargins left="0.7" right="0.7" top="0.75" bottom="0.75" header="0.3" footer="0.3"/>
    </customSheetView>
    <customSheetView guid="{602C8EDB-B9EF-4C85-B0D5-0558C3A0ABAB}">
      <pageMargins left="0.7" right="0.7" top="0.75" bottom="0.75" header="0.3" footer="0.3"/>
    </customSheetView>
    <customSheetView guid="{69DABE6F-6182-4403-A4A2-969F10F1C13A}">
      <pageMargins left="0.7" right="0.7" top="0.75" bottom="0.75" header="0.3" footer="0.3"/>
    </customSheetView>
    <customSheetView guid="{E508E171-4ED9-4B07-84DF-DA28C60E1969}">
      <pageMargins left="0.7" right="0.7" top="0.75" bottom="0.75" header="0.3" footer="0.3"/>
    </customSheetView>
    <customSheetView guid="{0C2B9C2A-7B94-41EF-A2E6-F8AC9A67DE25}">
      <pageMargins left="0.7" right="0.7" top="0.75" bottom="0.75" header="0.3" footer="0.3"/>
    </customSheetView>
    <customSheetView guid="{CB4792DB-A624-4844-AEB6-A6ADA80946BB}">
      <pageMargins left="0.7" right="0.7" top="0.75" bottom="0.75" header="0.3" footer="0.3"/>
    </customSheetView>
    <customSheetView guid="{74870EE6-26B9-40F7-9DC9-260EF16D8959}">
      <pageMargins left="0.7" right="0.7" top="0.75" bottom="0.75" header="0.3" footer="0.3"/>
    </customSheetView>
    <customSheetView guid="{6A602CB8-B24C-4ED4-B378-B27354BE0A1A}">
      <pageMargins left="0.7" right="0.7" top="0.75" bottom="0.75" header="0.3" footer="0.3"/>
    </customSheetView>
    <customSheetView guid="{4F41B9CC-959D-442C-80B0-1F0DB2C76D27}">
      <pageMargins left="0.7" right="0.7" top="0.75" bottom="0.75" header="0.3" footer="0.3"/>
    </customSheetView>
    <customSheetView guid="{47B983AB-FE5F-4725-860C-A2F29420596D}">
      <pageMargins left="0.7" right="0.7" top="0.75" bottom="0.75" header="0.3" footer="0.3"/>
    </customSheetView>
  </customSheetView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9"/>
  <sheetViews>
    <sheetView zoomScale="77" zoomScaleNormal="77" workbookViewId="0">
      <pane xSplit="1" ySplit="4" topLeftCell="M74" activePane="bottomRight" state="frozen"/>
      <selection pane="topRight" activeCell="B1" sqref="B1"/>
      <selection pane="bottomLeft" activeCell="A5" sqref="A5"/>
      <selection pane="bottomRight" activeCell="B22" sqref="B22"/>
    </sheetView>
  </sheetViews>
  <sheetFormatPr defaultColWidth="9.140625" defaultRowHeight="15.75" x14ac:dyDescent="0.25"/>
  <cols>
    <col min="1" max="1" width="47.28515625" style="307" customWidth="1"/>
    <col min="2" max="2" width="18.140625" style="307" bestFit="1" customWidth="1"/>
    <col min="3" max="3" width="13.42578125" style="307" bestFit="1" customWidth="1"/>
    <col min="4" max="5" width="12.140625" style="307" bestFit="1" customWidth="1"/>
    <col min="6" max="6" width="9.7109375" style="307" bestFit="1" customWidth="1"/>
    <col min="7" max="7" width="11" style="307" bestFit="1" customWidth="1"/>
    <col min="8" max="8" width="13.42578125" style="307" bestFit="1" customWidth="1"/>
    <col min="9" max="9" width="12.140625" style="307" bestFit="1" customWidth="1"/>
    <col min="10" max="15" width="9.7109375" style="307" bestFit="1" customWidth="1"/>
    <col min="16" max="16" width="13.42578125" style="307" bestFit="1" customWidth="1"/>
    <col min="17" max="17" width="11.28515625" style="307" customWidth="1"/>
    <col min="18" max="18" width="12.28515625" style="307" customWidth="1"/>
    <col min="19" max="19" width="10.5703125" style="307" bestFit="1" customWidth="1"/>
    <col min="20" max="21" width="9.7109375" style="307" bestFit="1" customWidth="1"/>
    <col min="22" max="22" width="18.140625" style="307" bestFit="1" customWidth="1"/>
    <col min="23" max="25" width="9.7109375" style="307" bestFit="1" customWidth="1"/>
    <col min="26" max="26" width="18.140625" style="307" bestFit="1" customWidth="1"/>
    <col min="27" max="27" width="9.7109375" style="307" bestFit="1" customWidth="1"/>
    <col min="28" max="28" width="11.85546875" style="307" bestFit="1" customWidth="1"/>
    <col min="29" max="29" width="9.7109375" style="307" bestFit="1" customWidth="1"/>
    <col min="30" max="30" width="16.28515625" style="307" bestFit="1" customWidth="1"/>
    <col min="31" max="31" width="9.7109375" style="307" bestFit="1" customWidth="1"/>
    <col min="32" max="32" width="77.85546875" style="307" customWidth="1"/>
    <col min="33" max="16384" width="9.140625" style="307"/>
  </cols>
  <sheetData>
    <row r="1" spans="1:32" ht="18.75" x14ac:dyDescent="0.25">
      <c r="A1" s="1205" t="s">
        <v>418</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349"/>
      <c r="AA1" s="349"/>
      <c r="AB1" s="349"/>
      <c r="AC1" s="349"/>
      <c r="AD1" s="349"/>
      <c r="AE1" s="349"/>
      <c r="AF1" s="349"/>
    </row>
    <row r="2" spans="1:32" x14ac:dyDescent="0.25">
      <c r="A2" s="1206" t="s">
        <v>419</v>
      </c>
      <c r="B2" s="1206" t="s">
        <v>420</v>
      </c>
      <c r="C2" s="1193" t="s">
        <v>602</v>
      </c>
      <c r="D2" s="1193" t="s">
        <v>603</v>
      </c>
      <c r="E2" s="1193" t="s">
        <v>632</v>
      </c>
      <c r="F2" s="1209" t="s">
        <v>371</v>
      </c>
      <c r="G2" s="1202"/>
      <c r="H2" s="1201" t="s">
        <v>7</v>
      </c>
      <c r="I2" s="1202"/>
      <c r="J2" s="1201" t="s">
        <v>8</v>
      </c>
      <c r="K2" s="1202"/>
      <c r="L2" s="1201" t="s">
        <v>9</v>
      </c>
      <c r="M2" s="1202"/>
      <c r="N2" s="1201" t="s">
        <v>10</v>
      </c>
      <c r="O2" s="1202"/>
      <c r="P2" s="1201" t="s">
        <v>11</v>
      </c>
      <c r="Q2" s="1202"/>
      <c r="R2" s="1201" t="s">
        <v>12</v>
      </c>
      <c r="S2" s="1202"/>
      <c r="T2" s="1201" t="s">
        <v>13</v>
      </c>
      <c r="U2" s="1202"/>
      <c r="V2" s="1201" t="s">
        <v>14</v>
      </c>
      <c r="W2" s="1202"/>
      <c r="X2" s="1201" t="s">
        <v>15</v>
      </c>
      <c r="Y2" s="1202"/>
      <c r="Z2" s="1201" t="s">
        <v>16</v>
      </c>
      <c r="AA2" s="1202"/>
      <c r="AB2" s="1201" t="s">
        <v>17</v>
      </c>
      <c r="AC2" s="1202"/>
      <c r="AD2" s="1201" t="s">
        <v>18</v>
      </c>
      <c r="AE2" s="1202"/>
      <c r="AF2" s="1193" t="s">
        <v>19</v>
      </c>
    </row>
    <row r="3" spans="1:32" ht="18.75" customHeight="1" x14ac:dyDescent="0.25">
      <c r="A3" s="1207"/>
      <c r="B3" s="1207"/>
      <c r="C3" s="1194"/>
      <c r="D3" s="1194"/>
      <c r="E3" s="1194"/>
      <c r="F3" s="1203" t="s">
        <v>20</v>
      </c>
      <c r="G3" s="1199" t="s">
        <v>21</v>
      </c>
      <c r="H3" s="350"/>
      <c r="I3" s="350"/>
      <c r="J3" s="350"/>
      <c r="K3" s="350"/>
      <c r="L3" s="350"/>
      <c r="M3" s="350"/>
      <c r="N3" s="1199" t="s">
        <v>165</v>
      </c>
      <c r="O3" s="1199" t="s">
        <v>23</v>
      </c>
      <c r="P3" s="1199" t="s">
        <v>165</v>
      </c>
      <c r="Q3" s="1199" t="s">
        <v>23</v>
      </c>
      <c r="R3" s="1199" t="s">
        <v>165</v>
      </c>
      <c r="S3" s="1199" t="s">
        <v>23</v>
      </c>
      <c r="T3" s="1199" t="s">
        <v>165</v>
      </c>
      <c r="U3" s="1199" t="s">
        <v>23</v>
      </c>
      <c r="V3" s="1199" t="s">
        <v>165</v>
      </c>
      <c r="W3" s="1199" t="s">
        <v>23</v>
      </c>
      <c r="X3" s="1199" t="s">
        <v>165</v>
      </c>
      <c r="Y3" s="1199" t="s">
        <v>23</v>
      </c>
      <c r="Z3" s="1199" t="s">
        <v>165</v>
      </c>
      <c r="AA3" s="1199" t="s">
        <v>23</v>
      </c>
      <c r="AB3" s="1199" t="s">
        <v>165</v>
      </c>
      <c r="AC3" s="1199" t="s">
        <v>23</v>
      </c>
      <c r="AD3" s="1199" t="s">
        <v>165</v>
      </c>
      <c r="AE3" s="1199" t="s">
        <v>23</v>
      </c>
      <c r="AF3" s="1194"/>
    </row>
    <row r="4" spans="1:32" ht="31.5" x14ac:dyDescent="0.25">
      <c r="A4" s="1208"/>
      <c r="B4" s="1208"/>
      <c r="C4" s="1195"/>
      <c r="D4" s="1195"/>
      <c r="E4" s="1195"/>
      <c r="F4" s="1204"/>
      <c r="G4" s="1200"/>
      <c r="H4" s="351" t="s">
        <v>165</v>
      </c>
      <c r="I4" s="351" t="s">
        <v>23</v>
      </c>
      <c r="J4" s="351" t="s">
        <v>165</v>
      </c>
      <c r="K4" s="352" t="s">
        <v>23</v>
      </c>
      <c r="L4" s="351" t="s">
        <v>165</v>
      </c>
      <c r="M4" s="351" t="s">
        <v>23</v>
      </c>
      <c r="N4" s="1200"/>
      <c r="O4" s="1200"/>
      <c r="P4" s="1200"/>
      <c r="Q4" s="1200"/>
      <c r="R4" s="1200"/>
      <c r="S4" s="1200"/>
      <c r="T4" s="1200"/>
      <c r="U4" s="1200"/>
      <c r="V4" s="1200"/>
      <c r="W4" s="1200"/>
      <c r="X4" s="1200"/>
      <c r="Y4" s="1200"/>
      <c r="Z4" s="1200"/>
      <c r="AA4" s="1200"/>
      <c r="AB4" s="1200"/>
      <c r="AC4" s="1200"/>
      <c r="AD4" s="1200"/>
      <c r="AE4" s="1200"/>
      <c r="AF4" s="1195"/>
    </row>
    <row r="5" spans="1:32" x14ac:dyDescent="0.25">
      <c r="A5" s="353" t="s">
        <v>421</v>
      </c>
      <c r="B5" s="354"/>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5"/>
      <c r="AF5" s="356"/>
    </row>
    <row r="6" spans="1:32" x14ac:dyDescent="0.25">
      <c r="A6" s="1178" t="s">
        <v>485</v>
      </c>
      <c r="B6" s="1179"/>
      <c r="C6" s="1179"/>
      <c r="D6" s="1179"/>
      <c r="E6" s="1179"/>
      <c r="F6" s="1179"/>
      <c r="G6" s="1179"/>
      <c r="H6" s="1179"/>
      <c r="I6" s="1179"/>
      <c r="J6" s="1179"/>
      <c r="K6" s="1179"/>
      <c r="L6" s="1179"/>
      <c r="M6" s="1179"/>
      <c r="N6" s="1179"/>
      <c r="O6" s="1179"/>
      <c r="P6" s="1179"/>
      <c r="Q6" s="1179"/>
      <c r="R6" s="1179"/>
      <c r="S6" s="1179"/>
      <c r="T6" s="1179"/>
      <c r="U6" s="1179"/>
      <c r="V6" s="1179"/>
      <c r="W6" s="1179"/>
      <c r="X6" s="1179"/>
      <c r="Y6" s="1179"/>
      <c r="Z6" s="1179"/>
      <c r="AA6" s="1179"/>
      <c r="AB6" s="1179"/>
      <c r="AC6" s="1179"/>
      <c r="AD6" s="1179"/>
      <c r="AE6" s="1180"/>
      <c r="AF6" s="1193"/>
    </row>
    <row r="7" spans="1:32" x14ac:dyDescent="0.25">
      <c r="A7" s="357" t="s">
        <v>31</v>
      </c>
      <c r="B7" s="358">
        <f>B8+B9+B10+B12</f>
        <v>23028.32</v>
      </c>
      <c r="C7" s="358">
        <f>C8+C9+C10+C12</f>
        <v>14050.880000000001</v>
      </c>
      <c r="D7" s="358">
        <f t="shared" ref="D7:AE7" si="0">D8+D9+D10+D12</f>
        <v>14050.87</v>
      </c>
      <c r="E7" s="358">
        <f t="shared" si="0"/>
        <v>14050.87</v>
      </c>
      <c r="F7" s="358">
        <f t="shared" ref="F7:F12" si="1">IFERROR(E7/B7%,0)</f>
        <v>61.015610344132796</v>
      </c>
      <c r="G7" s="358">
        <f>IFERROR(E7/C7%,)</f>
        <v>99.999928830080393</v>
      </c>
      <c r="H7" s="358">
        <f t="shared" si="0"/>
        <v>0</v>
      </c>
      <c r="I7" s="358">
        <f t="shared" si="0"/>
        <v>0</v>
      </c>
      <c r="J7" s="358">
        <f t="shared" si="0"/>
        <v>0</v>
      </c>
      <c r="K7" s="358">
        <f t="shared" si="0"/>
        <v>0</v>
      </c>
      <c r="L7" s="358">
        <f t="shared" si="0"/>
        <v>0</v>
      </c>
      <c r="M7" s="358">
        <f t="shared" si="0"/>
        <v>0</v>
      </c>
      <c r="N7" s="358">
        <f t="shared" si="0"/>
        <v>0</v>
      </c>
      <c r="O7" s="358">
        <f t="shared" si="0"/>
        <v>0</v>
      </c>
      <c r="P7" s="358">
        <v>9878.57</v>
      </c>
      <c r="Q7" s="358">
        <v>9878.57</v>
      </c>
      <c r="R7" s="358">
        <f t="shared" si="0"/>
        <v>4172.3099999999995</v>
      </c>
      <c r="S7" s="358">
        <f t="shared" si="0"/>
        <v>4172.3099999999995</v>
      </c>
      <c r="T7" s="358">
        <f t="shared" si="0"/>
        <v>0</v>
      </c>
      <c r="U7" s="358">
        <f t="shared" si="0"/>
        <v>0</v>
      </c>
      <c r="V7" s="358">
        <f t="shared" si="0"/>
        <v>8977.4500000000007</v>
      </c>
      <c r="W7" s="358">
        <f t="shared" si="0"/>
        <v>0</v>
      </c>
      <c r="X7" s="358">
        <f t="shared" si="0"/>
        <v>0</v>
      </c>
      <c r="Y7" s="358">
        <f t="shared" si="0"/>
        <v>0</v>
      </c>
      <c r="Z7" s="358">
        <f t="shared" si="0"/>
        <v>0</v>
      </c>
      <c r="AA7" s="358">
        <f t="shared" si="0"/>
        <v>0</v>
      </c>
      <c r="AB7" s="358">
        <f t="shared" si="0"/>
        <v>0</v>
      </c>
      <c r="AC7" s="358">
        <f t="shared" si="0"/>
        <v>0</v>
      </c>
      <c r="AD7" s="358">
        <f t="shared" si="0"/>
        <v>0</v>
      </c>
      <c r="AE7" s="358">
        <f t="shared" si="0"/>
        <v>0</v>
      </c>
      <c r="AF7" s="1194"/>
    </row>
    <row r="8" spans="1:32" x14ac:dyDescent="0.25">
      <c r="A8" s="359" t="s">
        <v>169</v>
      </c>
      <c r="B8" s="360">
        <f>H8+J8+L8+N8+P8+R8+T8+V8+X8+Z8+AB8+AD8</f>
        <v>4870.8</v>
      </c>
      <c r="C8" s="361">
        <f>C15</f>
        <v>4375.68</v>
      </c>
      <c r="D8" s="360">
        <f>E8</f>
        <v>4375.68</v>
      </c>
      <c r="E8" s="360">
        <f>I8+K8+M8+O8+Q8+S8+U8+W8+Y8+AA8+AC8+AE8</f>
        <v>4375.68</v>
      </c>
      <c r="F8" s="336">
        <f t="shared" si="1"/>
        <v>89.834934712983497</v>
      </c>
      <c r="G8" s="336">
        <f>IFERROR(E8/C8%,0)</f>
        <v>100</v>
      </c>
      <c r="H8" s="361">
        <f t="shared" ref="H8:AE12" si="2">H15</f>
        <v>0</v>
      </c>
      <c r="I8" s="361">
        <f t="shared" si="2"/>
        <v>0</v>
      </c>
      <c r="J8" s="361">
        <f t="shared" si="2"/>
        <v>0</v>
      </c>
      <c r="K8" s="361">
        <f t="shared" si="2"/>
        <v>0</v>
      </c>
      <c r="L8" s="361">
        <f t="shared" si="2"/>
        <v>0</v>
      </c>
      <c r="M8" s="361">
        <f t="shared" si="2"/>
        <v>0</v>
      </c>
      <c r="N8" s="361">
        <f t="shared" si="2"/>
        <v>0</v>
      </c>
      <c r="O8" s="361">
        <f t="shared" si="2"/>
        <v>0</v>
      </c>
      <c r="P8" s="361">
        <f t="shared" si="2"/>
        <v>3076.35</v>
      </c>
      <c r="Q8" s="361">
        <f t="shared" si="2"/>
        <v>3076.35</v>
      </c>
      <c r="R8" s="361">
        <f t="shared" si="2"/>
        <v>1299.33</v>
      </c>
      <c r="S8" s="361">
        <f t="shared" si="2"/>
        <v>1299.33</v>
      </c>
      <c r="T8" s="361">
        <f t="shared" si="2"/>
        <v>0</v>
      </c>
      <c r="U8" s="361">
        <f t="shared" si="2"/>
        <v>0</v>
      </c>
      <c r="V8" s="361">
        <f t="shared" si="2"/>
        <v>495.12</v>
      </c>
      <c r="W8" s="361">
        <f t="shared" si="2"/>
        <v>0</v>
      </c>
      <c r="X8" s="361">
        <f t="shared" si="2"/>
        <v>0</v>
      </c>
      <c r="Y8" s="361">
        <f t="shared" si="2"/>
        <v>0</v>
      </c>
      <c r="Z8" s="361">
        <f t="shared" si="2"/>
        <v>0</v>
      </c>
      <c r="AA8" s="361">
        <f t="shared" si="2"/>
        <v>0</v>
      </c>
      <c r="AB8" s="361">
        <f t="shared" si="2"/>
        <v>0</v>
      </c>
      <c r="AC8" s="361">
        <f t="shared" si="2"/>
        <v>0</v>
      </c>
      <c r="AD8" s="361">
        <f t="shared" si="2"/>
        <v>0</v>
      </c>
      <c r="AE8" s="361">
        <f t="shared" si="2"/>
        <v>0</v>
      </c>
      <c r="AF8" s="1194"/>
    </row>
    <row r="9" spans="1:32" x14ac:dyDescent="0.25">
      <c r="A9" s="359" t="s">
        <v>32</v>
      </c>
      <c r="B9" s="360">
        <f>H9+J9+L9+N9+P9+R9+T9+V9+X9+Z9+AB9+AD9</f>
        <v>7641.8200000000006</v>
      </c>
      <c r="C9" s="361">
        <f>C16</f>
        <v>6865.02</v>
      </c>
      <c r="D9" s="360">
        <f>E9</f>
        <v>6865.02</v>
      </c>
      <c r="E9" s="360">
        <f>I9+K9+M9+O9+Q9+S9+U9+W9+Y9+AA9+AC9+AE9</f>
        <v>6865.02</v>
      </c>
      <c r="F9" s="336">
        <f t="shared" si="1"/>
        <v>89.834882266266405</v>
      </c>
      <c r="G9" s="336">
        <f>IFERROR(E9/C9%,0)</f>
        <v>100.00000000000001</v>
      </c>
      <c r="H9" s="361">
        <f t="shared" si="2"/>
        <v>0</v>
      </c>
      <c r="I9" s="361">
        <f t="shared" si="2"/>
        <v>0</v>
      </c>
      <c r="J9" s="361">
        <f t="shared" si="2"/>
        <v>0</v>
      </c>
      <c r="K9" s="361">
        <f t="shared" si="2"/>
        <v>0</v>
      </c>
      <c r="L9" s="361">
        <f t="shared" si="2"/>
        <v>0</v>
      </c>
      <c r="M9" s="361">
        <f t="shared" si="2"/>
        <v>0</v>
      </c>
      <c r="N9" s="361">
        <f t="shared" si="2"/>
        <v>0</v>
      </c>
      <c r="O9" s="361">
        <f t="shared" si="2"/>
        <v>0</v>
      </c>
      <c r="P9" s="361">
        <f t="shared" si="2"/>
        <v>4826.5</v>
      </c>
      <c r="Q9" s="361">
        <f t="shared" si="2"/>
        <v>4826.5</v>
      </c>
      <c r="R9" s="361">
        <f t="shared" si="2"/>
        <v>2038.52</v>
      </c>
      <c r="S9" s="361">
        <f t="shared" si="2"/>
        <v>2038.52</v>
      </c>
      <c r="T9" s="361">
        <f t="shared" si="2"/>
        <v>0</v>
      </c>
      <c r="U9" s="361">
        <f t="shared" si="2"/>
        <v>0</v>
      </c>
      <c r="V9" s="361">
        <f t="shared" si="2"/>
        <v>776.8</v>
      </c>
      <c r="W9" s="361">
        <f t="shared" si="2"/>
        <v>0</v>
      </c>
      <c r="X9" s="361">
        <f t="shared" si="2"/>
        <v>0</v>
      </c>
      <c r="Y9" s="361">
        <f t="shared" si="2"/>
        <v>0</v>
      </c>
      <c r="Z9" s="361">
        <f t="shared" si="2"/>
        <v>0</v>
      </c>
      <c r="AA9" s="361">
        <f t="shared" si="2"/>
        <v>0</v>
      </c>
      <c r="AB9" s="361">
        <f t="shared" si="2"/>
        <v>0</v>
      </c>
      <c r="AC9" s="361">
        <f t="shared" si="2"/>
        <v>0</v>
      </c>
      <c r="AD9" s="361">
        <f t="shared" si="2"/>
        <v>0</v>
      </c>
      <c r="AE9" s="361">
        <f t="shared" si="2"/>
        <v>0</v>
      </c>
      <c r="AF9" s="1194"/>
    </row>
    <row r="10" spans="1:32" x14ac:dyDescent="0.25">
      <c r="A10" s="359" t="s">
        <v>33</v>
      </c>
      <c r="B10" s="360">
        <f>H10+J10+L10+N10+P10+R10+T10+V10+X10+Z10+AB10+AD10</f>
        <v>10515.7</v>
      </c>
      <c r="C10" s="361">
        <f>C17</f>
        <v>2810.18</v>
      </c>
      <c r="D10" s="360">
        <f>E10</f>
        <v>2810.17</v>
      </c>
      <c r="E10" s="360">
        <f>I10+K10+M10+O10+Q10+S10+U10+W10+Y10+AA10+AC10+AE10</f>
        <v>2810.17</v>
      </c>
      <c r="F10" s="336">
        <f t="shared" si="1"/>
        <v>26.723565716024609</v>
      </c>
      <c r="G10" s="336">
        <f>IFERROR(E10/C10%,0)</f>
        <v>99.999644150908495</v>
      </c>
      <c r="H10" s="361">
        <f t="shared" si="2"/>
        <v>0</v>
      </c>
      <c r="I10" s="361">
        <f t="shared" si="2"/>
        <v>0</v>
      </c>
      <c r="J10" s="361">
        <f t="shared" si="2"/>
        <v>0</v>
      </c>
      <c r="K10" s="361">
        <f t="shared" si="2"/>
        <v>0</v>
      </c>
      <c r="L10" s="361">
        <f t="shared" si="2"/>
        <v>0</v>
      </c>
      <c r="M10" s="361">
        <f t="shared" si="2"/>
        <v>0</v>
      </c>
      <c r="N10" s="361">
        <f t="shared" si="2"/>
        <v>0</v>
      </c>
      <c r="O10" s="361">
        <f t="shared" si="2"/>
        <v>0</v>
      </c>
      <c r="P10" s="361">
        <f t="shared" si="2"/>
        <v>1975.71</v>
      </c>
      <c r="Q10" s="361">
        <f t="shared" si="2"/>
        <v>1975.71</v>
      </c>
      <c r="R10" s="361">
        <f t="shared" si="2"/>
        <v>834.46</v>
      </c>
      <c r="S10" s="361">
        <f t="shared" si="2"/>
        <v>834.46</v>
      </c>
      <c r="T10" s="361">
        <f t="shared" si="2"/>
        <v>0</v>
      </c>
      <c r="U10" s="361">
        <f t="shared" si="2"/>
        <v>0</v>
      </c>
      <c r="V10" s="361">
        <f t="shared" si="2"/>
        <v>7705.53</v>
      </c>
      <c r="W10" s="361">
        <f t="shared" si="2"/>
        <v>0</v>
      </c>
      <c r="X10" s="361">
        <f t="shared" si="2"/>
        <v>0</v>
      </c>
      <c r="Y10" s="361">
        <f t="shared" si="2"/>
        <v>0</v>
      </c>
      <c r="Z10" s="361">
        <f t="shared" si="2"/>
        <v>0</v>
      </c>
      <c r="AA10" s="361">
        <f t="shared" si="2"/>
        <v>0</v>
      </c>
      <c r="AB10" s="361">
        <f t="shared" si="2"/>
        <v>0</v>
      </c>
      <c r="AC10" s="361">
        <f t="shared" si="2"/>
        <v>0</v>
      </c>
      <c r="AD10" s="361">
        <f t="shared" si="2"/>
        <v>0</v>
      </c>
      <c r="AE10" s="361">
        <f t="shared" si="2"/>
        <v>0</v>
      </c>
      <c r="AF10" s="1194"/>
    </row>
    <row r="11" spans="1:32" ht="31.5" x14ac:dyDescent="0.25">
      <c r="A11" s="362" t="s">
        <v>174</v>
      </c>
      <c r="B11" s="360">
        <f>H11+J11+L11+N11+P11+R11+T11+V11+X11+Z11+AB11+AD11</f>
        <v>3128.15</v>
      </c>
      <c r="C11" s="361">
        <f>C18</f>
        <v>2810.17</v>
      </c>
      <c r="D11" s="360">
        <f>E11</f>
        <v>2810.17</v>
      </c>
      <c r="E11" s="360">
        <f>I11+K11+M11+O11+Q11+S11+U11+W11+Y11+AA11+AC11+AE11</f>
        <v>2810.17</v>
      </c>
      <c r="F11" s="336">
        <f t="shared" si="1"/>
        <v>89.834886434474043</v>
      </c>
      <c r="G11" s="336">
        <f>IFERROR(E11/C11%,0)</f>
        <v>100</v>
      </c>
      <c r="H11" s="361">
        <f t="shared" si="2"/>
        <v>0</v>
      </c>
      <c r="I11" s="361">
        <f t="shared" si="2"/>
        <v>0</v>
      </c>
      <c r="J11" s="361">
        <f t="shared" si="2"/>
        <v>0</v>
      </c>
      <c r="K11" s="361">
        <f t="shared" si="2"/>
        <v>0</v>
      </c>
      <c r="L11" s="361">
        <f t="shared" si="2"/>
        <v>0</v>
      </c>
      <c r="M11" s="361">
        <f t="shared" si="2"/>
        <v>0</v>
      </c>
      <c r="N11" s="361">
        <f t="shared" si="2"/>
        <v>0</v>
      </c>
      <c r="O11" s="361">
        <f t="shared" si="2"/>
        <v>0</v>
      </c>
      <c r="P11" s="361">
        <f t="shared" si="2"/>
        <v>1975.71</v>
      </c>
      <c r="Q11" s="361">
        <f t="shared" si="2"/>
        <v>1975.71</v>
      </c>
      <c r="R11" s="361">
        <f t="shared" si="2"/>
        <v>834.46</v>
      </c>
      <c r="S11" s="361">
        <f t="shared" si="2"/>
        <v>834.46</v>
      </c>
      <c r="T11" s="361">
        <f t="shared" si="2"/>
        <v>0</v>
      </c>
      <c r="U11" s="361">
        <f t="shared" si="2"/>
        <v>0</v>
      </c>
      <c r="V11" s="361">
        <f t="shared" si="2"/>
        <v>317.98</v>
      </c>
      <c r="W11" s="361">
        <f t="shared" si="2"/>
        <v>0</v>
      </c>
      <c r="X11" s="361">
        <f t="shared" si="2"/>
        <v>0</v>
      </c>
      <c r="Y11" s="361">
        <f t="shared" si="2"/>
        <v>0</v>
      </c>
      <c r="Z11" s="361">
        <f t="shared" si="2"/>
        <v>0</v>
      </c>
      <c r="AA11" s="361">
        <f t="shared" si="2"/>
        <v>0</v>
      </c>
      <c r="AB11" s="361">
        <f t="shared" si="2"/>
        <v>0</v>
      </c>
      <c r="AC11" s="361">
        <f t="shared" si="2"/>
        <v>0</v>
      </c>
      <c r="AD11" s="361">
        <f t="shared" si="2"/>
        <v>0</v>
      </c>
      <c r="AE11" s="361">
        <f t="shared" si="2"/>
        <v>0</v>
      </c>
      <c r="AF11" s="1194"/>
    </row>
    <row r="12" spans="1:32" x14ac:dyDescent="0.25">
      <c r="A12" s="359" t="s">
        <v>374</v>
      </c>
      <c r="B12" s="360">
        <f>H12+J12+L12+N12+P12+R12+T12+V12+X12+Z12+AB12+AD12</f>
        <v>0</v>
      </c>
      <c r="C12" s="361">
        <f>C19</f>
        <v>0</v>
      </c>
      <c r="D12" s="360">
        <f>E12</f>
        <v>0</v>
      </c>
      <c r="E12" s="360">
        <f>I12+K12+M12+O12+Q12+S12+U12+W12+Y12+AA12+AC12+AE12</f>
        <v>0</v>
      </c>
      <c r="F12" s="336">
        <f t="shared" si="1"/>
        <v>0</v>
      </c>
      <c r="G12" s="336">
        <f>IFERROR(E12/C12%,0)</f>
        <v>0</v>
      </c>
      <c r="H12" s="361">
        <f>H19</f>
        <v>0</v>
      </c>
      <c r="I12" s="361">
        <f t="shared" si="2"/>
        <v>0</v>
      </c>
      <c r="J12" s="361">
        <f t="shared" si="2"/>
        <v>0</v>
      </c>
      <c r="K12" s="361">
        <f t="shared" si="2"/>
        <v>0</v>
      </c>
      <c r="L12" s="361">
        <f t="shared" si="2"/>
        <v>0</v>
      </c>
      <c r="M12" s="361">
        <f t="shared" si="2"/>
        <v>0</v>
      </c>
      <c r="N12" s="361">
        <f t="shared" si="2"/>
        <v>0</v>
      </c>
      <c r="O12" s="361">
        <f t="shared" si="2"/>
        <v>0</v>
      </c>
      <c r="P12" s="361">
        <f t="shared" si="2"/>
        <v>0</v>
      </c>
      <c r="Q12" s="361">
        <f t="shared" si="2"/>
        <v>0</v>
      </c>
      <c r="R12" s="361">
        <f t="shared" si="2"/>
        <v>0</v>
      </c>
      <c r="S12" s="361">
        <f t="shared" si="2"/>
        <v>0</v>
      </c>
      <c r="T12" s="361">
        <f t="shared" si="2"/>
        <v>0</v>
      </c>
      <c r="U12" s="361">
        <f t="shared" si="2"/>
        <v>0</v>
      </c>
      <c r="V12" s="361">
        <f t="shared" si="2"/>
        <v>0</v>
      </c>
      <c r="W12" s="361">
        <f t="shared" si="2"/>
        <v>0</v>
      </c>
      <c r="X12" s="361">
        <f t="shared" si="2"/>
        <v>0</v>
      </c>
      <c r="Y12" s="361">
        <f t="shared" si="2"/>
        <v>0</v>
      </c>
      <c r="Z12" s="361">
        <f t="shared" si="2"/>
        <v>0</v>
      </c>
      <c r="AA12" s="361">
        <f t="shared" si="2"/>
        <v>0</v>
      </c>
      <c r="AB12" s="361">
        <f t="shared" si="2"/>
        <v>0</v>
      </c>
      <c r="AC12" s="361">
        <f t="shared" si="2"/>
        <v>0</v>
      </c>
      <c r="AD12" s="361">
        <f t="shared" si="2"/>
        <v>0</v>
      </c>
      <c r="AE12" s="361">
        <f t="shared" si="2"/>
        <v>0</v>
      </c>
      <c r="AF12" s="1195"/>
    </row>
    <row r="13" spans="1:32" ht="24" customHeight="1" x14ac:dyDescent="0.25">
      <c r="A13" s="1178" t="s">
        <v>422</v>
      </c>
      <c r="B13" s="1179"/>
      <c r="C13" s="1179"/>
      <c r="D13" s="1179"/>
      <c r="E13" s="1179"/>
      <c r="F13" s="1179"/>
      <c r="G13" s="1179"/>
      <c r="H13" s="1179"/>
      <c r="I13" s="1179"/>
      <c r="J13" s="1179"/>
      <c r="K13" s="1179"/>
      <c r="L13" s="1179"/>
      <c r="M13" s="1179"/>
      <c r="N13" s="1179"/>
      <c r="O13" s="1179"/>
      <c r="P13" s="1179"/>
      <c r="Q13" s="1179"/>
      <c r="R13" s="1179"/>
      <c r="S13" s="1179"/>
      <c r="T13" s="1179"/>
      <c r="U13" s="1179"/>
      <c r="V13" s="1179"/>
      <c r="W13" s="1179"/>
      <c r="X13" s="1179"/>
      <c r="Y13" s="1179"/>
      <c r="Z13" s="1179"/>
      <c r="AA13" s="1179"/>
      <c r="AB13" s="1179"/>
      <c r="AC13" s="1179"/>
      <c r="AD13" s="1179"/>
      <c r="AE13" s="1180"/>
      <c r="AF13" s="1196"/>
    </row>
    <row r="14" spans="1:32" x14ac:dyDescent="0.25">
      <c r="A14" s="357" t="s">
        <v>31</v>
      </c>
      <c r="B14" s="358">
        <v>396028.32</v>
      </c>
      <c r="C14" s="358">
        <v>14050.88</v>
      </c>
      <c r="D14" s="358">
        <v>14050.88</v>
      </c>
      <c r="E14" s="358">
        <v>14050.88</v>
      </c>
      <c r="F14" s="358">
        <v>3.55</v>
      </c>
      <c r="G14" s="358">
        <f t="shared" ref="G14:G19" si="3">IFERROR(E14/C14%,0)</f>
        <v>100.00000000000001</v>
      </c>
      <c r="H14" s="358">
        <f t="shared" ref="H14:AE14" si="4">H15+H16+H17+H19</f>
        <v>0</v>
      </c>
      <c r="I14" s="358">
        <f t="shared" si="4"/>
        <v>0</v>
      </c>
      <c r="J14" s="358">
        <f t="shared" si="4"/>
        <v>0</v>
      </c>
      <c r="K14" s="358">
        <f t="shared" si="4"/>
        <v>0</v>
      </c>
      <c r="L14" s="360">
        <v>0</v>
      </c>
      <c r="M14" s="358">
        <f t="shared" si="4"/>
        <v>0</v>
      </c>
      <c r="N14" s="358">
        <f t="shared" si="4"/>
        <v>0</v>
      </c>
      <c r="O14" s="358">
        <f t="shared" si="4"/>
        <v>0</v>
      </c>
      <c r="P14" s="358">
        <v>9878.57</v>
      </c>
      <c r="Q14" s="358">
        <v>9878.57</v>
      </c>
      <c r="R14" s="358">
        <v>4172.3100000000004</v>
      </c>
      <c r="S14" s="358">
        <v>4172.3100000000004</v>
      </c>
      <c r="T14" s="358">
        <f t="shared" si="4"/>
        <v>0</v>
      </c>
      <c r="U14" s="358">
        <f t="shared" si="4"/>
        <v>0</v>
      </c>
      <c r="V14" s="358">
        <v>8977.4500000000007</v>
      </c>
      <c r="W14" s="358">
        <f t="shared" si="4"/>
        <v>0</v>
      </c>
      <c r="X14" s="358">
        <f t="shared" si="4"/>
        <v>0</v>
      </c>
      <c r="Y14" s="358">
        <f t="shared" si="4"/>
        <v>0</v>
      </c>
      <c r="Z14" s="358">
        <f t="shared" si="4"/>
        <v>0</v>
      </c>
      <c r="AA14" s="358">
        <f t="shared" si="4"/>
        <v>0</v>
      </c>
      <c r="AB14" s="358">
        <f t="shared" si="4"/>
        <v>0</v>
      </c>
      <c r="AC14" s="358">
        <f t="shared" si="4"/>
        <v>0</v>
      </c>
      <c r="AD14" s="358">
        <f t="shared" si="4"/>
        <v>0</v>
      </c>
      <c r="AE14" s="358">
        <f t="shared" si="4"/>
        <v>0</v>
      </c>
      <c r="AF14" s="1197"/>
    </row>
    <row r="15" spans="1:32" x14ac:dyDescent="0.25">
      <c r="A15" s="359" t="s">
        <v>169</v>
      </c>
      <c r="B15" s="360">
        <v>4870.8</v>
      </c>
      <c r="C15" s="360">
        <v>4375.68</v>
      </c>
      <c r="D15" s="360">
        <v>4375.68</v>
      </c>
      <c r="E15" s="360">
        <v>4375.68</v>
      </c>
      <c r="F15" s="336">
        <f t="shared" ref="F15:F19" si="5">IFERROR(E15/B15%,0)</f>
        <v>89.834934712983497</v>
      </c>
      <c r="G15" s="336">
        <f t="shared" si="3"/>
        <v>100</v>
      </c>
      <c r="H15" s="360">
        <f t="shared" ref="H15:O15" si="6">H22</f>
        <v>0</v>
      </c>
      <c r="I15" s="360">
        <f t="shared" si="6"/>
        <v>0</v>
      </c>
      <c r="J15" s="360">
        <f t="shared" si="6"/>
        <v>0</v>
      </c>
      <c r="K15" s="360">
        <f t="shared" si="6"/>
        <v>0</v>
      </c>
      <c r="L15" s="360">
        <f t="shared" si="6"/>
        <v>0</v>
      </c>
      <c r="M15" s="360">
        <f t="shared" si="6"/>
        <v>0</v>
      </c>
      <c r="N15" s="360">
        <f t="shared" si="6"/>
        <v>0</v>
      </c>
      <c r="O15" s="360">
        <f t="shared" si="6"/>
        <v>0</v>
      </c>
      <c r="P15" s="360">
        <v>3076.35</v>
      </c>
      <c r="Q15" s="360">
        <v>3076.35</v>
      </c>
      <c r="R15" s="360">
        <v>1299.33</v>
      </c>
      <c r="S15" s="360">
        <v>1299.33</v>
      </c>
      <c r="T15" s="360">
        <f>T22</f>
        <v>0</v>
      </c>
      <c r="U15" s="360">
        <f>U22</f>
        <v>0</v>
      </c>
      <c r="V15" s="360">
        <v>495.12</v>
      </c>
      <c r="W15" s="360">
        <f t="shared" ref="W15:AE15" si="7">W22</f>
        <v>0</v>
      </c>
      <c r="X15" s="360">
        <f t="shared" si="7"/>
        <v>0</v>
      </c>
      <c r="Y15" s="360">
        <f t="shared" si="7"/>
        <v>0</v>
      </c>
      <c r="Z15" s="360">
        <f t="shared" si="7"/>
        <v>0</v>
      </c>
      <c r="AA15" s="360">
        <f t="shared" si="7"/>
        <v>0</v>
      </c>
      <c r="AB15" s="360">
        <f t="shared" si="7"/>
        <v>0</v>
      </c>
      <c r="AC15" s="360">
        <f t="shared" si="7"/>
        <v>0</v>
      </c>
      <c r="AD15" s="360">
        <f t="shared" si="7"/>
        <v>0</v>
      </c>
      <c r="AE15" s="360">
        <f t="shared" si="7"/>
        <v>0</v>
      </c>
      <c r="AF15" s="1197"/>
    </row>
    <row r="16" spans="1:32" x14ac:dyDescent="0.25">
      <c r="A16" s="359" t="s">
        <v>32</v>
      </c>
      <c r="B16" s="360">
        <v>7641.82</v>
      </c>
      <c r="C16" s="360">
        <v>6865.02</v>
      </c>
      <c r="D16" s="360">
        <v>6865.02</v>
      </c>
      <c r="E16" s="360">
        <v>6865.02</v>
      </c>
      <c r="F16" s="336">
        <f t="shared" si="5"/>
        <v>89.834882266266419</v>
      </c>
      <c r="G16" s="336">
        <f t="shared" si="3"/>
        <v>100.00000000000001</v>
      </c>
      <c r="H16" s="360">
        <f t="shared" ref="H16:W19" si="8">H23</f>
        <v>0</v>
      </c>
      <c r="I16" s="360">
        <f t="shared" si="8"/>
        <v>0</v>
      </c>
      <c r="J16" s="360">
        <f t="shared" si="8"/>
        <v>0</v>
      </c>
      <c r="K16" s="360">
        <f t="shared" si="8"/>
        <v>0</v>
      </c>
      <c r="L16" s="360">
        <f t="shared" si="8"/>
        <v>0</v>
      </c>
      <c r="M16" s="360">
        <f t="shared" si="8"/>
        <v>0</v>
      </c>
      <c r="N16" s="360">
        <f t="shared" si="8"/>
        <v>0</v>
      </c>
      <c r="O16" s="360">
        <f t="shared" si="8"/>
        <v>0</v>
      </c>
      <c r="P16" s="360">
        <v>4826.5</v>
      </c>
      <c r="Q16" s="360">
        <v>4826.5</v>
      </c>
      <c r="R16" s="360">
        <v>2038.52</v>
      </c>
      <c r="S16" s="360">
        <v>2038.52</v>
      </c>
      <c r="T16" s="360">
        <f t="shared" si="8"/>
        <v>0</v>
      </c>
      <c r="U16" s="360">
        <f t="shared" si="8"/>
        <v>0</v>
      </c>
      <c r="V16" s="360">
        <v>776.8</v>
      </c>
      <c r="W16" s="360">
        <f t="shared" si="8"/>
        <v>0</v>
      </c>
      <c r="X16" s="360">
        <f t="shared" ref="X16:AE19" si="9">X23</f>
        <v>0</v>
      </c>
      <c r="Y16" s="360">
        <f t="shared" si="9"/>
        <v>0</v>
      </c>
      <c r="Z16" s="360">
        <f t="shared" si="9"/>
        <v>0</v>
      </c>
      <c r="AA16" s="360">
        <f t="shared" si="9"/>
        <v>0</v>
      </c>
      <c r="AB16" s="360">
        <f t="shared" si="9"/>
        <v>0</v>
      </c>
      <c r="AC16" s="360">
        <f t="shared" si="9"/>
        <v>0</v>
      </c>
      <c r="AD16" s="360">
        <f t="shared" si="9"/>
        <v>0</v>
      </c>
      <c r="AE16" s="360">
        <f t="shared" si="9"/>
        <v>0</v>
      </c>
      <c r="AF16" s="1197"/>
    </row>
    <row r="17" spans="1:32" x14ac:dyDescent="0.25">
      <c r="A17" s="359" t="s">
        <v>33</v>
      </c>
      <c r="B17" s="360">
        <v>10515.71</v>
      </c>
      <c r="C17" s="360">
        <v>2810.18</v>
      </c>
      <c r="D17" s="360">
        <v>2810.17</v>
      </c>
      <c r="E17" s="360">
        <v>2810.17</v>
      </c>
      <c r="F17" s="336">
        <f t="shared" si="5"/>
        <v>26.723540303032326</v>
      </c>
      <c r="G17" s="336">
        <f t="shared" si="3"/>
        <v>99.999644150908495</v>
      </c>
      <c r="H17" s="360">
        <f t="shared" si="8"/>
        <v>0</v>
      </c>
      <c r="I17" s="360">
        <f t="shared" si="8"/>
        <v>0</v>
      </c>
      <c r="J17" s="360">
        <f t="shared" si="8"/>
        <v>0</v>
      </c>
      <c r="K17" s="360">
        <f t="shared" si="8"/>
        <v>0</v>
      </c>
      <c r="L17" s="360">
        <v>0</v>
      </c>
      <c r="M17" s="360">
        <f t="shared" si="8"/>
        <v>0</v>
      </c>
      <c r="N17" s="360">
        <f t="shared" si="8"/>
        <v>0</v>
      </c>
      <c r="O17" s="360">
        <f t="shared" si="8"/>
        <v>0</v>
      </c>
      <c r="P17" s="360">
        <v>1975.71</v>
      </c>
      <c r="Q17" s="360">
        <v>1975.71</v>
      </c>
      <c r="R17" s="360">
        <v>834.46</v>
      </c>
      <c r="S17" s="360">
        <v>834.46</v>
      </c>
      <c r="T17" s="360">
        <f t="shared" si="8"/>
        <v>0</v>
      </c>
      <c r="U17" s="360">
        <f t="shared" si="8"/>
        <v>0</v>
      </c>
      <c r="V17" s="360">
        <v>7705.53</v>
      </c>
      <c r="W17" s="360">
        <f t="shared" si="8"/>
        <v>0</v>
      </c>
      <c r="X17" s="360">
        <f t="shared" si="9"/>
        <v>0</v>
      </c>
      <c r="Y17" s="360">
        <f t="shared" si="9"/>
        <v>0</v>
      </c>
      <c r="Z17" s="360">
        <f t="shared" si="9"/>
        <v>0</v>
      </c>
      <c r="AA17" s="360">
        <f t="shared" si="9"/>
        <v>0</v>
      </c>
      <c r="AB17" s="360">
        <f t="shared" si="9"/>
        <v>0</v>
      </c>
      <c r="AC17" s="360">
        <f t="shared" si="9"/>
        <v>0</v>
      </c>
      <c r="AD17" s="360">
        <f t="shared" si="9"/>
        <v>0</v>
      </c>
      <c r="AE17" s="360">
        <f t="shared" si="9"/>
        <v>0</v>
      </c>
      <c r="AF17" s="1197"/>
    </row>
    <row r="18" spans="1:32" ht="31.5" x14ac:dyDescent="0.25">
      <c r="A18" s="362" t="s">
        <v>174</v>
      </c>
      <c r="B18" s="360">
        <v>3128.15</v>
      </c>
      <c r="C18" s="360">
        <v>2810.17</v>
      </c>
      <c r="D18" s="360">
        <v>2810.17</v>
      </c>
      <c r="E18" s="360">
        <v>2810.17</v>
      </c>
      <c r="F18" s="336">
        <f t="shared" si="5"/>
        <v>89.834886434474043</v>
      </c>
      <c r="G18" s="336">
        <f t="shared" si="3"/>
        <v>100</v>
      </c>
      <c r="H18" s="360">
        <f t="shared" si="8"/>
        <v>0</v>
      </c>
      <c r="I18" s="360">
        <f t="shared" si="8"/>
        <v>0</v>
      </c>
      <c r="J18" s="360">
        <f t="shared" si="8"/>
        <v>0</v>
      </c>
      <c r="K18" s="360">
        <f t="shared" si="8"/>
        <v>0</v>
      </c>
      <c r="L18" s="360">
        <f t="shared" si="8"/>
        <v>0</v>
      </c>
      <c r="M18" s="360">
        <f t="shared" si="8"/>
        <v>0</v>
      </c>
      <c r="N18" s="360">
        <f t="shared" si="8"/>
        <v>0</v>
      </c>
      <c r="O18" s="360">
        <f t="shared" si="8"/>
        <v>0</v>
      </c>
      <c r="P18" s="360">
        <v>1975.71</v>
      </c>
      <c r="Q18" s="360">
        <v>1975.71</v>
      </c>
      <c r="R18" s="360">
        <v>834.46</v>
      </c>
      <c r="S18" s="360">
        <v>834.46</v>
      </c>
      <c r="T18" s="360">
        <f t="shared" si="8"/>
        <v>0</v>
      </c>
      <c r="U18" s="360">
        <f t="shared" si="8"/>
        <v>0</v>
      </c>
      <c r="V18" s="360">
        <v>317.98</v>
      </c>
      <c r="W18" s="360">
        <f t="shared" si="8"/>
        <v>0</v>
      </c>
      <c r="X18" s="360">
        <f t="shared" si="9"/>
        <v>0</v>
      </c>
      <c r="Y18" s="360">
        <f t="shared" si="9"/>
        <v>0</v>
      </c>
      <c r="Z18" s="360">
        <f t="shared" si="9"/>
        <v>0</v>
      </c>
      <c r="AA18" s="360">
        <f t="shared" si="9"/>
        <v>0</v>
      </c>
      <c r="AB18" s="360">
        <f t="shared" si="9"/>
        <v>0</v>
      </c>
      <c r="AC18" s="360">
        <f t="shared" si="9"/>
        <v>0</v>
      </c>
      <c r="AD18" s="360">
        <f t="shared" si="9"/>
        <v>0</v>
      </c>
      <c r="AE18" s="360">
        <f t="shared" si="9"/>
        <v>0</v>
      </c>
      <c r="AF18" s="1197"/>
    </row>
    <row r="19" spans="1:32" x14ac:dyDescent="0.25">
      <c r="A19" s="359" t="s">
        <v>374</v>
      </c>
      <c r="B19" s="360">
        <f>B26</f>
        <v>0</v>
      </c>
      <c r="C19" s="360">
        <f>C26</f>
        <v>0</v>
      </c>
      <c r="D19" s="360">
        <f>E19</f>
        <v>0</v>
      </c>
      <c r="E19" s="360">
        <f>I19+K19+M19+O19+Q19+S19+U19+W19+Y19+AA19+AC19+AE19</f>
        <v>0</v>
      </c>
      <c r="F19" s="336">
        <f t="shared" si="5"/>
        <v>0</v>
      </c>
      <c r="G19" s="336">
        <f t="shared" si="3"/>
        <v>0</v>
      </c>
      <c r="H19" s="360">
        <f t="shared" si="8"/>
        <v>0</v>
      </c>
      <c r="I19" s="360">
        <f t="shared" si="8"/>
        <v>0</v>
      </c>
      <c r="J19" s="360">
        <f t="shared" si="8"/>
        <v>0</v>
      </c>
      <c r="K19" s="360">
        <f t="shared" si="8"/>
        <v>0</v>
      </c>
      <c r="L19" s="360">
        <f t="shared" si="8"/>
        <v>0</v>
      </c>
      <c r="M19" s="360">
        <f t="shared" si="8"/>
        <v>0</v>
      </c>
      <c r="N19" s="360">
        <f t="shared" si="8"/>
        <v>0</v>
      </c>
      <c r="O19" s="360">
        <f t="shared" si="8"/>
        <v>0</v>
      </c>
      <c r="P19" s="360">
        <f t="shared" si="8"/>
        <v>0</v>
      </c>
      <c r="Q19" s="360">
        <f t="shared" si="8"/>
        <v>0</v>
      </c>
      <c r="R19" s="360">
        <f t="shared" si="8"/>
        <v>0</v>
      </c>
      <c r="S19" s="360">
        <f t="shared" si="8"/>
        <v>0</v>
      </c>
      <c r="T19" s="360">
        <f t="shared" si="8"/>
        <v>0</v>
      </c>
      <c r="U19" s="360">
        <f t="shared" si="8"/>
        <v>0</v>
      </c>
      <c r="V19" s="360">
        <f t="shared" si="8"/>
        <v>0</v>
      </c>
      <c r="W19" s="360">
        <f t="shared" si="8"/>
        <v>0</v>
      </c>
      <c r="X19" s="360">
        <f t="shared" si="9"/>
        <v>0</v>
      </c>
      <c r="Y19" s="360">
        <f t="shared" si="9"/>
        <v>0</v>
      </c>
      <c r="Z19" s="360">
        <f t="shared" si="9"/>
        <v>0</v>
      </c>
      <c r="AA19" s="360">
        <f t="shared" si="9"/>
        <v>0</v>
      </c>
      <c r="AB19" s="360">
        <f t="shared" si="9"/>
        <v>0</v>
      </c>
      <c r="AC19" s="360">
        <f t="shared" si="9"/>
        <v>0</v>
      </c>
      <c r="AD19" s="360">
        <f t="shared" si="9"/>
        <v>0</v>
      </c>
      <c r="AE19" s="360">
        <f t="shared" si="9"/>
        <v>0</v>
      </c>
      <c r="AF19" s="1198"/>
    </row>
    <row r="20" spans="1:32" ht="30" customHeight="1" x14ac:dyDescent="0.25">
      <c r="A20" s="1178" t="s">
        <v>423</v>
      </c>
      <c r="B20" s="1179"/>
      <c r="C20" s="1179"/>
      <c r="D20" s="1179"/>
      <c r="E20" s="1179"/>
      <c r="F20" s="1179"/>
      <c r="G20" s="1179"/>
      <c r="H20" s="1179"/>
      <c r="I20" s="1179"/>
      <c r="J20" s="1179"/>
      <c r="K20" s="1179"/>
      <c r="L20" s="1179"/>
      <c r="M20" s="1179"/>
      <c r="N20" s="1179"/>
      <c r="O20" s="1179"/>
      <c r="P20" s="1179"/>
      <c r="Q20" s="1179"/>
      <c r="R20" s="1179"/>
      <c r="S20" s="1179"/>
      <c r="T20" s="1179"/>
      <c r="U20" s="1179"/>
      <c r="V20" s="1179"/>
      <c r="W20" s="1179"/>
      <c r="X20" s="1179"/>
      <c r="Y20" s="1179"/>
      <c r="Z20" s="1179"/>
      <c r="AA20" s="1179"/>
      <c r="AB20" s="1179"/>
      <c r="AC20" s="1179"/>
      <c r="AD20" s="1179"/>
      <c r="AE20" s="1180"/>
      <c r="AF20" s="1181" t="s">
        <v>594</v>
      </c>
    </row>
    <row r="21" spans="1:32" x14ac:dyDescent="0.25">
      <c r="A21" s="363" t="s">
        <v>31</v>
      </c>
      <c r="B21" s="358">
        <v>23028.32</v>
      </c>
      <c r="C21" s="358">
        <v>14050.88</v>
      </c>
      <c r="D21" s="358">
        <v>14050.88</v>
      </c>
      <c r="E21" s="358">
        <v>14050.88</v>
      </c>
      <c r="F21" s="358">
        <f t="shared" ref="F21:F26" si="10">IFERROR(E21/B21%,0)</f>
        <v>61.015653768924523</v>
      </c>
      <c r="G21" s="358">
        <f t="shared" ref="G21:G26" si="11">IFERROR(E21/C21%,0)</f>
        <v>100.00000000000001</v>
      </c>
      <c r="H21" s="358">
        <f t="shared" ref="H21:AE21" si="12">H22+H23+H24+H26</f>
        <v>0</v>
      </c>
      <c r="I21" s="358">
        <f t="shared" si="12"/>
        <v>0</v>
      </c>
      <c r="J21" s="358">
        <f t="shared" si="12"/>
        <v>0</v>
      </c>
      <c r="K21" s="358">
        <f t="shared" si="12"/>
        <v>0</v>
      </c>
      <c r="L21" s="358">
        <v>0</v>
      </c>
      <c r="M21" s="358">
        <f t="shared" si="12"/>
        <v>0</v>
      </c>
      <c r="N21" s="358">
        <f t="shared" si="12"/>
        <v>0</v>
      </c>
      <c r="O21" s="358">
        <f t="shared" si="12"/>
        <v>0</v>
      </c>
      <c r="P21" s="358">
        <v>9878.57</v>
      </c>
      <c r="Q21" s="358">
        <v>9878.57</v>
      </c>
      <c r="R21" s="358">
        <v>4172.3100000000004</v>
      </c>
      <c r="S21" s="358">
        <v>4172.3100000000004</v>
      </c>
      <c r="T21" s="358">
        <f t="shared" si="12"/>
        <v>0</v>
      </c>
      <c r="U21" s="358">
        <f t="shared" si="12"/>
        <v>0</v>
      </c>
      <c r="V21" s="358">
        <v>8977.4500000000007</v>
      </c>
      <c r="W21" s="358">
        <f t="shared" si="12"/>
        <v>0</v>
      </c>
      <c r="X21" s="358">
        <f t="shared" si="12"/>
        <v>0</v>
      </c>
      <c r="Y21" s="358">
        <f t="shared" si="12"/>
        <v>0</v>
      </c>
      <c r="Z21" s="358">
        <f t="shared" si="12"/>
        <v>0</v>
      </c>
      <c r="AA21" s="358">
        <f t="shared" si="12"/>
        <v>0</v>
      </c>
      <c r="AB21" s="358">
        <f t="shared" si="12"/>
        <v>0</v>
      </c>
      <c r="AC21" s="358">
        <f t="shared" si="12"/>
        <v>0</v>
      </c>
      <c r="AD21" s="358">
        <f t="shared" si="12"/>
        <v>0</v>
      </c>
      <c r="AE21" s="358">
        <f t="shared" si="12"/>
        <v>0</v>
      </c>
      <c r="AF21" s="1182"/>
    </row>
    <row r="22" spans="1:32" x14ac:dyDescent="0.25">
      <c r="A22" s="359" t="s">
        <v>169</v>
      </c>
      <c r="B22" s="360">
        <v>4870.8</v>
      </c>
      <c r="C22" s="360">
        <v>4375.68</v>
      </c>
      <c r="D22" s="360">
        <v>4375.68</v>
      </c>
      <c r="E22" s="360">
        <v>4375.68</v>
      </c>
      <c r="F22" s="336">
        <f t="shared" si="10"/>
        <v>89.834934712983497</v>
      </c>
      <c r="G22" s="336">
        <f t="shared" si="11"/>
        <v>100</v>
      </c>
      <c r="H22" s="361">
        <v>0</v>
      </c>
      <c r="I22" s="361">
        <v>0</v>
      </c>
      <c r="J22" s="361">
        <v>0</v>
      </c>
      <c r="K22" s="361">
        <v>0</v>
      </c>
      <c r="L22" s="361">
        <v>0</v>
      </c>
      <c r="M22" s="361">
        <v>0</v>
      </c>
      <c r="N22" s="361">
        <v>0</v>
      </c>
      <c r="O22" s="361">
        <v>0</v>
      </c>
      <c r="P22" s="360">
        <v>3076.35</v>
      </c>
      <c r="Q22" s="360">
        <v>3076.35</v>
      </c>
      <c r="R22" s="361">
        <v>1299.33</v>
      </c>
      <c r="S22" s="361">
        <v>1299.33</v>
      </c>
      <c r="T22" s="361">
        <v>0</v>
      </c>
      <c r="U22" s="361">
        <v>0</v>
      </c>
      <c r="V22" s="361">
        <v>495.12</v>
      </c>
      <c r="W22" s="361">
        <v>0</v>
      </c>
      <c r="X22" s="361">
        <v>0</v>
      </c>
      <c r="Y22" s="361">
        <v>0</v>
      </c>
      <c r="Z22" s="361">
        <v>0</v>
      </c>
      <c r="AA22" s="361">
        <v>0</v>
      </c>
      <c r="AB22" s="361">
        <v>0</v>
      </c>
      <c r="AC22" s="361">
        <v>0</v>
      </c>
      <c r="AD22" s="361">
        <v>0</v>
      </c>
      <c r="AE22" s="361">
        <v>0</v>
      </c>
      <c r="AF22" s="1182"/>
    </row>
    <row r="23" spans="1:32" x14ac:dyDescent="0.25">
      <c r="A23" s="359" t="s">
        <v>32</v>
      </c>
      <c r="B23" s="360">
        <v>7641.82</v>
      </c>
      <c r="C23" s="360">
        <v>6865.02</v>
      </c>
      <c r="D23" s="360">
        <v>6865.02</v>
      </c>
      <c r="E23" s="360">
        <v>6865.02</v>
      </c>
      <c r="F23" s="336">
        <f t="shared" si="10"/>
        <v>89.834882266266419</v>
      </c>
      <c r="G23" s="336">
        <f t="shared" si="11"/>
        <v>100.00000000000001</v>
      </c>
      <c r="H23" s="361">
        <v>0</v>
      </c>
      <c r="I23" s="361">
        <v>0</v>
      </c>
      <c r="J23" s="361">
        <v>0</v>
      </c>
      <c r="K23" s="361">
        <v>0</v>
      </c>
      <c r="L23" s="361">
        <v>0</v>
      </c>
      <c r="M23" s="361">
        <v>0</v>
      </c>
      <c r="N23" s="361">
        <v>0</v>
      </c>
      <c r="O23" s="361">
        <v>0</v>
      </c>
      <c r="P23" s="360">
        <v>4826.5</v>
      </c>
      <c r="Q23" s="360">
        <v>4826.5</v>
      </c>
      <c r="R23" s="361">
        <v>2038.52</v>
      </c>
      <c r="S23" s="361">
        <v>2038.52</v>
      </c>
      <c r="T23" s="361">
        <v>0</v>
      </c>
      <c r="U23" s="361">
        <v>0</v>
      </c>
      <c r="V23" s="361">
        <v>776.8</v>
      </c>
      <c r="W23" s="361">
        <v>0</v>
      </c>
      <c r="X23" s="361">
        <v>0</v>
      </c>
      <c r="Y23" s="361">
        <v>0</v>
      </c>
      <c r="Z23" s="361">
        <v>0</v>
      </c>
      <c r="AA23" s="361">
        <v>0</v>
      </c>
      <c r="AB23" s="361">
        <v>0</v>
      </c>
      <c r="AC23" s="361">
        <v>0</v>
      </c>
      <c r="AD23" s="361">
        <v>0</v>
      </c>
      <c r="AE23" s="361">
        <v>0</v>
      </c>
      <c r="AF23" s="1182"/>
    </row>
    <row r="24" spans="1:32" x14ac:dyDescent="0.25">
      <c r="A24" s="359" t="s">
        <v>33</v>
      </c>
      <c r="B24" s="581">
        <v>10515.71</v>
      </c>
      <c r="C24" s="360">
        <v>2810.18</v>
      </c>
      <c r="D24" s="360">
        <v>2810.17</v>
      </c>
      <c r="E24" s="360">
        <v>2810.17</v>
      </c>
      <c r="F24" s="360">
        <f t="shared" si="10"/>
        <v>26.723540303032326</v>
      </c>
      <c r="G24" s="336">
        <f t="shared" si="11"/>
        <v>99.999644150908495</v>
      </c>
      <c r="H24" s="361">
        <v>0</v>
      </c>
      <c r="I24" s="361">
        <v>0</v>
      </c>
      <c r="J24" s="361">
        <v>0</v>
      </c>
      <c r="K24" s="361">
        <v>0</v>
      </c>
      <c r="L24" s="361">
        <v>0</v>
      </c>
      <c r="M24" s="361">
        <v>0</v>
      </c>
      <c r="N24" s="361">
        <v>0</v>
      </c>
      <c r="O24" s="361">
        <v>0</v>
      </c>
      <c r="P24" s="360">
        <v>1975.71</v>
      </c>
      <c r="Q24" s="360">
        <v>1975.71</v>
      </c>
      <c r="R24" s="361">
        <v>834.46</v>
      </c>
      <c r="S24" s="361">
        <v>834.46</v>
      </c>
      <c r="T24" s="361">
        <v>0</v>
      </c>
      <c r="U24" s="361">
        <v>0</v>
      </c>
      <c r="V24" s="361">
        <v>7705.53</v>
      </c>
      <c r="W24" s="361">
        <v>0</v>
      </c>
      <c r="X24" s="361">
        <v>0</v>
      </c>
      <c r="Y24" s="361">
        <v>0</v>
      </c>
      <c r="Z24" s="361">
        <v>0</v>
      </c>
      <c r="AA24" s="361">
        <v>0</v>
      </c>
      <c r="AB24" s="361">
        <v>0</v>
      </c>
      <c r="AC24" s="361">
        <v>0</v>
      </c>
      <c r="AD24" s="361">
        <v>0</v>
      </c>
      <c r="AE24" s="361">
        <v>0</v>
      </c>
      <c r="AF24" s="1182"/>
    </row>
    <row r="25" spans="1:32" ht="31.5" x14ac:dyDescent="0.25">
      <c r="A25" s="362" t="s">
        <v>174</v>
      </c>
      <c r="B25" s="581">
        <v>3128.15</v>
      </c>
      <c r="C25" s="360">
        <v>2810.17</v>
      </c>
      <c r="D25" s="360">
        <v>2810.17</v>
      </c>
      <c r="E25" s="360">
        <v>2810.17</v>
      </c>
      <c r="F25" s="360">
        <f t="shared" si="10"/>
        <v>89.834886434474043</v>
      </c>
      <c r="G25" s="336">
        <f t="shared" si="11"/>
        <v>100</v>
      </c>
      <c r="H25" s="361">
        <v>0</v>
      </c>
      <c r="I25" s="361">
        <v>0</v>
      </c>
      <c r="J25" s="361">
        <v>0</v>
      </c>
      <c r="K25" s="361">
        <v>0</v>
      </c>
      <c r="L25" s="361">
        <v>0</v>
      </c>
      <c r="M25" s="361">
        <v>0</v>
      </c>
      <c r="N25" s="361">
        <v>0</v>
      </c>
      <c r="O25" s="361">
        <v>0</v>
      </c>
      <c r="P25" s="360">
        <v>1975.71</v>
      </c>
      <c r="Q25" s="360">
        <v>1975.71</v>
      </c>
      <c r="R25" s="361">
        <v>834.46</v>
      </c>
      <c r="S25" s="361">
        <v>834.46</v>
      </c>
      <c r="T25" s="361">
        <v>0</v>
      </c>
      <c r="U25" s="361">
        <v>0</v>
      </c>
      <c r="V25" s="361">
        <v>317.98</v>
      </c>
      <c r="W25" s="361">
        <v>0</v>
      </c>
      <c r="X25" s="361">
        <v>0</v>
      </c>
      <c r="Y25" s="361">
        <v>0</v>
      </c>
      <c r="Z25" s="361">
        <v>0</v>
      </c>
      <c r="AA25" s="361">
        <v>0</v>
      </c>
      <c r="AB25" s="361">
        <v>0</v>
      </c>
      <c r="AC25" s="361">
        <v>0</v>
      </c>
      <c r="AD25" s="361">
        <v>0</v>
      </c>
      <c r="AE25" s="361">
        <v>0</v>
      </c>
      <c r="AF25" s="1182"/>
    </row>
    <row r="26" spans="1:32" ht="51.75" customHeight="1" x14ac:dyDescent="0.25">
      <c r="A26" s="359" t="s">
        <v>374</v>
      </c>
      <c r="B26" s="360">
        <f>H26+J26+L26+N26+P26+R26+T26+V26+X26+Z26+AB26+AD26</f>
        <v>0</v>
      </c>
      <c r="C26" s="360">
        <f>H26</f>
        <v>0</v>
      </c>
      <c r="D26" s="360">
        <v>0</v>
      </c>
      <c r="E26" s="360">
        <v>0</v>
      </c>
      <c r="F26" s="336">
        <f t="shared" si="10"/>
        <v>0</v>
      </c>
      <c r="G26" s="336">
        <f t="shared" si="11"/>
        <v>0</v>
      </c>
      <c r="H26" s="361">
        <v>0</v>
      </c>
      <c r="I26" s="361">
        <v>0</v>
      </c>
      <c r="J26" s="361">
        <v>0</v>
      </c>
      <c r="K26" s="361">
        <v>0</v>
      </c>
      <c r="L26" s="361">
        <v>0</v>
      </c>
      <c r="M26" s="361">
        <v>0</v>
      </c>
      <c r="N26" s="361">
        <v>0</v>
      </c>
      <c r="O26" s="361">
        <v>0</v>
      </c>
      <c r="P26" s="360">
        <f>P40</f>
        <v>0</v>
      </c>
      <c r="Q26" s="360">
        <f>Q40</f>
        <v>0</v>
      </c>
      <c r="R26" s="361">
        <v>0</v>
      </c>
      <c r="S26" s="361">
        <v>0</v>
      </c>
      <c r="T26" s="361">
        <v>0</v>
      </c>
      <c r="U26" s="361">
        <v>0</v>
      </c>
      <c r="V26" s="361">
        <v>0</v>
      </c>
      <c r="W26" s="361">
        <v>0</v>
      </c>
      <c r="X26" s="361">
        <v>0</v>
      </c>
      <c r="Y26" s="361">
        <v>0</v>
      </c>
      <c r="Z26" s="361">
        <v>0</v>
      </c>
      <c r="AA26" s="361">
        <v>0</v>
      </c>
      <c r="AB26" s="361">
        <v>0</v>
      </c>
      <c r="AC26" s="361">
        <v>0</v>
      </c>
      <c r="AD26" s="361">
        <v>0</v>
      </c>
      <c r="AE26" s="361">
        <v>0</v>
      </c>
      <c r="AF26" s="1183"/>
    </row>
    <row r="27" spans="1:32" ht="51.75" customHeight="1" x14ac:dyDescent="0.25">
      <c r="A27" s="1012" t="s">
        <v>634</v>
      </c>
      <c r="B27" s="1013"/>
      <c r="C27" s="1013"/>
      <c r="D27" s="1013"/>
      <c r="E27" s="1013"/>
      <c r="F27" s="1013"/>
      <c r="G27" s="1013"/>
      <c r="H27" s="1013"/>
      <c r="I27" s="1013"/>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4"/>
      <c r="AF27" s="1015" t="s">
        <v>635</v>
      </c>
    </row>
    <row r="28" spans="1:32" ht="51.75" customHeight="1" x14ac:dyDescent="0.25">
      <c r="A28" s="1020" t="s">
        <v>31</v>
      </c>
      <c r="B28" s="894">
        <v>373000</v>
      </c>
      <c r="C28" s="360">
        <f t="shared" ref="C28:N33" si="13">H28</f>
        <v>0</v>
      </c>
      <c r="D28" s="360">
        <f t="shared" si="13"/>
        <v>0</v>
      </c>
      <c r="E28" s="360">
        <f t="shared" si="13"/>
        <v>0</v>
      </c>
      <c r="F28" s="360">
        <f t="shared" si="13"/>
        <v>0</v>
      </c>
      <c r="G28" s="360">
        <f t="shared" si="13"/>
        <v>0</v>
      </c>
      <c r="H28" s="360">
        <f t="shared" si="13"/>
        <v>0</v>
      </c>
      <c r="I28" s="360">
        <f t="shared" si="13"/>
        <v>0</v>
      </c>
      <c r="J28" s="360">
        <f t="shared" si="13"/>
        <v>0</v>
      </c>
      <c r="K28" s="360">
        <f t="shared" si="13"/>
        <v>0</v>
      </c>
      <c r="L28" s="360">
        <f t="shared" si="13"/>
        <v>0</v>
      </c>
      <c r="M28" s="360">
        <f t="shared" si="13"/>
        <v>0</v>
      </c>
      <c r="N28" s="360">
        <f t="shared" si="13"/>
        <v>0</v>
      </c>
      <c r="O28" s="360">
        <v>0</v>
      </c>
      <c r="P28" s="360">
        <f t="shared" ref="P28:S33" si="14">U28</f>
        <v>0</v>
      </c>
      <c r="Q28" s="360">
        <f t="shared" si="14"/>
        <v>0</v>
      </c>
      <c r="R28" s="360">
        <f t="shared" si="14"/>
        <v>0</v>
      </c>
      <c r="S28" s="360">
        <f t="shared" si="14"/>
        <v>0</v>
      </c>
      <c r="T28" s="360">
        <v>0</v>
      </c>
      <c r="U28" s="360">
        <f t="shared" ref="U28:X33" si="15">Z28</f>
        <v>0</v>
      </c>
      <c r="V28" s="360">
        <f t="shared" si="15"/>
        <v>0</v>
      </c>
      <c r="W28" s="360">
        <f t="shared" si="15"/>
        <v>0</v>
      </c>
      <c r="X28" s="360">
        <f t="shared" si="15"/>
        <v>0</v>
      </c>
      <c r="Y28" s="360">
        <v>0</v>
      </c>
      <c r="Z28" s="360">
        <f t="shared" ref="Z28:AC33" si="16">AE28</f>
        <v>0</v>
      </c>
      <c r="AA28" s="360">
        <f t="shared" si="16"/>
        <v>0</v>
      </c>
      <c r="AB28" s="360">
        <f t="shared" si="16"/>
        <v>0</v>
      </c>
      <c r="AC28" s="360">
        <f t="shared" si="16"/>
        <v>0</v>
      </c>
      <c r="AD28" s="894">
        <v>373000</v>
      </c>
      <c r="AE28" s="360">
        <f t="shared" ref="AE28:AE33" si="17">AJ28</f>
        <v>0</v>
      </c>
      <c r="AF28" s="1015"/>
    </row>
    <row r="29" spans="1:32" ht="51.75" customHeight="1" x14ac:dyDescent="0.25">
      <c r="A29" s="359" t="s">
        <v>169</v>
      </c>
      <c r="B29" s="360">
        <f>G29</f>
        <v>0</v>
      </c>
      <c r="C29" s="360">
        <f t="shared" si="13"/>
        <v>0</v>
      </c>
      <c r="D29" s="360">
        <f t="shared" si="13"/>
        <v>0</v>
      </c>
      <c r="E29" s="360">
        <f t="shared" si="13"/>
        <v>0</v>
      </c>
      <c r="F29" s="360">
        <f t="shared" si="13"/>
        <v>0</v>
      </c>
      <c r="G29" s="360">
        <f t="shared" si="13"/>
        <v>0</v>
      </c>
      <c r="H29" s="360">
        <f t="shared" si="13"/>
        <v>0</v>
      </c>
      <c r="I29" s="360">
        <f t="shared" si="13"/>
        <v>0</v>
      </c>
      <c r="J29" s="360">
        <f t="shared" si="13"/>
        <v>0</v>
      </c>
      <c r="K29" s="360">
        <f t="shared" si="13"/>
        <v>0</v>
      </c>
      <c r="L29" s="360">
        <f t="shared" si="13"/>
        <v>0</v>
      </c>
      <c r="M29" s="360">
        <f t="shared" si="13"/>
        <v>0</v>
      </c>
      <c r="N29" s="360">
        <f t="shared" si="13"/>
        <v>0</v>
      </c>
      <c r="O29" s="360">
        <f>T29</f>
        <v>0</v>
      </c>
      <c r="P29" s="360">
        <f t="shared" si="14"/>
        <v>0</v>
      </c>
      <c r="Q29" s="360">
        <f t="shared" si="14"/>
        <v>0</v>
      </c>
      <c r="R29" s="360">
        <f t="shared" si="14"/>
        <v>0</v>
      </c>
      <c r="S29" s="360">
        <f t="shared" si="14"/>
        <v>0</v>
      </c>
      <c r="T29" s="360">
        <f>Y29</f>
        <v>0</v>
      </c>
      <c r="U29" s="360">
        <f t="shared" si="15"/>
        <v>0</v>
      </c>
      <c r="V29" s="360">
        <f t="shared" si="15"/>
        <v>0</v>
      </c>
      <c r="W29" s="360">
        <f t="shared" si="15"/>
        <v>0</v>
      </c>
      <c r="X29" s="360">
        <f t="shared" si="15"/>
        <v>0</v>
      </c>
      <c r="Y29" s="360">
        <f>AD29</f>
        <v>0</v>
      </c>
      <c r="Z29" s="360">
        <f t="shared" si="16"/>
        <v>0</v>
      </c>
      <c r="AA29" s="360">
        <f t="shared" si="16"/>
        <v>0</v>
      </c>
      <c r="AB29" s="360">
        <f t="shared" si="16"/>
        <v>0</v>
      </c>
      <c r="AC29" s="360">
        <f t="shared" si="16"/>
        <v>0</v>
      </c>
      <c r="AD29" s="360">
        <f>AI29</f>
        <v>0</v>
      </c>
      <c r="AE29" s="360">
        <f t="shared" si="17"/>
        <v>0</v>
      </c>
      <c r="AF29" s="1021"/>
    </row>
    <row r="30" spans="1:32" ht="51.75" customHeight="1" x14ac:dyDescent="0.25">
      <c r="A30" s="359" t="s">
        <v>32</v>
      </c>
      <c r="B30" s="360">
        <f>G30</f>
        <v>0</v>
      </c>
      <c r="C30" s="360">
        <f t="shared" si="13"/>
        <v>0</v>
      </c>
      <c r="D30" s="360">
        <f t="shared" si="13"/>
        <v>0</v>
      </c>
      <c r="E30" s="360">
        <f t="shared" si="13"/>
        <v>0</v>
      </c>
      <c r="F30" s="360">
        <f t="shared" si="13"/>
        <v>0</v>
      </c>
      <c r="G30" s="360">
        <f t="shared" si="13"/>
        <v>0</v>
      </c>
      <c r="H30" s="360">
        <f t="shared" si="13"/>
        <v>0</v>
      </c>
      <c r="I30" s="360">
        <f t="shared" si="13"/>
        <v>0</v>
      </c>
      <c r="J30" s="360">
        <f t="shared" si="13"/>
        <v>0</v>
      </c>
      <c r="K30" s="360">
        <f t="shared" si="13"/>
        <v>0</v>
      </c>
      <c r="L30" s="360">
        <f t="shared" si="13"/>
        <v>0</v>
      </c>
      <c r="M30" s="360">
        <f t="shared" si="13"/>
        <v>0</v>
      </c>
      <c r="N30" s="360">
        <f t="shared" si="13"/>
        <v>0</v>
      </c>
      <c r="O30" s="360">
        <f>T30</f>
        <v>0</v>
      </c>
      <c r="P30" s="360">
        <f t="shared" si="14"/>
        <v>0</v>
      </c>
      <c r="Q30" s="360">
        <f t="shared" si="14"/>
        <v>0</v>
      </c>
      <c r="R30" s="360">
        <f t="shared" si="14"/>
        <v>0</v>
      </c>
      <c r="S30" s="360">
        <f t="shared" si="14"/>
        <v>0</v>
      </c>
      <c r="T30" s="360">
        <f>Y30</f>
        <v>0</v>
      </c>
      <c r="U30" s="360">
        <f t="shared" si="15"/>
        <v>0</v>
      </c>
      <c r="V30" s="360">
        <f t="shared" si="15"/>
        <v>0</v>
      </c>
      <c r="W30" s="360">
        <f t="shared" si="15"/>
        <v>0</v>
      </c>
      <c r="X30" s="360">
        <f t="shared" si="15"/>
        <v>0</v>
      </c>
      <c r="Y30" s="360">
        <f>AD30</f>
        <v>0</v>
      </c>
      <c r="Z30" s="360">
        <f t="shared" si="16"/>
        <v>0</v>
      </c>
      <c r="AA30" s="360">
        <f t="shared" si="16"/>
        <v>0</v>
      </c>
      <c r="AB30" s="360">
        <f t="shared" si="16"/>
        <v>0</v>
      </c>
      <c r="AC30" s="360">
        <f t="shared" si="16"/>
        <v>0</v>
      </c>
      <c r="AD30" s="360">
        <f>AI30</f>
        <v>0</v>
      </c>
      <c r="AE30" s="360">
        <f t="shared" si="17"/>
        <v>0</v>
      </c>
      <c r="AF30" s="1021"/>
    </row>
    <row r="31" spans="1:32" x14ac:dyDescent="0.25">
      <c r="A31" s="359" t="s">
        <v>33</v>
      </c>
      <c r="B31" s="360">
        <f>G31</f>
        <v>0</v>
      </c>
      <c r="C31" s="360">
        <f t="shared" si="13"/>
        <v>0</v>
      </c>
      <c r="D31" s="360">
        <f t="shared" si="13"/>
        <v>0</v>
      </c>
      <c r="E31" s="360">
        <f t="shared" si="13"/>
        <v>0</v>
      </c>
      <c r="F31" s="360">
        <f t="shared" si="13"/>
        <v>0</v>
      </c>
      <c r="G31" s="360">
        <f t="shared" si="13"/>
        <v>0</v>
      </c>
      <c r="H31" s="360">
        <f t="shared" si="13"/>
        <v>0</v>
      </c>
      <c r="I31" s="360">
        <f t="shared" si="13"/>
        <v>0</v>
      </c>
      <c r="J31" s="360">
        <f t="shared" si="13"/>
        <v>0</v>
      </c>
      <c r="K31" s="360">
        <f t="shared" si="13"/>
        <v>0</v>
      </c>
      <c r="L31" s="360">
        <f t="shared" si="13"/>
        <v>0</v>
      </c>
      <c r="M31" s="360">
        <f t="shared" si="13"/>
        <v>0</v>
      </c>
      <c r="N31" s="360">
        <f t="shared" si="13"/>
        <v>0</v>
      </c>
      <c r="O31" s="360">
        <f>T31</f>
        <v>0</v>
      </c>
      <c r="P31" s="360">
        <f t="shared" si="14"/>
        <v>0</v>
      </c>
      <c r="Q31" s="360">
        <f t="shared" si="14"/>
        <v>0</v>
      </c>
      <c r="R31" s="360">
        <f t="shared" si="14"/>
        <v>0</v>
      </c>
      <c r="S31" s="360">
        <f t="shared" si="14"/>
        <v>0</v>
      </c>
      <c r="T31" s="360">
        <f>Y31</f>
        <v>0</v>
      </c>
      <c r="U31" s="360">
        <f t="shared" si="15"/>
        <v>0</v>
      </c>
      <c r="V31" s="360">
        <f t="shared" si="15"/>
        <v>0</v>
      </c>
      <c r="W31" s="360">
        <f t="shared" si="15"/>
        <v>0</v>
      </c>
      <c r="X31" s="360">
        <f t="shared" si="15"/>
        <v>0</v>
      </c>
      <c r="Y31" s="360">
        <f>AD31</f>
        <v>0</v>
      </c>
      <c r="Z31" s="360">
        <f t="shared" si="16"/>
        <v>0</v>
      </c>
      <c r="AA31" s="360">
        <f t="shared" si="16"/>
        <v>0</v>
      </c>
      <c r="AB31" s="360">
        <f t="shared" si="16"/>
        <v>0</v>
      </c>
      <c r="AC31" s="360">
        <f t="shared" si="16"/>
        <v>0</v>
      </c>
      <c r="AD31" s="360">
        <f>AI31</f>
        <v>0</v>
      </c>
      <c r="AE31" s="360">
        <f t="shared" si="17"/>
        <v>0</v>
      </c>
    </row>
    <row r="32" spans="1:32" ht="31.5" x14ac:dyDescent="0.25">
      <c r="A32" s="362" t="s">
        <v>174</v>
      </c>
      <c r="B32" s="360">
        <f>G32</f>
        <v>0</v>
      </c>
      <c r="C32" s="360">
        <f t="shared" si="13"/>
        <v>0</v>
      </c>
      <c r="D32" s="360">
        <f t="shared" si="13"/>
        <v>0</v>
      </c>
      <c r="E32" s="360">
        <f t="shared" si="13"/>
        <v>0</v>
      </c>
      <c r="F32" s="360">
        <f t="shared" si="13"/>
        <v>0</v>
      </c>
      <c r="G32" s="360">
        <f t="shared" si="13"/>
        <v>0</v>
      </c>
      <c r="H32" s="360">
        <f t="shared" si="13"/>
        <v>0</v>
      </c>
      <c r="I32" s="360">
        <f t="shared" si="13"/>
        <v>0</v>
      </c>
      <c r="J32" s="360">
        <f t="shared" si="13"/>
        <v>0</v>
      </c>
      <c r="K32" s="360">
        <f t="shared" si="13"/>
        <v>0</v>
      </c>
      <c r="L32" s="360">
        <f t="shared" si="13"/>
        <v>0</v>
      </c>
      <c r="M32" s="360">
        <f t="shared" si="13"/>
        <v>0</v>
      </c>
      <c r="N32" s="360">
        <f t="shared" si="13"/>
        <v>0</v>
      </c>
      <c r="O32" s="360">
        <f>T32</f>
        <v>0</v>
      </c>
      <c r="P32" s="360">
        <f t="shared" si="14"/>
        <v>0</v>
      </c>
      <c r="Q32" s="360">
        <f t="shared" si="14"/>
        <v>0</v>
      </c>
      <c r="R32" s="360">
        <f t="shared" si="14"/>
        <v>0</v>
      </c>
      <c r="S32" s="360">
        <f t="shared" si="14"/>
        <v>0</v>
      </c>
      <c r="T32" s="360">
        <f>Y32</f>
        <v>0</v>
      </c>
      <c r="U32" s="360">
        <f t="shared" si="15"/>
        <v>0</v>
      </c>
      <c r="V32" s="360">
        <f t="shared" si="15"/>
        <v>0</v>
      </c>
      <c r="W32" s="360">
        <f t="shared" si="15"/>
        <v>0</v>
      </c>
      <c r="X32" s="360">
        <f t="shared" si="15"/>
        <v>0</v>
      </c>
      <c r="Y32" s="360">
        <f>AD32</f>
        <v>0</v>
      </c>
      <c r="Z32" s="360">
        <f t="shared" si="16"/>
        <v>0</v>
      </c>
      <c r="AA32" s="360">
        <f t="shared" si="16"/>
        <v>0</v>
      </c>
      <c r="AB32" s="360">
        <f t="shared" si="16"/>
        <v>0</v>
      </c>
      <c r="AC32" s="360">
        <f t="shared" si="16"/>
        <v>0</v>
      </c>
      <c r="AD32" s="360">
        <f>AI32</f>
        <v>0</v>
      </c>
      <c r="AE32" s="360">
        <f t="shared" si="17"/>
        <v>0</v>
      </c>
    </row>
    <row r="33" spans="1:32" x14ac:dyDescent="0.25">
      <c r="A33" s="1019" t="s">
        <v>170</v>
      </c>
      <c r="B33" s="1022">
        <v>373000</v>
      </c>
      <c r="C33" s="360">
        <f t="shared" si="13"/>
        <v>0</v>
      </c>
      <c r="D33" s="360">
        <f t="shared" si="13"/>
        <v>0</v>
      </c>
      <c r="E33" s="360">
        <f t="shared" si="13"/>
        <v>0</v>
      </c>
      <c r="F33" s="360">
        <f t="shared" si="13"/>
        <v>0</v>
      </c>
      <c r="G33" s="360">
        <f t="shared" si="13"/>
        <v>0</v>
      </c>
      <c r="H33" s="360">
        <f t="shared" si="13"/>
        <v>0</v>
      </c>
      <c r="I33" s="360">
        <f t="shared" si="13"/>
        <v>0</v>
      </c>
      <c r="J33" s="360">
        <f t="shared" si="13"/>
        <v>0</v>
      </c>
      <c r="K33" s="360">
        <f t="shared" si="13"/>
        <v>0</v>
      </c>
      <c r="L33" s="360">
        <f t="shared" si="13"/>
        <v>0</v>
      </c>
      <c r="M33" s="360">
        <f t="shared" si="13"/>
        <v>0</v>
      </c>
      <c r="N33" s="360">
        <f t="shared" si="13"/>
        <v>0</v>
      </c>
      <c r="O33" s="360">
        <v>0</v>
      </c>
      <c r="P33" s="360">
        <f t="shared" si="14"/>
        <v>0</v>
      </c>
      <c r="Q33" s="360">
        <f t="shared" si="14"/>
        <v>0</v>
      </c>
      <c r="R33" s="360">
        <f t="shared" si="14"/>
        <v>0</v>
      </c>
      <c r="S33" s="360">
        <f t="shared" si="14"/>
        <v>0</v>
      </c>
      <c r="T33" s="360">
        <v>0</v>
      </c>
      <c r="U33" s="360">
        <f t="shared" si="15"/>
        <v>0</v>
      </c>
      <c r="V33" s="360">
        <f t="shared" si="15"/>
        <v>0</v>
      </c>
      <c r="W33" s="360">
        <f t="shared" si="15"/>
        <v>0</v>
      </c>
      <c r="X33" s="360">
        <f t="shared" si="15"/>
        <v>0</v>
      </c>
      <c r="Y33" s="360">
        <v>0</v>
      </c>
      <c r="Z33" s="360">
        <f t="shared" si="16"/>
        <v>0</v>
      </c>
      <c r="AA33" s="360">
        <f t="shared" si="16"/>
        <v>0</v>
      </c>
      <c r="AB33" s="360">
        <f t="shared" si="16"/>
        <v>0</v>
      </c>
      <c r="AC33" s="360">
        <f t="shared" si="16"/>
        <v>0</v>
      </c>
      <c r="AD33" s="1022">
        <v>373000</v>
      </c>
      <c r="AE33" s="360">
        <f t="shared" si="17"/>
        <v>0</v>
      </c>
    </row>
    <row r="34" spans="1:32" ht="109.5" customHeight="1" x14ac:dyDescent="0.25">
      <c r="A34" s="887" t="s">
        <v>554</v>
      </c>
      <c r="B34" s="893"/>
      <c r="C34" s="893"/>
      <c r="D34" s="893"/>
      <c r="E34" s="893"/>
      <c r="F34" s="851"/>
      <c r="G34" s="851"/>
      <c r="H34" s="894"/>
      <c r="I34" s="894"/>
      <c r="J34" s="894"/>
      <c r="K34" s="894"/>
      <c r="L34" s="894"/>
      <c r="M34" s="894"/>
      <c r="N34" s="894"/>
      <c r="O34" s="894"/>
      <c r="P34" s="894"/>
      <c r="Q34" s="894"/>
      <c r="R34" s="360">
        <f>W34</f>
        <v>0</v>
      </c>
      <c r="S34" s="894"/>
      <c r="T34" s="894"/>
      <c r="U34" s="894"/>
      <c r="V34" s="894"/>
      <c r="W34" s="894"/>
      <c r="X34" s="894"/>
      <c r="Y34" s="894"/>
      <c r="Z34" s="894"/>
      <c r="AA34" s="894"/>
      <c r="AB34" s="894"/>
      <c r="AC34" s="894"/>
      <c r="AD34" s="894"/>
      <c r="AE34" s="895"/>
      <c r="AF34" s="888" t="s">
        <v>588</v>
      </c>
    </row>
    <row r="35" spans="1:32" x14ac:dyDescent="0.25">
      <c r="A35" s="363" t="s">
        <v>31</v>
      </c>
      <c r="B35" s="358">
        <v>21775.13</v>
      </c>
      <c r="C35" s="358">
        <v>9732.0400000000009</v>
      </c>
      <c r="D35" s="358">
        <f t="shared" ref="D35:D40" si="18">C35</f>
        <v>9732.0400000000009</v>
      </c>
      <c r="E35" s="358">
        <v>9120.59</v>
      </c>
      <c r="F35" s="358">
        <f t="shared" ref="F35:F40" si="19">IFERROR(E35/B35%,0)</f>
        <v>41.885352693646375</v>
      </c>
      <c r="G35" s="358">
        <f t="shared" ref="G35:G40" si="20">IFERROR(E35/C35%,0)</f>
        <v>93.717144606886109</v>
      </c>
      <c r="H35" s="358">
        <f t="shared" ref="H35:V35" si="21">H36+H37+H38+H40</f>
        <v>0</v>
      </c>
      <c r="I35" s="358">
        <f t="shared" si="21"/>
        <v>0</v>
      </c>
      <c r="J35" s="358">
        <f t="shared" si="21"/>
        <v>0</v>
      </c>
      <c r="K35" s="358">
        <f t="shared" si="21"/>
        <v>0</v>
      </c>
      <c r="L35" s="358">
        <f t="shared" si="21"/>
        <v>0</v>
      </c>
      <c r="M35" s="358">
        <f t="shared" si="21"/>
        <v>0</v>
      </c>
      <c r="N35" s="358">
        <f t="shared" si="21"/>
        <v>0</v>
      </c>
      <c r="O35" s="358">
        <f t="shared" si="21"/>
        <v>0</v>
      </c>
      <c r="P35" s="358">
        <f t="shared" si="21"/>
        <v>0</v>
      </c>
      <c r="Q35" s="358">
        <f t="shared" si="21"/>
        <v>0</v>
      </c>
      <c r="R35" s="358">
        <v>9732.0400000000009</v>
      </c>
      <c r="S35" s="358">
        <v>9120.59</v>
      </c>
      <c r="T35" s="358">
        <f t="shared" si="21"/>
        <v>0</v>
      </c>
      <c r="U35" s="358">
        <v>278.97000000000003</v>
      </c>
      <c r="V35" s="358">
        <f t="shared" si="21"/>
        <v>0</v>
      </c>
      <c r="W35" s="358">
        <f t="shared" ref="W35:AE35" si="22">W36+W37+W38+W40</f>
        <v>0</v>
      </c>
      <c r="X35" s="358">
        <f t="shared" si="22"/>
        <v>0</v>
      </c>
      <c r="Y35" s="358">
        <f t="shared" si="22"/>
        <v>0</v>
      </c>
      <c r="Z35" s="358">
        <v>12043.09</v>
      </c>
      <c r="AA35" s="358">
        <f t="shared" si="22"/>
        <v>0</v>
      </c>
      <c r="AB35" s="358">
        <f t="shared" si="22"/>
        <v>0</v>
      </c>
      <c r="AC35" s="358">
        <f t="shared" si="22"/>
        <v>0</v>
      </c>
      <c r="AD35" s="358">
        <f t="shared" si="22"/>
        <v>0</v>
      </c>
      <c r="AE35" s="358">
        <f t="shared" si="22"/>
        <v>0</v>
      </c>
      <c r="AF35" s="889"/>
    </row>
    <row r="36" spans="1:32" x14ac:dyDescent="0.25">
      <c r="A36" s="359" t="s">
        <v>169</v>
      </c>
      <c r="B36" s="581">
        <f>H36+J36+L36+N36+P36+R36+T36+V36+X36+Z36+AB36+AD36</f>
        <v>0</v>
      </c>
      <c r="C36" s="360">
        <f>H36+J36+L36+N36+P36</f>
        <v>0</v>
      </c>
      <c r="D36" s="358">
        <f t="shared" si="18"/>
        <v>0</v>
      </c>
      <c r="E36" s="360">
        <v>0</v>
      </c>
      <c r="F36" s="336">
        <f t="shared" si="19"/>
        <v>0</v>
      </c>
      <c r="G36" s="336">
        <f t="shared" si="20"/>
        <v>0</v>
      </c>
      <c r="H36" s="361">
        <v>0</v>
      </c>
      <c r="I36" s="361">
        <v>0</v>
      </c>
      <c r="J36" s="361">
        <v>0</v>
      </c>
      <c r="K36" s="361">
        <v>0</v>
      </c>
      <c r="L36" s="361">
        <v>0</v>
      </c>
      <c r="M36" s="361">
        <v>0</v>
      </c>
      <c r="N36" s="361">
        <v>0</v>
      </c>
      <c r="O36" s="361">
        <v>0</v>
      </c>
      <c r="P36" s="361">
        <v>0</v>
      </c>
      <c r="Q36" s="361">
        <v>0</v>
      </c>
      <c r="R36" s="361">
        <v>0</v>
      </c>
      <c r="S36" s="361">
        <v>0</v>
      </c>
      <c r="T36" s="361">
        <v>0</v>
      </c>
      <c r="U36" s="361">
        <v>0</v>
      </c>
      <c r="V36" s="361"/>
      <c r="W36" s="361">
        <v>0</v>
      </c>
      <c r="X36" s="361">
        <v>0</v>
      </c>
      <c r="Y36" s="361">
        <v>0</v>
      </c>
      <c r="Z36" s="361">
        <v>0</v>
      </c>
      <c r="AA36" s="361">
        <v>0</v>
      </c>
      <c r="AB36" s="361">
        <v>0</v>
      </c>
      <c r="AC36" s="361">
        <v>0</v>
      </c>
      <c r="AD36" s="361">
        <v>0</v>
      </c>
      <c r="AE36" s="361">
        <v>0</v>
      </c>
      <c r="AF36" s="889"/>
    </row>
    <row r="37" spans="1:32" x14ac:dyDescent="0.25">
      <c r="A37" s="359" t="s">
        <v>32</v>
      </c>
      <c r="B37" s="581">
        <v>10000</v>
      </c>
      <c r="C37" s="360">
        <v>4799.99</v>
      </c>
      <c r="D37" s="358">
        <f t="shared" si="18"/>
        <v>4799.99</v>
      </c>
      <c r="E37" s="360">
        <v>4188.54</v>
      </c>
      <c r="F37" s="336">
        <f t="shared" si="19"/>
        <v>41.885399999999997</v>
      </c>
      <c r="G37" s="336">
        <f t="shared" si="20"/>
        <v>87.261431794649582</v>
      </c>
      <c r="H37" s="361">
        <v>0</v>
      </c>
      <c r="I37" s="361">
        <v>0</v>
      </c>
      <c r="J37" s="361">
        <v>0</v>
      </c>
      <c r="K37" s="361">
        <v>0</v>
      </c>
      <c r="L37" s="361">
        <v>0</v>
      </c>
      <c r="M37" s="361">
        <v>0</v>
      </c>
      <c r="N37" s="361">
        <v>0</v>
      </c>
      <c r="O37" s="361">
        <v>0</v>
      </c>
      <c r="P37" s="361">
        <v>0</v>
      </c>
      <c r="Q37" s="361">
        <v>0</v>
      </c>
      <c r="R37" s="361">
        <v>4799.99</v>
      </c>
      <c r="S37" s="361">
        <v>4188.54</v>
      </c>
      <c r="T37" s="361">
        <v>0</v>
      </c>
      <c r="U37" s="361">
        <v>0</v>
      </c>
      <c r="V37" s="361"/>
      <c r="W37" s="361">
        <v>0</v>
      </c>
      <c r="X37" s="361">
        <v>0</v>
      </c>
      <c r="Y37" s="361">
        <v>0</v>
      </c>
      <c r="Z37" s="361">
        <v>5200.01</v>
      </c>
      <c r="AA37" s="361">
        <v>0</v>
      </c>
      <c r="AB37" s="361">
        <v>0</v>
      </c>
      <c r="AC37" s="361">
        <v>0</v>
      </c>
      <c r="AD37" s="361">
        <v>0</v>
      </c>
      <c r="AE37" s="361">
        <v>0</v>
      </c>
    </row>
    <row r="38" spans="1:32" x14ac:dyDescent="0.25">
      <c r="A38" s="359" t="s">
        <v>33</v>
      </c>
      <c r="B38" s="581">
        <v>11775.13</v>
      </c>
      <c r="C38" s="360">
        <v>4932.05</v>
      </c>
      <c r="D38" s="358">
        <f t="shared" si="18"/>
        <v>4932.05</v>
      </c>
      <c r="E38" s="360">
        <v>4932.05</v>
      </c>
      <c r="F38" s="360">
        <f t="shared" si="19"/>
        <v>41.885312518842689</v>
      </c>
      <c r="G38" s="336">
        <f t="shared" si="20"/>
        <v>100</v>
      </c>
      <c r="H38" s="361">
        <v>0</v>
      </c>
      <c r="I38" s="361">
        <v>0</v>
      </c>
      <c r="J38" s="361">
        <v>0</v>
      </c>
      <c r="K38" s="361">
        <v>0</v>
      </c>
      <c r="L38" s="361"/>
      <c r="M38" s="361">
        <v>0</v>
      </c>
      <c r="N38" s="361">
        <v>0</v>
      </c>
      <c r="O38" s="361">
        <v>0</v>
      </c>
      <c r="P38" s="361">
        <v>0</v>
      </c>
      <c r="Q38" s="361">
        <v>0</v>
      </c>
      <c r="R38" s="361">
        <v>4932.05</v>
      </c>
      <c r="S38" s="361">
        <v>4932.05</v>
      </c>
      <c r="T38" s="361">
        <v>0</v>
      </c>
      <c r="U38" s="361">
        <v>0</v>
      </c>
      <c r="V38" s="361"/>
      <c r="W38" s="361">
        <v>0</v>
      </c>
      <c r="X38" s="361">
        <v>0</v>
      </c>
      <c r="Y38" s="361">
        <v>0</v>
      </c>
      <c r="Z38" s="361">
        <v>6843.08</v>
      </c>
      <c r="AA38" s="361">
        <v>0</v>
      </c>
      <c r="AB38" s="361">
        <v>0</v>
      </c>
      <c r="AC38" s="361">
        <v>0</v>
      </c>
      <c r="AD38" s="361">
        <v>0</v>
      </c>
      <c r="AE38" s="361">
        <v>0</v>
      </c>
      <c r="AF38" s="889"/>
    </row>
    <row r="39" spans="1:32" ht="31.5" x14ac:dyDescent="0.25">
      <c r="A39" s="362" t="s">
        <v>174</v>
      </c>
      <c r="B39" s="581">
        <v>1500</v>
      </c>
      <c r="C39" s="360">
        <v>1500</v>
      </c>
      <c r="D39" s="358">
        <f t="shared" si="18"/>
        <v>1500</v>
      </c>
      <c r="E39" s="360">
        <v>1500</v>
      </c>
      <c r="F39" s="360">
        <f t="shared" si="19"/>
        <v>100</v>
      </c>
      <c r="G39" s="336">
        <f t="shared" si="20"/>
        <v>100</v>
      </c>
      <c r="H39" s="361">
        <v>0</v>
      </c>
      <c r="I39" s="361">
        <v>0</v>
      </c>
      <c r="J39" s="361">
        <v>0</v>
      </c>
      <c r="K39" s="361">
        <v>0</v>
      </c>
      <c r="L39" s="361">
        <v>0</v>
      </c>
      <c r="M39" s="361">
        <v>0</v>
      </c>
      <c r="N39" s="361">
        <v>0</v>
      </c>
      <c r="O39" s="361">
        <v>0</v>
      </c>
      <c r="P39" s="361">
        <v>0</v>
      </c>
      <c r="Q39" s="361">
        <v>0</v>
      </c>
      <c r="R39" s="361">
        <v>1500</v>
      </c>
      <c r="S39" s="361">
        <v>1500</v>
      </c>
      <c r="T39" s="361">
        <v>0</v>
      </c>
      <c r="U39" s="361">
        <v>0</v>
      </c>
      <c r="V39" s="361"/>
      <c r="W39" s="361">
        <v>0</v>
      </c>
      <c r="X39" s="361">
        <v>0</v>
      </c>
      <c r="Y39" s="361">
        <v>0</v>
      </c>
      <c r="Z39" s="361">
        <v>0</v>
      </c>
      <c r="AA39" s="361">
        <v>0</v>
      </c>
      <c r="AB39" s="361">
        <v>0</v>
      </c>
      <c r="AC39" s="361">
        <v>0</v>
      </c>
      <c r="AD39" s="361">
        <v>0</v>
      </c>
      <c r="AE39" s="361">
        <v>0</v>
      </c>
      <c r="AF39" s="889"/>
    </row>
    <row r="40" spans="1:32" x14ac:dyDescent="0.25">
      <c r="A40" s="359" t="s">
        <v>374</v>
      </c>
      <c r="B40" s="360">
        <f>H40+J40+L40+N40+P40+R40+T40+V40+X40+Z40+AB40+AD40</f>
        <v>0</v>
      </c>
      <c r="C40" s="360">
        <f>H40+J40+L40+N40+P40</f>
        <v>0</v>
      </c>
      <c r="D40" s="358">
        <f t="shared" si="18"/>
        <v>0</v>
      </c>
      <c r="E40" s="360">
        <v>0</v>
      </c>
      <c r="F40" s="336">
        <f t="shared" si="19"/>
        <v>0</v>
      </c>
      <c r="G40" s="336">
        <f t="shared" si="20"/>
        <v>0</v>
      </c>
      <c r="H40" s="361">
        <v>0</v>
      </c>
      <c r="I40" s="361">
        <v>0</v>
      </c>
      <c r="J40" s="361">
        <v>0</v>
      </c>
      <c r="K40" s="361">
        <v>0</v>
      </c>
      <c r="L40" s="361">
        <v>0</v>
      </c>
      <c r="M40" s="361">
        <v>0</v>
      </c>
      <c r="N40" s="361">
        <v>0</v>
      </c>
      <c r="O40" s="361">
        <v>0</v>
      </c>
      <c r="P40" s="361">
        <v>0</v>
      </c>
      <c r="Q40" s="361">
        <v>0</v>
      </c>
      <c r="R40" s="361">
        <v>0</v>
      </c>
      <c r="S40" s="361">
        <v>0</v>
      </c>
      <c r="T40" s="361">
        <v>0</v>
      </c>
      <c r="U40" s="361">
        <v>0</v>
      </c>
      <c r="V40" s="361">
        <v>0</v>
      </c>
      <c r="W40" s="361">
        <v>0</v>
      </c>
      <c r="X40" s="361">
        <v>0</v>
      </c>
      <c r="Y40" s="361">
        <v>0</v>
      </c>
      <c r="Z40" s="361">
        <v>0</v>
      </c>
      <c r="AA40" s="361">
        <v>0</v>
      </c>
      <c r="AB40" s="361">
        <v>0</v>
      </c>
      <c r="AC40" s="361">
        <v>0</v>
      </c>
      <c r="AD40" s="361">
        <v>0</v>
      </c>
      <c r="AE40" s="361">
        <v>0</v>
      </c>
      <c r="AF40" s="889"/>
    </row>
    <row r="41" spans="1:32" x14ac:dyDescent="0.25">
      <c r="A41" s="1184" t="s">
        <v>424</v>
      </c>
      <c r="B41" s="1185"/>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5"/>
      <c r="Y41" s="1185"/>
      <c r="Z41" s="1185"/>
      <c r="AA41" s="1185"/>
      <c r="AB41" s="1185"/>
      <c r="AC41" s="1185"/>
      <c r="AD41" s="1185"/>
      <c r="AE41" s="1186"/>
      <c r="AF41" s="364"/>
    </row>
    <row r="42" spans="1:32" ht="82.5" customHeight="1" x14ac:dyDescent="0.25">
      <c r="A42" s="1178" t="s">
        <v>425</v>
      </c>
      <c r="B42" s="1179"/>
      <c r="C42" s="1179"/>
      <c r="D42" s="1179"/>
      <c r="E42" s="1179"/>
      <c r="F42" s="1179"/>
      <c r="G42" s="1179"/>
      <c r="H42" s="1179"/>
      <c r="I42" s="1179"/>
      <c r="J42" s="1179"/>
      <c r="K42" s="1179"/>
      <c r="L42" s="1179"/>
      <c r="M42" s="1179"/>
      <c r="N42" s="1179"/>
      <c r="O42" s="1179"/>
      <c r="P42" s="1179"/>
      <c r="Q42" s="1179"/>
      <c r="R42" s="1179"/>
      <c r="S42" s="1179"/>
      <c r="T42" s="1179"/>
      <c r="U42" s="1179"/>
      <c r="V42" s="1179"/>
      <c r="W42" s="1179"/>
      <c r="X42" s="1179"/>
      <c r="Y42" s="1179"/>
      <c r="Z42" s="1179"/>
      <c r="AA42" s="1179"/>
      <c r="AB42" s="1179"/>
      <c r="AC42" s="1179"/>
      <c r="AD42" s="1179"/>
      <c r="AE42" s="1180"/>
      <c r="AF42" s="1187" t="s">
        <v>560</v>
      </c>
    </row>
    <row r="43" spans="1:32" x14ac:dyDescent="0.25">
      <c r="A43" s="357" t="s">
        <v>31</v>
      </c>
      <c r="B43" s="365">
        <f>B44+B45+B46+B48</f>
        <v>16000</v>
      </c>
      <c r="C43" s="365">
        <f>C44+C45+C46+C48</f>
        <v>0</v>
      </c>
      <c r="D43" s="365">
        <f>D44+D45+D46+D48</f>
        <v>0</v>
      </c>
      <c r="E43" s="365">
        <f>E44+E45+E46+E48</f>
        <v>0</v>
      </c>
      <c r="F43" s="358">
        <f t="shared" ref="F43:F48" si="23">IFERROR(E43/B43%,0)</f>
        <v>0</v>
      </c>
      <c r="G43" s="358">
        <f t="shared" ref="G43:G48" si="24">IFERROR(E43/C43%,0)</f>
        <v>0</v>
      </c>
      <c r="H43" s="365">
        <f t="shared" ref="H43:AE43" si="25">H44+H45+H46+H48</f>
        <v>0</v>
      </c>
      <c r="I43" s="365">
        <f t="shared" si="25"/>
        <v>0</v>
      </c>
      <c r="J43" s="365">
        <f t="shared" si="25"/>
        <v>0</v>
      </c>
      <c r="K43" s="365">
        <f t="shared" si="25"/>
        <v>0</v>
      </c>
      <c r="L43" s="365">
        <f t="shared" si="25"/>
        <v>0</v>
      </c>
      <c r="M43" s="365">
        <f t="shared" si="25"/>
        <v>0</v>
      </c>
      <c r="N43" s="365">
        <f t="shared" si="25"/>
        <v>0</v>
      </c>
      <c r="O43" s="365">
        <f t="shared" si="25"/>
        <v>0</v>
      </c>
      <c r="P43" s="365">
        <f t="shared" si="25"/>
        <v>0</v>
      </c>
      <c r="Q43" s="365">
        <f t="shared" si="25"/>
        <v>0</v>
      </c>
      <c r="R43" s="365">
        <f t="shared" si="25"/>
        <v>0</v>
      </c>
      <c r="S43" s="365">
        <f t="shared" si="25"/>
        <v>0</v>
      </c>
      <c r="T43" s="365">
        <f t="shared" si="25"/>
        <v>0</v>
      </c>
      <c r="U43" s="365">
        <f t="shared" si="25"/>
        <v>0</v>
      </c>
      <c r="V43" s="365">
        <f t="shared" si="25"/>
        <v>0</v>
      </c>
      <c r="W43" s="365">
        <f t="shared" si="25"/>
        <v>0</v>
      </c>
      <c r="X43" s="365">
        <f t="shared" si="25"/>
        <v>0</v>
      </c>
      <c r="Y43" s="365">
        <f t="shared" si="25"/>
        <v>0</v>
      </c>
      <c r="Z43" s="365">
        <f t="shared" si="25"/>
        <v>16000</v>
      </c>
      <c r="AA43" s="365">
        <f t="shared" si="25"/>
        <v>0</v>
      </c>
      <c r="AB43" s="365">
        <f t="shared" si="25"/>
        <v>0</v>
      </c>
      <c r="AC43" s="365">
        <f t="shared" si="25"/>
        <v>0</v>
      </c>
      <c r="AD43" s="365">
        <f t="shared" si="25"/>
        <v>0</v>
      </c>
      <c r="AE43" s="365">
        <f t="shared" si="25"/>
        <v>0</v>
      </c>
      <c r="AF43" s="1188"/>
    </row>
    <row r="44" spans="1:32" x14ac:dyDescent="0.25">
      <c r="A44" s="359" t="s">
        <v>169</v>
      </c>
      <c r="B44" s="360">
        <f>H44+J44+L44+N44+P44+R44+T44+V44+X44+Z44+AB44+AD44</f>
        <v>0</v>
      </c>
      <c r="C44" s="360">
        <f>H44+J44</f>
        <v>0</v>
      </c>
      <c r="D44" s="360">
        <f>E44</f>
        <v>0</v>
      </c>
      <c r="E44" s="360">
        <f>I44+K44+M44+O44+Q44+S44+U44+W44+Y44+AA44+AC44+AE44</f>
        <v>0</v>
      </c>
      <c r="F44" s="336">
        <f t="shared" si="23"/>
        <v>0</v>
      </c>
      <c r="G44" s="336">
        <f t="shared" si="24"/>
        <v>0</v>
      </c>
      <c r="H44" s="361">
        <v>0</v>
      </c>
      <c r="I44" s="361">
        <v>0</v>
      </c>
      <c r="J44" s="361">
        <v>0</v>
      </c>
      <c r="K44" s="361">
        <v>0</v>
      </c>
      <c r="L44" s="361">
        <v>0</v>
      </c>
      <c r="M44" s="361">
        <v>0</v>
      </c>
      <c r="N44" s="361">
        <v>0</v>
      </c>
      <c r="O44" s="361">
        <v>0</v>
      </c>
      <c r="P44" s="361">
        <v>0</v>
      </c>
      <c r="Q44" s="361">
        <v>0</v>
      </c>
      <c r="R44" s="361">
        <v>0</v>
      </c>
      <c r="S44" s="361">
        <v>0</v>
      </c>
      <c r="T44" s="361">
        <v>0</v>
      </c>
      <c r="U44" s="361">
        <v>0</v>
      </c>
      <c r="V44" s="361">
        <v>0</v>
      </c>
      <c r="W44" s="361">
        <v>0</v>
      </c>
      <c r="X44" s="361">
        <v>0</v>
      </c>
      <c r="Y44" s="361">
        <v>0</v>
      </c>
      <c r="Z44" s="361">
        <v>0</v>
      </c>
      <c r="AA44" s="361">
        <v>0</v>
      </c>
      <c r="AB44" s="361">
        <v>0</v>
      </c>
      <c r="AC44" s="361">
        <v>0</v>
      </c>
      <c r="AD44" s="361">
        <v>0</v>
      </c>
      <c r="AE44" s="361">
        <v>0</v>
      </c>
      <c r="AF44" s="1188"/>
    </row>
    <row r="45" spans="1:32" x14ac:dyDescent="0.25">
      <c r="A45" s="359" t="s">
        <v>32</v>
      </c>
      <c r="B45" s="360">
        <f>H45+J45+L45+N45+P45+R45+T45+V45+X45+Z45+AB45+AD45</f>
        <v>0</v>
      </c>
      <c r="C45" s="360">
        <f>H45+J45</f>
        <v>0</v>
      </c>
      <c r="D45" s="360">
        <f>E45</f>
        <v>0</v>
      </c>
      <c r="E45" s="360">
        <f>I45+K45+M45+O45+Q45+S45+U45+W45+Y45+AA45+AC45+AE45</f>
        <v>0</v>
      </c>
      <c r="F45" s="336">
        <f t="shared" si="23"/>
        <v>0</v>
      </c>
      <c r="G45" s="336">
        <f t="shared" si="24"/>
        <v>0</v>
      </c>
      <c r="H45" s="361">
        <v>0</v>
      </c>
      <c r="I45" s="361">
        <v>0</v>
      </c>
      <c r="J45" s="361">
        <v>0</v>
      </c>
      <c r="K45" s="361">
        <v>0</v>
      </c>
      <c r="L45" s="361">
        <v>0</v>
      </c>
      <c r="M45" s="361">
        <v>0</v>
      </c>
      <c r="N45" s="361">
        <v>0</v>
      </c>
      <c r="O45" s="361">
        <v>0</v>
      </c>
      <c r="P45" s="361">
        <v>0</v>
      </c>
      <c r="Q45" s="361">
        <v>0</v>
      </c>
      <c r="R45" s="361">
        <v>0</v>
      </c>
      <c r="S45" s="361">
        <v>0</v>
      </c>
      <c r="T45" s="361">
        <v>0</v>
      </c>
      <c r="U45" s="361">
        <v>0</v>
      </c>
      <c r="V45" s="361">
        <v>0</v>
      </c>
      <c r="W45" s="361">
        <v>0</v>
      </c>
      <c r="X45" s="361">
        <v>0</v>
      </c>
      <c r="Y45" s="361">
        <v>0</v>
      </c>
      <c r="Z45" s="361">
        <v>0</v>
      </c>
      <c r="AA45" s="361">
        <v>0</v>
      </c>
      <c r="AB45" s="361">
        <v>0</v>
      </c>
      <c r="AC45" s="361">
        <v>0</v>
      </c>
      <c r="AD45" s="361">
        <v>0</v>
      </c>
      <c r="AE45" s="361">
        <v>0</v>
      </c>
      <c r="AF45" s="1188"/>
    </row>
    <row r="46" spans="1:32" x14ac:dyDescent="0.25">
      <c r="A46" s="359" t="s">
        <v>33</v>
      </c>
      <c r="B46" s="360">
        <f>H46+J46+L46+N46+P46+R46+T46+V46+X46+Z46+AB46+AD46</f>
        <v>16000</v>
      </c>
      <c r="C46" s="360">
        <f>H46+J46</f>
        <v>0</v>
      </c>
      <c r="D46" s="360">
        <f>E46</f>
        <v>0</v>
      </c>
      <c r="E46" s="360">
        <f>I46+K46+M46+O46+Q46+S46+U46+W46+Y46+AA46+AC46+AE46</f>
        <v>0</v>
      </c>
      <c r="F46" s="336">
        <f t="shared" si="23"/>
        <v>0</v>
      </c>
      <c r="G46" s="336">
        <f t="shared" si="24"/>
        <v>0</v>
      </c>
      <c r="H46" s="361">
        <v>0</v>
      </c>
      <c r="I46" s="361">
        <v>0</v>
      </c>
      <c r="J46" s="361">
        <v>0</v>
      </c>
      <c r="K46" s="361">
        <v>0</v>
      </c>
      <c r="L46" s="361">
        <v>0</v>
      </c>
      <c r="M46" s="361">
        <v>0</v>
      </c>
      <c r="N46" s="361">
        <v>0</v>
      </c>
      <c r="O46" s="361">
        <v>0</v>
      </c>
      <c r="P46" s="361">
        <v>0</v>
      </c>
      <c r="Q46" s="361">
        <v>0</v>
      </c>
      <c r="R46" s="361">
        <v>0</v>
      </c>
      <c r="S46" s="361">
        <v>0</v>
      </c>
      <c r="T46" s="361">
        <v>0</v>
      </c>
      <c r="U46" s="361">
        <v>0</v>
      </c>
      <c r="V46" s="361">
        <v>0</v>
      </c>
      <c r="W46" s="361">
        <v>0</v>
      </c>
      <c r="X46" s="361">
        <v>0</v>
      </c>
      <c r="Y46" s="361">
        <v>0</v>
      </c>
      <c r="Z46" s="361">
        <v>16000</v>
      </c>
      <c r="AA46" s="361">
        <v>0</v>
      </c>
      <c r="AB46" s="361">
        <v>0</v>
      </c>
      <c r="AC46" s="361">
        <v>0</v>
      </c>
      <c r="AD46" s="361">
        <v>0</v>
      </c>
      <c r="AE46" s="361">
        <v>0</v>
      </c>
      <c r="AF46" s="1188"/>
    </row>
    <row r="47" spans="1:32" ht="31.5" x14ac:dyDescent="0.25">
      <c r="A47" s="362" t="s">
        <v>174</v>
      </c>
      <c r="B47" s="360">
        <f>H47+J47+L47+N47+P47+R47+T47+V47+X47+Z47+AB47+AD47</f>
        <v>0</v>
      </c>
      <c r="C47" s="360">
        <f>H47+J47</f>
        <v>0</v>
      </c>
      <c r="D47" s="360">
        <f>E47</f>
        <v>0</v>
      </c>
      <c r="E47" s="360">
        <f>I47+K47+M47+O47+Q47+S47+U47+W47+Y47+AA47+AC47+AE47</f>
        <v>0</v>
      </c>
      <c r="F47" s="336">
        <f t="shared" si="23"/>
        <v>0</v>
      </c>
      <c r="G47" s="336">
        <f t="shared" si="24"/>
        <v>0</v>
      </c>
      <c r="H47" s="361">
        <v>0</v>
      </c>
      <c r="I47" s="361">
        <v>0</v>
      </c>
      <c r="J47" s="361">
        <v>0</v>
      </c>
      <c r="K47" s="361">
        <v>0</v>
      </c>
      <c r="L47" s="361">
        <v>0</v>
      </c>
      <c r="M47" s="361">
        <v>0</v>
      </c>
      <c r="N47" s="361">
        <v>0</v>
      </c>
      <c r="O47" s="361">
        <v>0</v>
      </c>
      <c r="P47" s="361">
        <v>0</v>
      </c>
      <c r="Q47" s="361">
        <v>0</v>
      </c>
      <c r="R47" s="361">
        <v>0</v>
      </c>
      <c r="S47" s="361">
        <v>0</v>
      </c>
      <c r="T47" s="361">
        <v>0</v>
      </c>
      <c r="U47" s="361">
        <v>0</v>
      </c>
      <c r="V47" s="361">
        <v>0</v>
      </c>
      <c r="W47" s="361">
        <v>0</v>
      </c>
      <c r="X47" s="361">
        <v>0</v>
      </c>
      <c r="Y47" s="361">
        <v>0</v>
      </c>
      <c r="Z47" s="361">
        <v>0</v>
      </c>
      <c r="AA47" s="361">
        <v>0</v>
      </c>
      <c r="AB47" s="361">
        <v>0</v>
      </c>
      <c r="AC47" s="361">
        <v>0</v>
      </c>
      <c r="AD47" s="361">
        <v>0</v>
      </c>
      <c r="AE47" s="361">
        <v>0</v>
      </c>
      <c r="AF47" s="1188"/>
    </row>
    <row r="48" spans="1:32" x14ac:dyDescent="0.25">
      <c r="A48" s="359" t="s">
        <v>374</v>
      </c>
      <c r="B48" s="360">
        <f>H48+J48+L48+N48+P48+R48+T48+V48+X48+Z48+AB48+AD48</f>
        <v>0</v>
      </c>
      <c r="C48" s="360">
        <f>H48+J48</f>
        <v>0</v>
      </c>
      <c r="D48" s="360">
        <f>E48</f>
        <v>0</v>
      </c>
      <c r="E48" s="360">
        <f>I48+K48+M48+O48+Q48+S48+U48+W48+Y48+AA48+AC48+AE48</f>
        <v>0</v>
      </c>
      <c r="F48" s="336">
        <f t="shared" si="23"/>
        <v>0</v>
      </c>
      <c r="G48" s="336">
        <f t="shared" si="24"/>
        <v>0</v>
      </c>
      <c r="H48" s="361">
        <v>0</v>
      </c>
      <c r="I48" s="361">
        <v>0</v>
      </c>
      <c r="J48" s="361">
        <v>0</v>
      </c>
      <c r="K48" s="361">
        <v>0</v>
      </c>
      <c r="L48" s="361">
        <v>0</v>
      </c>
      <c r="M48" s="361">
        <v>0</v>
      </c>
      <c r="N48" s="361">
        <v>0</v>
      </c>
      <c r="O48" s="361">
        <v>0</v>
      </c>
      <c r="P48" s="361">
        <v>0</v>
      </c>
      <c r="Q48" s="361">
        <v>0</v>
      </c>
      <c r="R48" s="361">
        <v>0</v>
      </c>
      <c r="S48" s="361">
        <v>0</v>
      </c>
      <c r="T48" s="361">
        <v>0</v>
      </c>
      <c r="U48" s="361">
        <v>0</v>
      </c>
      <c r="V48" s="361">
        <v>0</v>
      </c>
      <c r="W48" s="361">
        <v>0</v>
      </c>
      <c r="X48" s="361">
        <v>0</v>
      </c>
      <c r="Y48" s="361">
        <v>0</v>
      </c>
      <c r="Z48" s="361">
        <v>0</v>
      </c>
      <c r="AA48" s="361">
        <v>0</v>
      </c>
      <c r="AB48" s="361">
        <v>0</v>
      </c>
      <c r="AC48" s="361">
        <v>0</v>
      </c>
      <c r="AD48" s="361">
        <v>0</v>
      </c>
      <c r="AE48" s="361">
        <v>0</v>
      </c>
      <c r="AF48" s="1189"/>
    </row>
    <row r="49" spans="1:32" ht="39.75" customHeight="1" x14ac:dyDescent="0.25">
      <c r="A49" s="1190" t="s">
        <v>426</v>
      </c>
      <c r="B49" s="1191"/>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2"/>
      <c r="AF49" s="366"/>
    </row>
    <row r="50" spans="1:32" s="579" customFormat="1" x14ac:dyDescent="0.25">
      <c r="A50" s="575" t="s">
        <v>31</v>
      </c>
      <c r="B50" s="576">
        <v>47346.3</v>
      </c>
      <c r="C50" s="576">
        <v>1752.01</v>
      </c>
      <c r="D50" s="576">
        <v>1752.01</v>
      </c>
      <c r="E50" s="576">
        <v>1751.92</v>
      </c>
      <c r="F50" s="577">
        <f>IFERROR(E50/B50%,0)</f>
        <v>3.7002257832185408</v>
      </c>
      <c r="G50" s="577">
        <f>IFERROR(E50/C50%,0)</f>
        <v>99.994863043019166</v>
      </c>
      <c r="H50" s="576">
        <f t="shared" ref="H50:O50" si="26">H51+H52+H53+H56</f>
        <v>232</v>
      </c>
      <c r="I50" s="576">
        <f t="shared" si="26"/>
        <v>232</v>
      </c>
      <c r="J50" s="576">
        <f t="shared" si="26"/>
        <v>0</v>
      </c>
      <c r="K50" s="576">
        <f t="shared" si="26"/>
        <v>0</v>
      </c>
      <c r="L50" s="576">
        <f t="shared" si="26"/>
        <v>594.1</v>
      </c>
      <c r="M50" s="576">
        <f t="shared" si="26"/>
        <v>594.1</v>
      </c>
      <c r="N50" s="576">
        <f t="shared" si="26"/>
        <v>0</v>
      </c>
      <c r="O50" s="576">
        <f t="shared" si="26"/>
        <v>0</v>
      </c>
      <c r="P50" s="576">
        <v>646.94000000000005</v>
      </c>
      <c r="Q50" s="576">
        <v>49.84</v>
      </c>
      <c r="R50" s="576">
        <f>R51+R52+R53+R56</f>
        <v>0</v>
      </c>
      <c r="S50" s="576">
        <f>S51+S52+S53+S56</f>
        <v>597.01</v>
      </c>
      <c r="T50" s="576">
        <v>278.97000000000003</v>
      </c>
      <c r="U50" s="576">
        <v>278.97000000000003</v>
      </c>
      <c r="V50" s="576">
        <v>8.76</v>
      </c>
      <c r="W50" s="576">
        <f>W51+W52+W53+W56</f>
        <v>0</v>
      </c>
      <c r="X50" s="576">
        <f>X51+X52+X53+X56</f>
        <v>0</v>
      </c>
      <c r="Y50" s="576">
        <f>Y51+Y52+Y53+Y56</f>
        <v>0</v>
      </c>
      <c r="Z50" s="576">
        <v>28535.599999999999</v>
      </c>
      <c r="AA50" s="576">
        <f>AA51+AA52+AA53+AA56</f>
        <v>0</v>
      </c>
      <c r="AB50" s="576">
        <v>16129.8</v>
      </c>
      <c r="AC50" s="576">
        <f>AC51+AC52+AC53+AC56</f>
        <v>0</v>
      </c>
      <c r="AD50" s="576">
        <v>920.13</v>
      </c>
      <c r="AE50" s="576">
        <f>AE51+AE52+AE53+AE56</f>
        <v>0</v>
      </c>
      <c r="AF50" s="578"/>
    </row>
    <row r="51" spans="1:32" s="579" customFormat="1" x14ac:dyDescent="0.25">
      <c r="A51" s="580" t="s">
        <v>169</v>
      </c>
      <c r="B51" s="581">
        <f>H51+J51+L51+N51+P51+R51+T51+V51+X51+Z51+AB51+AD51</f>
        <v>0</v>
      </c>
      <c r="C51" s="581">
        <f>H51</f>
        <v>0</v>
      </c>
      <c r="D51" s="581">
        <f>E51</f>
        <v>0</v>
      </c>
      <c r="E51" s="581">
        <f>I51+K51+M51+O51+Q51+S51+U51+W51+Y51+AA51+AC51+AE51</f>
        <v>0</v>
      </c>
      <c r="F51" s="582">
        <f>IFERROR(E51/B51%,0)</f>
        <v>0</v>
      </c>
      <c r="G51" s="582">
        <f>IFERROR(E51/C51%,0)</f>
        <v>0</v>
      </c>
      <c r="H51" s="583">
        <v>0</v>
      </c>
      <c r="I51" s="583">
        <v>0</v>
      </c>
      <c r="J51" s="583">
        <v>0</v>
      </c>
      <c r="K51" s="583">
        <v>0</v>
      </c>
      <c r="L51" s="583">
        <v>0</v>
      </c>
      <c r="M51" s="583">
        <v>0</v>
      </c>
      <c r="N51" s="583">
        <v>0</v>
      </c>
      <c r="O51" s="583">
        <v>0</v>
      </c>
      <c r="P51" s="583">
        <v>0</v>
      </c>
      <c r="Q51" s="583">
        <v>0</v>
      </c>
      <c r="R51" s="583">
        <v>0</v>
      </c>
      <c r="S51" s="583">
        <v>0</v>
      </c>
      <c r="T51" s="583">
        <v>0</v>
      </c>
      <c r="U51" s="583">
        <v>0</v>
      </c>
      <c r="V51" s="583">
        <v>0</v>
      </c>
      <c r="W51" s="583">
        <v>0</v>
      </c>
      <c r="X51" s="583">
        <v>0</v>
      </c>
      <c r="Y51" s="583">
        <v>0</v>
      </c>
      <c r="Z51" s="583">
        <v>0</v>
      </c>
      <c r="AA51" s="583">
        <v>0</v>
      </c>
      <c r="AB51" s="583">
        <v>0</v>
      </c>
      <c r="AC51" s="583">
        <v>0</v>
      </c>
      <c r="AD51" s="583">
        <v>0</v>
      </c>
      <c r="AE51" s="583">
        <v>0</v>
      </c>
      <c r="AF51" s="578"/>
    </row>
    <row r="52" spans="1:32" s="579" customFormat="1" x14ac:dyDescent="0.25">
      <c r="A52" s="580" t="s">
        <v>32</v>
      </c>
      <c r="B52" s="581">
        <f>H52+J52+L52+N52+P52+R52+T52+V52+X52+Z52+AB52+AD52</f>
        <v>0</v>
      </c>
      <c r="C52" s="581">
        <f>H52</f>
        <v>0</v>
      </c>
      <c r="D52" s="581">
        <f>E52</f>
        <v>0</v>
      </c>
      <c r="E52" s="581">
        <f>I52+K52+M52+O52+Q52+S52+U52+W52+Y52+AA52+AC52+AE52</f>
        <v>0</v>
      </c>
      <c r="F52" s="582">
        <f>IFERROR(E52/B52%,0)</f>
        <v>0</v>
      </c>
      <c r="G52" s="582">
        <f>IFERROR(E52/C52%,0)</f>
        <v>0</v>
      </c>
      <c r="H52" s="583">
        <v>0</v>
      </c>
      <c r="I52" s="583">
        <v>0</v>
      </c>
      <c r="J52" s="583">
        <v>0</v>
      </c>
      <c r="K52" s="583">
        <v>0</v>
      </c>
      <c r="L52" s="583">
        <v>0</v>
      </c>
      <c r="M52" s="583">
        <v>0</v>
      </c>
      <c r="N52" s="583">
        <v>0</v>
      </c>
      <c r="O52" s="583">
        <v>0</v>
      </c>
      <c r="P52" s="583">
        <v>0</v>
      </c>
      <c r="Q52" s="583">
        <v>0</v>
      </c>
      <c r="R52" s="583">
        <v>0</v>
      </c>
      <c r="S52" s="583">
        <v>0</v>
      </c>
      <c r="T52" s="583">
        <v>0</v>
      </c>
      <c r="U52" s="583">
        <v>0</v>
      </c>
      <c r="V52" s="583">
        <v>0</v>
      </c>
      <c r="W52" s="583">
        <v>0</v>
      </c>
      <c r="X52" s="583">
        <v>0</v>
      </c>
      <c r="Y52" s="583">
        <v>0</v>
      </c>
      <c r="Z52" s="583">
        <v>0</v>
      </c>
      <c r="AA52" s="583">
        <v>0</v>
      </c>
      <c r="AB52" s="583">
        <v>0</v>
      </c>
      <c r="AC52" s="583">
        <v>0</v>
      </c>
      <c r="AD52" s="583">
        <v>0</v>
      </c>
      <c r="AE52" s="583">
        <v>0</v>
      </c>
      <c r="AF52" s="578"/>
    </row>
    <row r="53" spans="1:32" s="579" customFormat="1" x14ac:dyDescent="0.25">
      <c r="A53" s="580" t="s">
        <v>33</v>
      </c>
      <c r="B53" s="581">
        <v>31810.3</v>
      </c>
      <c r="C53" s="581">
        <v>1752.01</v>
      </c>
      <c r="D53" s="581">
        <v>1752.01</v>
      </c>
      <c r="E53" s="581">
        <v>1751.92</v>
      </c>
      <c r="F53" s="582">
        <f>IFERROR(E53/B53%,0)</f>
        <v>5.507398547011503</v>
      </c>
      <c r="G53" s="582">
        <f>IFERROR(E53/C53%,0)</f>
        <v>99.994863043019166</v>
      </c>
      <c r="H53" s="583">
        <v>232</v>
      </c>
      <c r="I53" s="583">
        <v>232</v>
      </c>
      <c r="J53" s="583">
        <v>0</v>
      </c>
      <c r="K53" s="583">
        <v>0</v>
      </c>
      <c r="L53" s="583">
        <v>594.1</v>
      </c>
      <c r="M53" s="583">
        <v>594.1</v>
      </c>
      <c r="N53" s="583">
        <v>0</v>
      </c>
      <c r="O53" s="583">
        <v>0</v>
      </c>
      <c r="P53" s="583">
        <v>646.94000000000005</v>
      </c>
      <c r="Q53" s="576">
        <v>49.84</v>
      </c>
      <c r="R53" s="583">
        <v>0</v>
      </c>
      <c r="S53" s="583">
        <v>597.01</v>
      </c>
      <c r="T53" s="576">
        <v>278.97000000000003</v>
      </c>
      <c r="U53" s="576">
        <v>278.97000000000003</v>
      </c>
      <c r="V53" s="583">
        <v>8.76</v>
      </c>
      <c r="W53" s="583">
        <v>0</v>
      </c>
      <c r="X53" s="583">
        <v>0</v>
      </c>
      <c r="Y53" s="583">
        <v>0</v>
      </c>
      <c r="Z53" s="583">
        <v>28535.599999999999</v>
      </c>
      <c r="AA53" s="583">
        <v>0</v>
      </c>
      <c r="AB53" s="583">
        <v>593.79999999999995</v>
      </c>
      <c r="AC53" s="583">
        <v>0</v>
      </c>
      <c r="AD53" s="583">
        <v>920.13</v>
      </c>
      <c r="AE53" s="583">
        <v>0</v>
      </c>
      <c r="AF53" s="578"/>
    </row>
    <row r="54" spans="1:32" s="579" customFormat="1" ht="31.5" x14ac:dyDescent="0.25">
      <c r="A54" s="584" t="s">
        <v>174</v>
      </c>
      <c r="B54" s="581">
        <f>H54+J54+L54+N54+P54+R54+T54+V54+X54+Z54+AB54+AD54</f>
        <v>0</v>
      </c>
      <c r="C54" s="581">
        <f>H54</f>
        <v>0</v>
      </c>
      <c r="D54" s="581">
        <f>E54</f>
        <v>0</v>
      </c>
      <c r="E54" s="581">
        <f>I54+K54+M54+O54+Q54+S54+U54+W54+Y54+AA54+AC54+AE54</f>
        <v>0</v>
      </c>
      <c r="F54" s="582">
        <f>IFERROR(E54/B54%,0)</f>
        <v>0</v>
      </c>
      <c r="G54" s="582">
        <f>IFERROR(E54/C54%,0)</f>
        <v>0</v>
      </c>
      <c r="H54" s="583">
        <v>0</v>
      </c>
      <c r="I54" s="583">
        <v>0</v>
      </c>
      <c r="J54" s="583">
        <v>0</v>
      </c>
      <c r="K54" s="583">
        <v>0</v>
      </c>
      <c r="L54" s="583">
        <v>0</v>
      </c>
      <c r="M54" s="583">
        <v>0</v>
      </c>
      <c r="N54" s="583">
        <v>0</v>
      </c>
      <c r="O54" s="583">
        <v>0</v>
      </c>
      <c r="P54" s="583">
        <v>0</v>
      </c>
      <c r="Q54" s="583">
        <v>0</v>
      </c>
      <c r="R54" s="583">
        <v>0</v>
      </c>
      <c r="S54" s="583">
        <v>0</v>
      </c>
      <c r="T54" s="583">
        <v>0</v>
      </c>
      <c r="U54" s="583">
        <v>0</v>
      </c>
      <c r="V54" s="583">
        <v>0</v>
      </c>
      <c r="W54" s="583">
        <v>0</v>
      </c>
      <c r="X54" s="583">
        <v>0</v>
      </c>
      <c r="Y54" s="583">
        <v>0</v>
      </c>
      <c r="Z54" s="583">
        <v>0</v>
      </c>
      <c r="AA54" s="583">
        <v>0</v>
      </c>
      <c r="AB54" s="583">
        <v>0</v>
      </c>
      <c r="AC54" s="583">
        <v>0</v>
      </c>
      <c r="AD54" s="583">
        <v>0</v>
      </c>
      <c r="AE54" s="583">
        <v>0</v>
      </c>
      <c r="AF54" s="578"/>
    </row>
    <row r="55" spans="1:32" s="579" customFormat="1" x14ac:dyDescent="0.25">
      <c r="A55" s="1019" t="s">
        <v>633</v>
      </c>
      <c r="B55" s="1016">
        <v>15536</v>
      </c>
      <c r="C55" s="581">
        <f>H55</f>
        <v>0</v>
      </c>
      <c r="D55" s="581">
        <f t="shared" ref="D55:L55" si="27">I55</f>
        <v>0</v>
      </c>
      <c r="E55" s="581">
        <f t="shared" si="27"/>
        <v>0</v>
      </c>
      <c r="F55" s="581">
        <f t="shared" si="27"/>
        <v>0</v>
      </c>
      <c r="G55" s="581">
        <f t="shared" si="27"/>
        <v>0</v>
      </c>
      <c r="H55" s="581">
        <f t="shared" si="27"/>
        <v>0</v>
      </c>
      <c r="I55" s="581">
        <f t="shared" si="27"/>
        <v>0</v>
      </c>
      <c r="J55" s="581">
        <f t="shared" si="27"/>
        <v>0</v>
      </c>
      <c r="K55" s="581">
        <f t="shared" si="27"/>
        <v>0</v>
      </c>
      <c r="L55" s="581">
        <f t="shared" si="27"/>
        <v>0</v>
      </c>
      <c r="M55" s="581">
        <v>0</v>
      </c>
      <c r="N55" s="581">
        <f t="shared" ref="N55:V55" si="28">S55</f>
        <v>0</v>
      </c>
      <c r="O55" s="581">
        <f t="shared" si="28"/>
        <v>0</v>
      </c>
      <c r="P55" s="581">
        <f t="shared" si="28"/>
        <v>0</v>
      </c>
      <c r="Q55" s="581">
        <f t="shared" si="28"/>
        <v>0</v>
      </c>
      <c r="R55" s="581">
        <f t="shared" si="28"/>
        <v>0</v>
      </c>
      <c r="S55" s="581">
        <f t="shared" si="28"/>
        <v>0</v>
      </c>
      <c r="T55" s="581">
        <f t="shared" si="28"/>
        <v>0</v>
      </c>
      <c r="U55" s="581">
        <f t="shared" si="28"/>
        <v>0</v>
      </c>
      <c r="V55" s="581">
        <f t="shared" si="28"/>
        <v>0</v>
      </c>
      <c r="W55" s="581">
        <v>0</v>
      </c>
      <c r="X55" s="581">
        <f>AC55</f>
        <v>0</v>
      </c>
      <c r="Y55" s="581">
        <f>AD55</f>
        <v>0</v>
      </c>
      <c r="Z55" s="581">
        <f>AE55</f>
        <v>0</v>
      </c>
      <c r="AA55" s="581">
        <f>AF55</f>
        <v>0</v>
      </c>
      <c r="AB55" s="1017">
        <v>15536</v>
      </c>
      <c r="AC55" s="1017"/>
      <c r="AD55" s="1017"/>
      <c r="AE55" s="1018"/>
      <c r="AF55" s="578"/>
    </row>
    <row r="56" spans="1:32" s="579" customFormat="1" ht="65.25" customHeight="1" x14ac:dyDescent="0.25">
      <c r="A56" s="945" t="s">
        <v>555</v>
      </c>
      <c r="B56" s="891"/>
      <c r="C56" s="891"/>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E56" s="892"/>
      <c r="AF56" s="1174" t="s">
        <v>636</v>
      </c>
    </row>
    <row r="57" spans="1:32" s="579" customFormat="1" ht="24" customHeight="1" x14ac:dyDescent="0.25">
      <c r="A57" s="575" t="s">
        <v>31</v>
      </c>
      <c r="B57" s="576">
        <v>15811.6</v>
      </c>
      <c r="C57" s="576">
        <v>266.83999999999997</v>
      </c>
      <c r="D57" s="576">
        <v>266.83999999999997</v>
      </c>
      <c r="E57" s="576">
        <v>266.83999999999997</v>
      </c>
      <c r="F57" s="577">
        <v>1.69</v>
      </c>
      <c r="G57" s="577">
        <f>IFERROR(E57/C57%,0)</f>
        <v>100</v>
      </c>
      <c r="H57" s="576">
        <f>H58+H59+H60+H63</f>
        <v>232</v>
      </c>
      <c r="I57" s="576">
        <f>I58+I59+I60+I63</f>
        <v>232</v>
      </c>
      <c r="J57" s="576">
        <f>J58+J59+J60+J63</f>
        <v>0</v>
      </c>
      <c r="K57" s="576">
        <f>K58+K59+K60+K63</f>
        <v>0</v>
      </c>
      <c r="L57" s="576">
        <v>0</v>
      </c>
      <c r="M57" s="576">
        <v>0</v>
      </c>
      <c r="N57" s="576">
        <f>N58+N59+N60+N63</f>
        <v>0</v>
      </c>
      <c r="O57" s="576">
        <f>O58+O59+O60+O63</f>
        <v>0</v>
      </c>
      <c r="P57" s="576">
        <v>34.840000000000003</v>
      </c>
      <c r="Q57" s="576">
        <v>34.840000000000003</v>
      </c>
      <c r="R57" s="576">
        <f>R58+R59+R60+R63</f>
        <v>0</v>
      </c>
      <c r="S57" s="576">
        <f>S58+S59+S60+S63</f>
        <v>0</v>
      </c>
      <c r="T57" s="576">
        <f>T58+T59+T60+T63</f>
        <v>0</v>
      </c>
      <c r="U57" s="576">
        <f>U58+U59+U60+U63</f>
        <v>0</v>
      </c>
      <c r="V57" s="576">
        <v>8.76</v>
      </c>
      <c r="W57" s="576">
        <f>W58+W59+W60+W63</f>
        <v>0</v>
      </c>
      <c r="X57" s="576">
        <f>X58+X59+X60+X63</f>
        <v>0</v>
      </c>
      <c r="Y57" s="576">
        <f>Y58+Y59+Y60+Y63</f>
        <v>0</v>
      </c>
      <c r="Z57" s="576">
        <v>0</v>
      </c>
      <c r="AA57" s="576">
        <f>AA58+AA59+AA60+AA63</f>
        <v>0</v>
      </c>
      <c r="AB57" s="576">
        <v>15536</v>
      </c>
      <c r="AC57" s="576">
        <f>AC58+AC59+AC60+AC63</f>
        <v>0</v>
      </c>
      <c r="AD57" s="576">
        <v>0</v>
      </c>
      <c r="AE57" s="576">
        <f>AE58+AE59+AE60+AE63</f>
        <v>0</v>
      </c>
      <c r="AF57" s="1175"/>
    </row>
    <row r="58" spans="1:32" s="579" customFormat="1" x14ac:dyDescent="0.25">
      <c r="A58" s="580" t="s">
        <v>169</v>
      </c>
      <c r="B58" s="581">
        <f>H58+J58+L58+N58+P58+R58+T58+V58+X58+Z58+AB58+AD58</f>
        <v>0</v>
      </c>
      <c r="C58" s="581">
        <f>H58</f>
        <v>0</v>
      </c>
      <c r="D58" s="581">
        <f>E58</f>
        <v>0</v>
      </c>
      <c r="E58" s="581">
        <f>I58+K58+M58+O58+Q58+S58+U58+W58+Y58+AA58+AC58+AE58</f>
        <v>0</v>
      </c>
      <c r="F58" s="582">
        <f>IFERROR(E58/B58%,0)</f>
        <v>0</v>
      </c>
      <c r="G58" s="582">
        <f>IFERROR(E58/C58%,0)</f>
        <v>0</v>
      </c>
      <c r="H58" s="583">
        <v>0</v>
      </c>
      <c r="I58" s="583">
        <v>0</v>
      </c>
      <c r="J58" s="583">
        <v>0</v>
      </c>
      <c r="K58" s="583">
        <v>0</v>
      </c>
      <c r="L58" s="583">
        <v>0</v>
      </c>
      <c r="M58" s="583">
        <v>0</v>
      </c>
      <c r="N58" s="583">
        <v>0</v>
      </c>
      <c r="O58" s="583">
        <v>0</v>
      </c>
      <c r="P58" s="583">
        <v>0</v>
      </c>
      <c r="Q58" s="583">
        <v>0</v>
      </c>
      <c r="R58" s="583">
        <v>0</v>
      </c>
      <c r="S58" s="583">
        <v>0</v>
      </c>
      <c r="T58" s="583">
        <v>0</v>
      </c>
      <c r="U58" s="583">
        <v>0</v>
      </c>
      <c r="V58" s="583">
        <v>0</v>
      </c>
      <c r="W58" s="583">
        <v>0</v>
      </c>
      <c r="X58" s="583">
        <v>0</v>
      </c>
      <c r="Y58" s="583">
        <v>0</v>
      </c>
      <c r="Z58" s="583">
        <v>0</v>
      </c>
      <c r="AA58" s="583">
        <v>0</v>
      </c>
      <c r="AB58" s="583">
        <v>0</v>
      </c>
      <c r="AC58" s="583">
        <v>0</v>
      </c>
      <c r="AD58" s="583">
        <v>0</v>
      </c>
      <c r="AE58" s="583">
        <v>0</v>
      </c>
      <c r="AF58" s="1175"/>
    </row>
    <row r="59" spans="1:32" s="579" customFormat="1" x14ac:dyDescent="0.25">
      <c r="A59" s="580" t="s">
        <v>32</v>
      </c>
      <c r="B59" s="581">
        <f>H59+J59+L59+N59+P59+R59+T59+V59+X59+Z59+AB59+AD59</f>
        <v>0</v>
      </c>
      <c r="C59" s="581">
        <f>H59</f>
        <v>0</v>
      </c>
      <c r="D59" s="581">
        <f>E59</f>
        <v>0</v>
      </c>
      <c r="E59" s="581">
        <f>I59+K59+M59+O59+Q59+S59+U59+W59+Y59+AA59+AC59+AE59</f>
        <v>0</v>
      </c>
      <c r="F59" s="582">
        <f>IFERROR(E59/B59%,0)</f>
        <v>0</v>
      </c>
      <c r="G59" s="582">
        <f>IFERROR(E59/C59%,0)</f>
        <v>0</v>
      </c>
      <c r="H59" s="583">
        <v>0</v>
      </c>
      <c r="I59" s="583">
        <v>0</v>
      </c>
      <c r="J59" s="583">
        <v>0</v>
      </c>
      <c r="K59" s="583">
        <v>0</v>
      </c>
      <c r="L59" s="583">
        <v>0</v>
      </c>
      <c r="M59" s="583">
        <v>0</v>
      </c>
      <c r="N59" s="583">
        <v>0</v>
      </c>
      <c r="O59" s="583">
        <v>0</v>
      </c>
      <c r="P59" s="583">
        <v>0</v>
      </c>
      <c r="Q59" s="583">
        <v>0</v>
      </c>
      <c r="R59" s="583">
        <v>0</v>
      </c>
      <c r="S59" s="583">
        <v>0</v>
      </c>
      <c r="T59" s="583">
        <v>0</v>
      </c>
      <c r="U59" s="583">
        <v>0</v>
      </c>
      <c r="V59" s="583">
        <v>0</v>
      </c>
      <c r="W59" s="583">
        <v>0</v>
      </c>
      <c r="X59" s="583">
        <v>0</v>
      </c>
      <c r="Y59" s="583">
        <v>0</v>
      </c>
      <c r="Z59" s="583">
        <v>0</v>
      </c>
      <c r="AA59" s="583">
        <v>0</v>
      </c>
      <c r="AB59" s="583">
        <v>0</v>
      </c>
      <c r="AC59" s="583">
        <v>0</v>
      </c>
      <c r="AD59" s="583">
        <v>0</v>
      </c>
      <c r="AE59" s="583">
        <v>0</v>
      </c>
      <c r="AF59" s="1175"/>
    </row>
    <row r="60" spans="1:32" s="579" customFormat="1" x14ac:dyDescent="0.25">
      <c r="A60" s="580" t="s">
        <v>33</v>
      </c>
      <c r="B60" s="581">
        <v>275.60000000000002</v>
      </c>
      <c r="C60" s="581">
        <v>266.83999999999997</v>
      </c>
      <c r="D60" s="581">
        <v>266.83999999999997</v>
      </c>
      <c r="E60" s="581">
        <v>266.83999999999997</v>
      </c>
      <c r="F60" s="582">
        <f>IFERROR(E60/B60%,0)</f>
        <v>96.821480406386044</v>
      </c>
      <c r="G60" s="582">
        <f>IFERROR(E60/C60%,0)</f>
        <v>100</v>
      </c>
      <c r="H60" s="583">
        <v>232</v>
      </c>
      <c r="I60" s="583">
        <v>232</v>
      </c>
      <c r="J60" s="583">
        <v>0</v>
      </c>
      <c r="K60" s="583">
        <v>0</v>
      </c>
      <c r="L60" s="583">
        <v>0</v>
      </c>
      <c r="M60" s="583">
        <v>0</v>
      </c>
      <c r="N60" s="583">
        <v>0</v>
      </c>
      <c r="O60" s="583">
        <v>0</v>
      </c>
      <c r="P60" s="583">
        <v>34.840000000000003</v>
      </c>
      <c r="Q60" s="576">
        <v>34.840000000000003</v>
      </c>
      <c r="R60" s="583">
        <v>0</v>
      </c>
      <c r="S60" s="583">
        <v>0</v>
      </c>
      <c r="T60" s="583">
        <v>0</v>
      </c>
      <c r="U60" s="583">
        <v>0</v>
      </c>
      <c r="V60" s="583">
        <v>8.76</v>
      </c>
      <c r="W60" s="583">
        <v>0</v>
      </c>
      <c r="X60" s="583">
        <v>0</v>
      </c>
      <c r="Y60" s="583">
        <v>0</v>
      </c>
      <c r="Z60" s="583">
        <v>0</v>
      </c>
      <c r="AA60" s="583">
        <v>0</v>
      </c>
      <c r="AB60" s="583">
        <v>0</v>
      </c>
      <c r="AC60" s="583">
        <v>0</v>
      </c>
      <c r="AD60" s="583">
        <v>0</v>
      </c>
      <c r="AE60" s="583">
        <v>0</v>
      </c>
      <c r="AF60" s="1175"/>
    </row>
    <row r="61" spans="1:32" s="579" customFormat="1" ht="31.5" x14ac:dyDescent="0.25">
      <c r="A61" s="584" t="s">
        <v>174</v>
      </c>
      <c r="B61" s="581">
        <f>H61+J61+L61+N61+P61+R61+T61+V61+X61+Z61+AB61+AD61</f>
        <v>0</v>
      </c>
      <c r="C61" s="581">
        <f>H61</f>
        <v>0</v>
      </c>
      <c r="D61" s="581">
        <f>E61</f>
        <v>0</v>
      </c>
      <c r="E61" s="581">
        <f>I61+K61+M61+O61+Q61+S61+U61+W61+Y61+AA61+AC61+AE61</f>
        <v>0</v>
      </c>
      <c r="F61" s="582">
        <f>IFERROR(E61/B61%,0)</f>
        <v>0</v>
      </c>
      <c r="G61" s="582">
        <f>IFERROR(E61/C61%,0)</f>
        <v>0</v>
      </c>
      <c r="H61" s="583">
        <v>0</v>
      </c>
      <c r="I61" s="583">
        <v>0</v>
      </c>
      <c r="J61" s="583">
        <v>0</v>
      </c>
      <c r="K61" s="583">
        <v>0</v>
      </c>
      <c r="L61" s="583">
        <v>0</v>
      </c>
      <c r="M61" s="583">
        <v>0</v>
      </c>
      <c r="N61" s="583">
        <v>0</v>
      </c>
      <c r="O61" s="583">
        <v>0</v>
      </c>
      <c r="P61" s="583">
        <v>0</v>
      </c>
      <c r="Q61" s="583">
        <v>0</v>
      </c>
      <c r="R61" s="583">
        <v>0</v>
      </c>
      <c r="S61" s="583">
        <v>0</v>
      </c>
      <c r="T61" s="583">
        <v>0</v>
      </c>
      <c r="U61" s="583">
        <v>0</v>
      </c>
      <c r="V61" s="583">
        <v>0</v>
      </c>
      <c r="W61" s="583">
        <v>0</v>
      </c>
      <c r="X61" s="583">
        <v>0</v>
      </c>
      <c r="Y61" s="583">
        <v>0</v>
      </c>
      <c r="Z61" s="583">
        <v>0</v>
      </c>
      <c r="AA61" s="583">
        <v>0</v>
      </c>
      <c r="AB61" s="583">
        <v>0</v>
      </c>
      <c r="AC61" s="583">
        <v>0</v>
      </c>
      <c r="AD61" s="583">
        <v>0</v>
      </c>
      <c r="AE61" s="583">
        <v>0</v>
      </c>
      <c r="AF61" s="1175"/>
    </row>
    <row r="62" spans="1:32" s="579" customFormat="1" x14ac:dyDescent="0.25">
      <c r="A62" s="1019" t="s">
        <v>170</v>
      </c>
      <c r="B62" s="1016">
        <v>15536</v>
      </c>
      <c r="C62" s="581">
        <f>H62</f>
        <v>0</v>
      </c>
      <c r="D62" s="581">
        <f t="shared" ref="D62:V62" si="29">I62</f>
        <v>0</v>
      </c>
      <c r="E62" s="581">
        <f t="shared" si="29"/>
        <v>0</v>
      </c>
      <c r="F62" s="581">
        <f t="shared" si="29"/>
        <v>0</v>
      </c>
      <c r="G62" s="581">
        <f t="shared" si="29"/>
        <v>0</v>
      </c>
      <c r="H62" s="581">
        <f t="shared" si="29"/>
        <v>0</v>
      </c>
      <c r="I62" s="581">
        <f t="shared" si="29"/>
        <v>0</v>
      </c>
      <c r="J62" s="581">
        <f t="shared" si="29"/>
        <v>0</v>
      </c>
      <c r="K62" s="581">
        <f t="shared" si="29"/>
        <v>0</v>
      </c>
      <c r="L62" s="581">
        <f t="shared" si="29"/>
        <v>0</v>
      </c>
      <c r="M62" s="581">
        <f t="shared" si="29"/>
        <v>0</v>
      </c>
      <c r="N62" s="581">
        <f t="shared" si="29"/>
        <v>0</v>
      </c>
      <c r="O62" s="581">
        <f t="shared" si="29"/>
        <v>0</v>
      </c>
      <c r="P62" s="581">
        <f t="shared" si="29"/>
        <v>0</v>
      </c>
      <c r="Q62" s="581">
        <f t="shared" si="29"/>
        <v>0</v>
      </c>
      <c r="R62" s="581">
        <f t="shared" si="29"/>
        <v>0</v>
      </c>
      <c r="S62" s="581">
        <f t="shared" si="29"/>
        <v>0</v>
      </c>
      <c r="T62" s="581">
        <f t="shared" si="29"/>
        <v>0</v>
      </c>
      <c r="U62" s="581">
        <f t="shared" si="29"/>
        <v>0</v>
      </c>
      <c r="V62" s="581">
        <f t="shared" si="29"/>
        <v>0</v>
      </c>
      <c r="W62" s="581">
        <v>0</v>
      </c>
      <c r="X62" s="581">
        <f>AC62</f>
        <v>0</v>
      </c>
      <c r="Y62" s="581">
        <f>AD62</f>
        <v>0</v>
      </c>
      <c r="Z62" s="581">
        <f>AE62</f>
        <v>0</v>
      </c>
      <c r="AA62" s="581">
        <f>AF62</f>
        <v>0</v>
      </c>
      <c r="AB62" s="576">
        <v>15536</v>
      </c>
      <c r="AC62" s="581">
        <f>AH62</f>
        <v>0</v>
      </c>
      <c r="AD62" s="581">
        <f>AI62</f>
        <v>0</v>
      </c>
      <c r="AE62" s="581">
        <f>AJ62</f>
        <v>0</v>
      </c>
      <c r="AF62" s="1175"/>
    </row>
    <row r="63" spans="1:32" s="579" customFormat="1" ht="87" customHeight="1" x14ac:dyDescent="0.25">
      <c r="A63" s="890" t="s">
        <v>556</v>
      </c>
      <c r="B63" s="891"/>
      <c r="C63" s="891"/>
      <c r="D63" s="891"/>
      <c r="E63" s="891"/>
      <c r="F63" s="891"/>
      <c r="G63" s="891"/>
      <c r="H63" s="891"/>
      <c r="I63" s="891"/>
      <c r="J63" s="891"/>
      <c r="K63" s="891"/>
      <c r="L63" s="891"/>
      <c r="M63" s="891"/>
      <c r="N63" s="891"/>
      <c r="O63" s="891"/>
      <c r="P63" s="891"/>
      <c r="Q63" s="581"/>
      <c r="R63" s="891"/>
      <c r="S63" s="891"/>
      <c r="T63" s="891"/>
      <c r="U63" s="891"/>
      <c r="V63" s="891"/>
      <c r="W63" s="891"/>
      <c r="X63" s="891"/>
      <c r="Y63" s="891"/>
      <c r="Z63" s="891"/>
      <c r="AA63" s="891"/>
      <c r="AB63" s="891"/>
      <c r="AC63" s="891"/>
      <c r="AD63" s="891"/>
      <c r="AE63" s="892"/>
      <c r="AF63" s="1175"/>
    </row>
    <row r="64" spans="1:32" x14ac:dyDescent="0.25">
      <c r="A64" s="575" t="s">
        <v>31</v>
      </c>
      <c r="B64" s="576">
        <v>29741.8</v>
      </c>
      <c r="C64" s="576">
        <v>1206.2</v>
      </c>
      <c r="D64" s="576">
        <v>1206.2</v>
      </c>
      <c r="E64" s="576">
        <v>1206.1099999999999</v>
      </c>
      <c r="F64" s="577">
        <f>IFERROR(E64/B64%,0)</f>
        <v>4.0552690153252318</v>
      </c>
      <c r="G64" s="577">
        <f>IFERROR(E64/C64%,0)</f>
        <v>99.99253855082074</v>
      </c>
      <c r="H64" s="576">
        <v>0</v>
      </c>
      <c r="I64" s="576">
        <v>0</v>
      </c>
      <c r="J64" s="576">
        <f t="shared" ref="J64:O64" si="30">J65+J66+J67+J69</f>
        <v>0</v>
      </c>
      <c r="K64" s="576">
        <f t="shared" si="30"/>
        <v>0</v>
      </c>
      <c r="L64" s="576">
        <f t="shared" si="30"/>
        <v>594.1</v>
      </c>
      <c r="M64" s="576">
        <f t="shared" si="30"/>
        <v>594.1</v>
      </c>
      <c r="N64" s="576">
        <f t="shared" si="30"/>
        <v>0</v>
      </c>
      <c r="O64" s="576">
        <f t="shared" si="30"/>
        <v>0</v>
      </c>
      <c r="P64" s="576">
        <v>612.1</v>
      </c>
      <c r="Q64" s="576" t="s">
        <v>557</v>
      </c>
      <c r="R64" s="576">
        <f>R65+R66+R67+R69</f>
        <v>0</v>
      </c>
      <c r="S64" s="576">
        <v>597.01</v>
      </c>
      <c r="T64" s="576">
        <f>T65+T66+T67+T69</f>
        <v>0</v>
      </c>
      <c r="U64" s="576">
        <f>U65+U66+U67+U69</f>
        <v>0</v>
      </c>
      <c r="V64" s="576">
        <v>0</v>
      </c>
      <c r="W64" s="576">
        <f>W65+W66+W67+W69</f>
        <v>0</v>
      </c>
      <c r="X64" s="576">
        <f>X65+X66+X67+X69</f>
        <v>0</v>
      </c>
      <c r="Y64" s="576">
        <f>Y65+Y66+Y67+Y69</f>
        <v>0</v>
      </c>
      <c r="Z64" s="576">
        <v>28535.599999999999</v>
      </c>
      <c r="AA64" s="576">
        <f>AA65+AA66+AA67+AA69</f>
        <v>0</v>
      </c>
      <c r="AB64" s="576">
        <f>AB65+AB66+AB67+AB69</f>
        <v>0</v>
      </c>
      <c r="AC64" s="576">
        <f>AC65+AC66+AC67+AC69</f>
        <v>0</v>
      </c>
      <c r="AD64" s="576">
        <v>0</v>
      </c>
      <c r="AE64" s="576">
        <f>AE65+AE66+AE67+AE69</f>
        <v>0</v>
      </c>
      <c r="AF64" s="367"/>
    </row>
    <row r="65" spans="1:32" x14ac:dyDescent="0.25">
      <c r="A65" s="580" t="s">
        <v>169</v>
      </c>
      <c r="B65" s="581">
        <f>H65+J65+L65+N65+P65+R65+T65+V65+X65+Z65+AB65+AD65</f>
        <v>0</v>
      </c>
      <c r="C65" s="581">
        <f>H65</f>
        <v>0</v>
      </c>
      <c r="D65" s="581">
        <f>E65</f>
        <v>0</v>
      </c>
      <c r="E65" s="581">
        <f>I65+K65+M65+O65+Q65+S65+U65+W65+Y65+AA65+AC65+AE65</f>
        <v>0</v>
      </c>
      <c r="F65" s="582">
        <f>IFERROR(E65/B65%,0)</f>
        <v>0</v>
      </c>
      <c r="G65" s="582">
        <f>IFERROR(E65/C65%,0)</f>
        <v>0</v>
      </c>
      <c r="H65" s="583">
        <v>0</v>
      </c>
      <c r="I65" s="583">
        <v>0</v>
      </c>
      <c r="J65" s="583">
        <v>0</v>
      </c>
      <c r="K65" s="583">
        <v>0</v>
      </c>
      <c r="L65" s="583">
        <v>0</v>
      </c>
      <c r="M65" s="583">
        <v>0</v>
      </c>
      <c r="N65" s="583">
        <v>0</v>
      </c>
      <c r="O65" s="583">
        <v>0</v>
      </c>
      <c r="P65" s="583">
        <v>0</v>
      </c>
      <c r="Q65" s="583">
        <v>0</v>
      </c>
      <c r="R65" s="583">
        <v>0</v>
      </c>
      <c r="S65" s="583">
        <v>0</v>
      </c>
      <c r="T65" s="583">
        <v>0</v>
      </c>
      <c r="U65" s="583">
        <v>0</v>
      </c>
      <c r="V65" s="583">
        <v>0</v>
      </c>
      <c r="W65" s="583">
        <v>0</v>
      </c>
      <c r="X65" s="583">
        <v>0</v>
      </c>
      <c r="Y65" s="583">
        <v>0</v>
      </c>
      <c r="Z65" s="583">
        <v>0</v>
      </c>
      <c r="AA65" s="583">
        <v>0</v>
      </c>
      <c r="AB65" s="583">
        <v>0</v>
      </c>
      <c r="AC65" s="583">
        <v>0</v>
      </c>
      <c r="AD65" s="583">
        <v>0</v>
      </c>
      <c r="AE65" s="583">
        <v>0</v>
      </c>
      <c r="AF65" s="1176" t="s">
        <v>637</v>
      </c>
    </row>
    <row r="66" spans="1:32" x14ac:dyDescent="0.25">
      <c r="A66" s="580" t="s">
        <v>32</v>
      </c>
      <c r="B66" s="581">
        <f>H66+J66+L66+N66+P66+R66+T66+V66+X66+Z66+AB66+AD66</f>
        <v>0</v>
      </c>
      <c r="C66" s="581">
        <f>H66</f>
        <v>0</v>
      </c>
      <c r="D66" s="581">
        <f>E66</f>
        <v>0</v>
      </c>
      <c r="E66" s="581">
        <f>I66+K66+M66+O66+Q66+S66+U66+W66+Y66+AA66+AC66+AE66</f>
        <v>0</v>
      </c>
      <c r="F66" s="582">
        <f>IFERROR(E66/B66%,0)</f>
        <v>0</v>
      </c>
      <c r="G66" s="582">
        <f>IFERROR(E66/C66%,0)</f>
        <v>0</v>
      </c>
      <c r="H66" s="583">
        <v>0</v>
      </c>
      <c r="I66" s="583">
        <v>0</v>
      </c>
      <c r="J66" s="583">
        <v>0</v>
      </c>
      <c r="K66" s="583">
        <v>0</v>
      </c>
      <c r="L66" s="583">
        <v>0</v>
      </c>
      <c r="M66" s="583">
        <v>0</v>
      </c>
      <c r="N66" s="583">
        <v>0</v>
      </c>
      <c r="O66" s="583">
        <v>0</v>
      </c>
      <c r="P66" s="583">
        <v>0</v>
      </c>
      <c r="Q66" s="583">
        <v>0</v>
      </c>
      <c r="R66" s="583">
        <v>0</v>
      </c>
      <c r="S66" s="583">
        <v>0</v>
      </c>
      <c r="T66" s="583">
        <v>0</v>
      </c>
      <c r="U66" s="583">
        <v>0</v>
      </c>
      <c r="V66" s="583">
        <v>0</v>
      </c>
      <c r="W66" s="583">
        <v>0</v>
      </c>
      <c r="X66" s="583">
        <v>0</v>
      </c>
      <c r="Y66" s="583">
        <v>0</v>
      </c>
      <c r="Z66" s="583">
        <v>0</v>
      </c>
      <c r="AA66" s="583">
        <v>0</v>
      </c>
      <c r="AB66" s="583">
        <v>0</v>
      </c>
      <c r="AC66" s="583">
        <v>0</v>
      </c>
      <c r="AD66" s="583">
        <v>0</v>
      </c>
      <c r="AE66" s="583">
        <v>0</v>
      </c>
      <c r="AF66" s="1177"/>
    </row>
    <row r="67" spans="1:32" x14ac:dyDescent="0.25">
      <c r="A67" s="580" t="s">
        <v>33</v>
      </c>
      <c r="B67" s="581">
        <v>29741.8</v>
      </c>
      <c r="C67" s="581">
        <v>1206.2</v>
      </c>
      <c r="D67" s="576">
        <v>1206.2</v>
      </c>
      <c r="E67" s="581" t="s">
        <v>565</v>
      </c>
      <c r="F67" s="582">
        <v>4.0599999999999996</v>
      </c>
      <c r="G67" s="582">
        <v>99.99</v>
      </c>
      <c r="H67" s="583">
        <v>0</v>
      </c>
      <c r="I67" s="583">
        <v>0</v>
      </c>
      <c r="J67" s="583">
        <v>0</v>
      </c>
      <c r="K67" s="583">
        <v>0</v>
      </c>
      <c r="L67" s="583">
        <v>594.1</v>
      </c>
      <c r="M67" s="583">
        <v>594.1</v>
      </c>
      <c r="N67" s="583">
        <v>0</v>
      </c>
      <c r="O67" s="583">
        <v>0</v>
      </c>
      <c r="P67" s="583">
        <v>612.1</v>
      </c>
      <c r="Q67" s="576">
        <v>15</v>
      </c>
      <c r="R67" s="583">
        <v>0</v>
      </c>
      <c r="S67" s="583">
        <v>597.01</v>
      </c>
      <c r="T67" s="583">
        <v>0</v>
      </c>
      <c r="U67" s="583">
        <v>0</v>
      </c>
      <c r="V67" s="583">
        <v>0</v>
      </c>
      <c r="W67" s="583">
        <v>0</v>
      </c>
      <c r="X67" s="583">
        <v>0</v>
      </c>
      <c r="Y67" s="583">
        <v>0</v>
      </c>
      <c r="Z67" s="583">
        <v>28535.599999999999</v>
      </c>
      <c r="AA67" s="583">
        <v>0</v>
      </c>
      <c r="AB67" s="583">
        <v>0</v>
      </c>
      <c r="AC67" s="583">
        <v>0</v>
      </c>
      <c r="AD67" s="583">
        <v>0</v>
      </c>
      <c r="AE67" s="583">
        <v>0</v>
      </c>
      <c r="AF67" s="1177"/>
    </row>
    <row r="68" spans="1:32" ht="409.5" customHeight="1" x14ac:dyDescent="0.25">
      <c r="A68" s="584" t="s">
        <v>174</v>
      </c>
      <c r="B68" s="581">
        <f>H68+J68+L68+N68+P68+R68+T68+V68+X68+Z68+AB68+AD68</f>
        <v>0</v>
      </c>
      <c r="C68" s="581">
        <f>H68</f>
        <v>0</v>
      </c>
      <c r="D68" s="581">
        <f>E68</f>
        <v>0</v>
      </c>
      <c r="E68" s="581">
        <f>I68+K68+M68+O68+Q68+S68+U68+W68+Y68+AA68+AC68+AE68</f>
        <v>0</v>
      </c>
      <c r="F68" s="582">
        <f>IFERROR(E68/B68%,0)</f>
        <v>0</v>
      </c>
      <c r="G68" s="582">
        <f>IFERROR(E68/C68%,0)</f>
        <v>0</v>
      </c>
      <c r="H68" s="583">
        <v>0</v>
      </c>
      <c r="I68" s="583">
        <v>0</v>
      </c>
      <c r="J68" s="583">
        <v>0</v>
      </c>
      <c r="K68" s="583">
        <v>0</v>
      </c>
      <c r="L68" s="583">
        <v>0</v>
      </c>
      <c r="M68" s="583">
        <v>0</v>
      </c>
      <c r="N68" s="583">
        <v>0</v>
      </c>
      <c r="O68" s="583">
        <v>0</v>
      </c>
      <c r="P68" s="583">
        <v>0</v>
      </c>
      <c r="Q68" s="583">
        <v>0</v>
      </c>
      <c r="R68" s="583">
        <v>0</v>
      </c>
      <c r="S68" s="583">
        <v>0</v>
      </c>
      <c r="T68" s="583">
        <v>0</v>
      </c>
      <c r="U68" s="583">
        <v>0</v>
      </c>
      <c r="V68" s="583">
        <v>0</v>
      </c>
      <c r="W68" s="583">
        <v>0</v>
      </c>
      <c r="X68" s="583">
        <v>0</v>
      </c>
      <c r="Y68" s="583">
        <v>0</v>
      </c>
      <c r="Z68" s="583">
        <v>0</v>
      </c>
      <c r="AA68" s="583">
        <v>0</v>
      </c>
      <c r="AB68" s="583">
        <v>0</v>
      </c>
      <c r="AC68" s="583">
        <v>0</v>
      </c>
      <c r="AD68" s="583">
        <v>0</v>
      </c>
      <c r="AE68" s="583">
        <v>0</v>
      </c>
      <c r="AF68" s="1177"/>
    </row>
    <row r="69" spans="1:32" x14ac:dyDescent="0.25">
      <c r="A69" s="890" t="s">
        <v>558</v>
      </c>
      <c r="B69" s="891"/>
      <c r="C69" s="891"/>
      <c r="D69" s="891"/>
      <c r="E69" s="891"/>
      <c r="F69" s="891"/>
      <c r="G69" s="891"/>
      <c r="H69" s="891"/>
      <c r="I69" s="891"/>
      <c r="J69" s="891"/>
      <c r="K69" s="891"/>
      <c r="L69" s="891"/>
      <c r="M69" s="891"/>
      <c r="N69" s="891"/>
      <c r="O69" s="891"/>
      <c r="P69" s="891"/>
      <c r="Q69" s="891"/>
      <c r="R69" s="891"/>
      <c r="S69" s="891"/>
      <c r="T69" s="891"/>
      <c r="U69" s="891"/>
      <c r="V69" s="891"/>
      <c r="W69" s="891"/>
      <c r="X69" s="891"/>
      <c r="Y69" s="891"/>
      <c r="Z69" s="891"/>
      <c r="AA69" s="891"/>
      <c r="AB69" s="891"/>
      <c r="AC69" s="891"/>
      <c r="AD69" s="891"/>
      <c r="AE69" s="892"/>
      <c r="AF69" s="1177"/>
    </row>
    <row r="70" spans="1:32" x14ac:dyDescent="0.25">
      <c r="A70" s="575" t="s">
        <v>31</v>
      </c>
      <c r="B70" s="576">
        <v>799.1</v>
      </c>
      <c r="C70" s="576">
        <v>0</v>
      </c>
      <c r="D70" s="576">
        <v>0</v>
      </c>
      <c r="E70" s="576">
        <v>0</v>
      </c>
      <c r="F70" s="577">
        <f t="shared" ref="F70:F75" si="31">IFERROR(E70/B70%,0)</f>
        <v>0</v>
      </c>
      <c r="G70" s="577">
        <f t="shared" ref="G70:G75" si="32">IFERROR(E70/C70%,0)</f>
        <v>0</v>
      </c>
      <c r="H70" s="576">
        <v>0</v>
      </c>
      <c r="I70" s="576">
        <v>0</v>
      </c>
      <c r="J70" s="576">
        <f t="shared" ref="J70:O70" si="33">J71+J72+J73+J75</f>
        <v>0</v>
      </c>
      <c r="K70" s="576">
        <f t="shared" si="33"/>
        <v>0</v>
      </c>
      <c r="L70" s="576">
        <v>0</v>
      </c>
      <c r="M70" s="576">
        <v>0</v>
      </c>
      <c r="N70" s="576">
        <f t="shared" si="33"/>
        <v>0</v>
      </c>
      <c r="O70" s="576">
        <f t="shared" si="33"/>
        <v>0</v>
      </c>
      <c r="P70" s="576">
        <v>0</v>
      </c>
      <c r="Q70" s="576">
        <v>0</v>
      </c>
      <c r="R70" s="576">
        <v>0</v>
      </c>
      <c r="S70" s="576">
        <v>0</v>
      </c>
      <c r="T70" s="576">
        <f>T71+T72+T73+T75</f>
        <v>0</v>
      </c>
      <c r="U70" s="576">
        <f>U71+U72+U73+U75</f>
        <v>0</v>
      </c>
      <c r="V70" s="576">
        <v>0</v>
      </c>
      <c r="W70" s="576">
        <f>W71+W72+W73+W75</f>
        <v>0</v>
      </c>
      <c r="X70" s="576">
        <f>X71+X72+X73+X75</f>
        <v>0</v>
      </c>
      <c r="Y70" s="576">
        <f>Y71+Y72+Y73+Y75</f>
        <v>0</v>
      </c>
      <c r="Z70" s="576">
        <v>0</v>
      </c>
      <c r="AA70" s="576">
        <f>AA71+AA72+AA73+AA75</f>
        <v>0</v>
      </c>
      <c r="AB70" s="576">
        <f>AB71+AB72+AB73+AB75</f>
        <v>0</v>
      </c>
      <c r="AC70" s="576">
        <f>AC71+AC72+AC73+AC75</f>
        <v>0</v>
      </c>
      <c r="AD70" s="576">
        <v>799.1</v>
      </c>
      <c r="AE70" s="576">
        <f>AE71+AE72+AE73+AE75</f>
        <v>0</v>
      </c>
      <c r="AF70" s="367"/>
    </row>
    <row r="71" spans="1:32" x14ac:dyDescent="0.25">
      <c r="A71" s="580" t="s">
        <v>169</v>
      </c>
      <c r="B71" s="581">
        <f>H71+J71+L71+N71+P71+R71+T71+V71+X71+Z71+AB71+AD71</f>
        <v>0</v>
      </c>
      <c r="C71" s="581">
        <f>H71</f>
        <v>0</v>
      </c>
      <c r="D71" s="581">
        <f>E71</f>
        <v>0</v>
      </c>
      <c r="E71" s="581">
        <f>I71+K71+M71+O71+Q71+S71+U71+W71+Y71+AA71+AC71+AE71</f>
        <v>0</v>
      </c>
      <c r="F71" s="582">
        <f t="shared" si="31"/>
        <v>0</v>
      </c>
      <c r="G71" s="582">
        <f t="shared" si="32"/>
        <v>0</v>
      </c>
      <c r="H71" s="583">
        <v>0</v>
      </c>
      <c r="I71" s="583">
        <v>0</v>
      </c>
      <c r="J71" s="583">
        <v>0</v>
      </c>
      <c r="K71" s="583">
        <v>0</v>
      </c>
      <c r="L71" s="583">
        <v>0</v>
      </c>
      <c r="M71" s="583">
        <v>0</v>
      </c>
      <c r="N71" s="583">
        <v>0</v>
      </c>
      <c r="O71" s="583">
        <v>0</v>
      </c>
      <c r="P71" s="576">
        <v>0</v>
      </c>
      <c r="Q71" s="576">
        <v>0</v>
      </c>
      <c r="R71" s="576">
        <v>0</v>
      </c>
      <c r="S71" s="576">
        <v>0</v>
      </c>
      <c r="T71" s="583">
        <v>0</v>
      </c>
      <c r="U71" s="583">
        <v>0</v>
      </c>
      <c r="V71" s="583">
        <v>0</v>
      </c>
      <c r="W71" s="583">
        <v>0</v>
      </c>
      <c r="X71" s="583">
        <v>0</v>
      </c>
      <c r="Y71" s="583">
        <v>0</v>
      </c>
      <c r="Z71" s="583">
        <v>0</v>
      </c>
      <c r="AA71" s="583">
        <v>0</v>
      </c>
      <c r="AB71" s="583">
        <v>0</v>
      </c>
      <c r="AC71" s="583">
        <v>0</v>
      </c>
      <c r="AD71" s="583">
        <v>0</v>
      </c>
      <c r="AE71" s="583">
        <v>0</v>
      </c>
      <c r="AF71" s="1176" t="s">
        <v>595</v>
      </c>
    </row>
    <row r="72" spans="1:32" x14ac:dyDescent="0.25">
      <c r="A72" s="580" t="s">
        <v>32</v>
      </c>
      <c r="B72" s="581">
        <f>H72+J72+L72+N72+P72+R72+T72+V72+X72+Z72+AB72+AD72</f>
        <v>0</v>
      </c>
      <c r="C72" s="581">
        <f>H72</f>
        <v>0</v>
      </c>
      <c r="D72" s="581">
        <f>E72</f>
        <v>0</v>
      </c>
      <c r="E72" s="581">
        <f>I72+K72+M72+O72+Q72+S72+U72+W72+Y72+AA72+AC72+AE72</f>
        <v>0</v>
      </c>
      <c r="F72" s="582">
        <f t="shared" si="31"/>
        <v>0</v>
      </c>
      <c r="G72" s="582">
        <f t="shared" si="32"/>
        <v>0</v>
      </c>
      <c r="H72" s="583">
        <v>0</v>
      </c>
      <c r="I72" s="583">
        <v>0</v>
      </c>
      <c r="J72" s="583">
        <v>0</v>
      </c>
      <c r="K72" s="583">
        <v>0</v>
      </c>
      <c r="L72" s="583">
        <v>0</v>
      </c>
      <c r="M72" s="583">
        <v>0</v>
      </c>
      <c r="N72" s="583">
        <v>0</v>
      </c>
      <c r="O72" s="583">
        <v>0</v>
      </c>
      <c r="P72" s="576">
        <v>0</v>
      </c>
      <c r="Q72" s="576">
        <v>0</v>
      </c>
      <c r="R72" s="576">
        <v>0</v>
      </c>
      <c r="S72" s="576">
        <v>0</v>
      </c>
      <c r="T72" s="583">
        <v>0</v>
      </c>
      <c r="U72" s="583">
        <v>0</v>
      </c>
      <c r="V72" s="583">
        <v>0</v>
      </c>
      <c r="W72" s="583">
        <v>0</v>
      </c>
      <c r="X72" s="583">
        <v>0</v>
      </c>
      <c r="Y72" s="583">
        <v>0</v>
      </c>
      <c r="Z72" s="583">
        <v>0</v>
      </c>
      <c r="AA72" s="583">
        <v>0</v>
      </c>
      <c r="AB72" s="583">
        <v>0</v>
      </c>
      <c r="AC72" s="583">
        <v>0</v>
      </c>
      <c r="AD72" s="583">
        <v>0</v>
      </c>
      <c r="AE72" s="583">
        <v>0</v>
      </c>
      <c r="AF72" s="1177"/>
    </row>
    <row r="73" spans="1:32" x14ac:dyDescent="0.25">
      <c r="A73" s="580" t="s">
        <v>33</v>
      </c>
      <c r="B73" s="581">
        <v>799.1</v>
      </c>
      <c r="C73" s="581">
        <v>0</v>
      </c>
      <c r="D73" s="581">
        <v>0</v>
      </c>
      <c r="E73" s="581">
        <v>0</v>
      </c>
      <c r="F73" s="582">
        <f t="shared" si="31"/>
        <v>0</v>
      </c>
      <c r="G73" s="582">
        <f t="shared" si="32"/>
        <v>0</v>
      </c>
      <c r="H73" s="583">
        <v>0</v>
      </c>
      <c r="I73" s="583">
        <v>0</v>
      </c>
      <c r="J73" s="583">
        <v>0</v>
      </c>
      <c r="K73" s="583">
        <v>0</v>
      </c>
      <c r="L73" s="583">
        <v>0</v>
      </c>
      <c r="M73" s="583">
        <v>0</v>
      </c>
      <c r="N73" s="583">
        <v>0</v>
      </c>
      <c r="O73" s="583">
        <v>0</v>
      </c>
      <c r="P73" s="576">
        <v>0</v>
      </c>
      <c r="Q73" s="576">
        <v>0</v>
      </c>
      <c r="R73" s="576">
        <v>0</v>
      </c>
      <c r="S73" s="576">
        <v>0</v>
      </c>
      <c r="T73" s="583">
        <v>0</v>
      </c>
      <c r="U73" s="583">
        <v>0</v>
      </c>
      <c r="V73" s="583">
        <v>0</v>
      </c>
      <c r="W73" s="583">
        <v>0</v>
      </c>
      <c r="X73" s="583">
        <v>0</v>
      </c>
      <c r="Y73" s="583">
        <v>0</v>
      </c>
      <c r="Z73" s="583">
        <v>0</v>
      </c>
      <c r="AA73" s="583">
        <v>0</v>
      </c>
      <c r="AB73" s="583">
        <v>0</v>
      </c>
      <c r="AC73" s="583">
        <v>0</v>
      </c>
      <c r="AD73" s="583">
        <v>799.1</v>
      </c>
      <c r="AE73" s="583">
        <v>0</v>
      </c>
      <c r="AF73" s="1177"/>
    </row>
    <row r="74" spans="1:32" ht="31.5" x14ac:dyDescent="0.25">
      <c r="A74" s="584" t="s">
        <v>174</v>
      </c>
      <c r="B74" s="581">
        <f>H74+J74+L74+N74+P74+R74+T74+V74+X74+Z74+AB74+AD74</f>
        <v>0</v>
      </c>
      <c r="C74" s="581">
        <f>H74</f>
        <v>0</v>
      </c>
      <c r="D74" s="581">
        <f>E74</f>
        <v>0</v>
      </c>
      <c r="E74" s="581">
        <f>I74+K74+M74+O74+Q74+S74+U74+W74+Y74+AA74+AC74+AE74</f>
        <v>0</v>
      </c>
      <c r="F74" s="582">
        <f t="shared" si="31"/>
        <v>0</v>
      </c>
      <c r="G74" s="582">
        <f t="shared" si="32"/>
        <v>0</v>
      </c>
      <c r="H74" s="583">
        <v>0</v>
      </c>
      <c r="I74" s="583">
        <v>0</v>
      </c>
      <c r="J74" s="583">
        <v>0</v>
      </c>
      <c r="K74" s="583">
        <v>0</v>
      </c>
      <c r="L74" s="583">
        <v>0</v>
      </c>
      <c r="M74" s="583">
        <v>0</v>
      </c>
      <c r="N74" s="583">
        <v>0</v>
      </c>
      <c r="O74" s="583">
        <v>0</v>
      </c>
      <c r="P74" s="576">
        <v>0</v>
      </c>
      <c r="Q74" s="576">
        <v>0</v>
      </c>
      <c r="R74" s="576">
        <v>0</v>
      </c>
      <c r="S74" s="576">
        <v>0</v>
      </c>
      <c r="T74" s="583">
        <v>0</v>
      </c>
      <c r="U74" s="583">
        <v>0</v>
      </c>
      <c r="V74" s="583">
        <v>0</v>
      </c>
      <c r="W74" s="583">
        <v>0</v>
      </c>
      <c r="X74" s="583">
        <v>0</v>
      </c>
      <c r="Y74" s="583">
        <v>0</v>
      </c>
      <c r="Z74" s="583">
        <v>0</v>
      </c>
      <c r="AA74" s="583">
        <v>0</v>
      </c>
      <c r="AB74" s="583">
        <v>0</v>
      </c>
      <c r="AC74" s="583">
        <v>0</v>
      </c>
      <c r="AD74" s="583">
        <v>0</v>
      </c>
      <c r="AE74" s="583">
        <v>0</v>
      </c>
      <c r="AF74" s="1177"/>
    </row>
    <row r="75" spans="1:32" x14ac:dyDescent="0.25">
      <c r="A75" s="580" t="s">
        <v>374</v>
      </c>
      <c r="B75" s="581">
        <f>H75+J75+L75+N75+P75+R75+T75+V75+X75+Z75+AB75+AD75</f>
        <v>0</v>
      </c>
      <c r="C75" s="581">
        <f>H75</f>
        <v>0</v>
      </c>
      <c r="D75" s="581">
        <f>E75</f>
        <v>0</v>
      </c>
      <c r="E75" s="581">
        <f>I75+K75+M75+O75+Q75+S75+U75+W75+Y75+AA75+AC75+AE75</f>
        <v>0</v>
      </c>
      <c r="F75" s="582">
        <f t="shared" si="31"/>
        <v>0</v>
      </c>
      <c r="G75" s="582">
        <f t="shared" si="32"/>
        <v>0</v>
      </c>
      <c r="H75" s="583">
        <v>0</v>
      </c>
      <c r="I75" s="583">
        <v>0</v>
      </c>
      <c r="J75" s="583">
        <v>0</v>
      </c>
      <c r="K75" s="583">
        <v>0</v>
      </c>
      <c r="L75" s="583">
        <v>0</v>
      </c>
      <c r="M75" s="583">
        <v>0</v>
      </c>
      <c r="N75" s="583">
        <v>0</v>
      </c>
      <c r="O75" s="583">
        <v>0</v>
      </c>
      <c r="P75" s="583">
        <v>0</v>
      </c>
      <c r="Q75" s="583">
        <v>0</v>
      </c>
      <c r="R75" s="583">
        <v>0</v>
      </c>
      <c r="S75" s="583">
        <v>0</v>
      </c>
      <c r="T75" s="583">
        <v>0</v>
      </c>
      <c r="U75" s="583">
        <v>0</v>
      </c>
      <c r="V75" s="583">
        <v>0</v>
      </c>
      <c r="W75" s="583">
        <v>0</v>
      </c>
      <c r="X75" s="583">
        <v>0</v>
      </c>
      <c r="Y75" s="583">
        <v>0</v>
      </c>
      <c r="Z75" s="583">
        <v>0</v>
      </c>
      <c r="AA75" s="583">
        <v>0</v>
      </c>
      <c r="AB75" s="583">
        <v>0</v>
      </c>
      <c r="AC75" s="583">
        <v>0</v>
      </c>
      <c r="AD75" s="583">
        <v>0</v>
      </c>
      <c r="AE75" s="583">
        <v>0</v>
      </c>
      <c r="AF75" s="1177"/>
    </row>
    <row r="76" spans="1:32" ht="42" customHeight="1" x14ac:dyDescent="0.25">
      <c r="A76" s="890" t="s">
        <v>559</v>
      </c>
      <c r="B76" s="891"/>
      <c r="C76" s="891"/>
      <c r="D76" s="891"/>
      <c r="E76" s="891"/>
      <c r="F76" s="891"/>
      <c r="G76" s="891"/>
      <c r="H76" s="891"/>
      <c r="I76" s="891"/>
      <c r="J76" s="891"/>
      <c r="K76" s="891"/>
      <c r="L76" s="891"/>
      <c r="M76" s="891"/>
      <c r="N76" s="891"/>
      <c r="O76" s="891"/>
      <c r="P76" s="891"/>
      <c r="Q76" s="891"/>
      <c r="R76" s="891"/>
      <c r="S76" s="891"/>
      <c r="T76" s="891"/>
      <c r="U76" s="891"/>
      <c r="V76" s="891"/>
      <c r="W76" s="891"/>
      <c r="X76" s="891"/>
      <c r="Y76" s="891"/>
      <c r="Z76" s="891"/>
      <c r="AA76" s="891"/>
      <c r="AB76" s="891"/>
      <c r="AC76" s="891"/>
      <c r="AD76" s="891"/>
      <c r="AE76" s="892"/>
      <c r="AF76" s="896"/>
    </row>
    <row r="77" spans="1:32" ht="106.5" customHeight="1" x14ac:dyDescent="0.25">
      <c r="A77" s="575" t="s">
        <v>31</v>
      </c>
      <c r="B77" s="576">
        <v>993.8</v>
      </c>
      <c r="C77" s="576">
        <v>278.97000000000003</v>
      </c>
      <c r="D77" s="576">
        <v>278.97000000000003</v>
      </c>
      <c r="E77" s="576">
        <v>278.97000000000003</v>
      </c>
      <c r="F77" s="577">
        <f t="shared" ref="F77:F82" si="34">IFERROR(E77/B77%,0)</f>
        <v>28.071040450794936</v>
      </c>
      <c r="G77" s="577">
        <f t="shared" ref="G77:G82" si="35">IFERROR(E77/C77%,0)</f>
        <v>100</v>
      </c>
      <c r="H77" s="576">
        <v>0</v>
      </c>
      <c r="I77" s="576">
        <v>0</v>
      </c>
      <c r="J77" s="576">
        <f>J78+J79+J80+J82</f>
        <v>0</v>
      </c>
      <c r="K77" s="576">
        <f>K78+K79+K80+K82</f>
        <v>0</v>
      </c>
      <c r="L77" s="576">
        <v>0</v>
      </c>
      <c r="M77" s="576">
        <v>0</v>
      </c>
      <c r="N77" s="576">
        <f>N78+N79+N80+N82</f>
        <v>0</v>
      </c>
      <c r="O77" s="576">
        <f>O78+O79+O80+O82</f>
        <v>0</v>
      </c>
      <c r="P77" s="576">
        <v>0</v>
      </c>
      <c r="Q77" s="576" t="s">
        <v>463</v>
      </c>
      <c r="R77" s="576">
        <f>R78+R79+R80+R82</f>
        <v>0</v>
      </c>
      <c r="S77" s="576">
        <f>S78+S79+S80+S82</f>
        <v>0</v>
      </c>
      <c r="T77" s="576">
        <v>278.97000000000003</v>
      </c>
      <c r="U77" s="576">
        <v>278.97000000000003</v>
      </c>
      <c r="V77" s="576">
        <v>0</v>
      </c>
      <c r="W77" s="576">
        <f>W78+W79+W80+W82</f>
        <v>0</v>
      </c>
      <c r="X77" s="576">
        <f>X78+X79+X80+X82</f>
        <v>0</v>
      </c>
      <c r="Y77" s="576">
        <f>Y78+Y79+Y80+Y82</f>
        <v>0</v>
      </c>
      <c r="Z77" s="576">
        <v>0</v>
      </c>
      <c r="AA77" s="576">
        <f>AA78+AA79+AA80+AA82</f>
        <v>0</v>
      </c>
      <c r="AB77" s="576">
        <v>593.79999999999995</v>
      </c>
      <c r="AC77" s="576">
        <f>AC78+AC79+AC80+AC82</f>
        <v>0</v>
      </c>
      <c r="AD77" s="576">
        <v>121.03</v>
      </c>
      <c r="AE77" s="576">
        <f>AE78+AE79+AE80+AE82</f>
        <v>0</v>
      </c>
      <c r="AF77" s="897" t="s">
        <v>638</v>
      </c>
    </row>
    <row r="78" spans="1:32" x14ac:dyDescent="0.25">
      <c r="A78" s="580" t="s">
        <v>169</v>
      </c>
      <c r="B78" s="581">
        <f>H78+J78+L78+N78+P78+R78+T78+V78+X78+Z78+AB78+AD78</f>
        <v>0</v>
      </c>
      <c r="C78" s="581">
        <f>H78</f>
        <v>0</v>
      </c>
      <c r="D78" s="581">
        <f>E78</f>
        <v>0</v>
      </c>
      <c r="E78" s="581">
        <f>I78+K78+M78+O78+Q78+S78+U78+W78+Y78+AA78+AC78+AE78</f>
        <v>0</v>
      </c>
      <c r="F78" s="582">
        <f t="shared" si="34"/>
        <v>0</v>
      </c>
      <c r="G78" s="582">
        <f t="shared" si="35"/>
        <v>0</v>
      </c>
      <c r="H78" s="583">
        <v>0</v>
      </c>
      <c r="I78" s="583">
        <v>0</v>
      </c>
      <c r="J78" s="583">
        <v>0</v>
      </c>
      <c r="K78" s="583">
        <v>0</v>
      </c>
      <c r="L78" s="583">
        <v>0</v>
      </c>
      <c r="M78" s="583">
        <v>0</v>
      </c>
      <c r="N78" s="583">
        <v>0</v>
      </c>
      <c r="O78" s="583">
        <v>0</v>
      </c>
      <c r="P78" s="583">
        <v>0</v>
      </c>
      <c r="Q78" s="583">
        <v>0</v>
      </c>
      <c r="R78" s="583">
        <v>0</v>
      </c>
      <c r="S78" s="583">
        <v>0</v>
      </c>
      <c r="T78" s="583">
        <v>0</v>
      </c>
      <c r="U78" s="583">
        <v>0</v>
      </c>
      <c r="V78" s="583">
        <v>0</v>
      </c>
      <c r="W78" s="583">
        <v>0</v>
      </c>
      <c r="X78" s="583">
        <v>0</v>
      </c>
      <c r="Y78" s="583">
        <v>0</v>
      </c>
      <c r="Z78" s="583">
        <v>0</v>
      </c>
      <c r="AA78" s="583">
        <v>0</v>
      </c>
      <c r="AB78" s="583">
        <v>0</v>
      </c>
      <c r="AC78" s="583">
        <v>0</v>
      </c>
      <c r="AD78" s="583">
        <v>0</v>
      </c>
      <c r="AE78" s="583">
        <v>0</v>
      </c>
      <c r="AF78" s="896"/>
    </row>
    <row r="79" spans="1:32" x14ac:dyDescent="0.25">
      <c r="A79" s="580" t="s">
        <v>32</v>
      </c>
      <c r="B79" s="581">
        <f>H79+J79+L79+N79+P79+R79+T79+V79+X79+Z79+AB79+AD79</f>
        <v>0</v>
      </c>
      <c r="C79" s="581">
        <f>H79</f>
        <v>0</v>
      </c>
      <c r="D79" s="581">
        <f>E79</f>
        <v>0</v>
      </c>
      <c r="E79" s="581">
        <f>I79+K79+M79+O79+Q79+S79+U79+W79+Y79+AA79+AC79+AE79</f>
        <v>0</v>
      </c>
      <c r="F79" s="582">
        <f t="shared" si="34"/>
        <v>0</v>
      </c>
      <c r="G79" s="582">
        <f t="shared" si="35"/>
        <v>0</v>
      </c>
      <c r="H79" s="583">
        <v>0</v>
      </c>
      <c r="I79" s="583">
        <v>0</v>
      </c>
      <c r="J79" s="583">
        <v>0</v>
      </c>
      <c r="K79" s="583">
        <v>0</v>
      </c>
      <c r="L79" s="583">
        <v>0</v>
      </c>
      <c r="M79" s="583">
        <v>0</v>
      </c>
      <c r="N79" s="583">
        <v>0</v>
      </c>
      <c r="O79" s="583">
        <v>0</v>
      </c>
      <c r="P79" s="583">
        <v>0</v>
      </c>
      <c r="Q79" s="583">
        <v>0</v>
      </c>
      <c r="R79" s="583">
        <v>0</v>
      </c>
      <c r="S79" s="583">
        <v>0</v>
      </c>
      <c r="T79" s="583">
        <v>0</v>
      </c>
      <c r="U79" s="583">
        <v>0</v>
      </c>
      <c r="V79" s="583">
        <v>0</v>
      </c>
      <c r="W79" s="583">
        <v>0</v>
      </c>
      <c r="X79" s="583">
        <v>0</v>
      </c>
      <c r="Y79" s="583">
        <v>0</v>
      </c>
      <c r="Z79" s="583">
        <v>0</v>
      </c>
      <c r="AA79" s="583">
        <v>0</v>
      </c>
      <c r="AB79" s="583">
        <v>0</v>
      </c>
      <c r="AC79" s="583">
        <v>0</v>
      </c>
      <c r="AD79" s="583">
        <v>0</v>
      </c>
      <c r="AE79" s="583">
        <v>0</v>
      </c>
      <c r="AF79" s="896"/>
    </row>
    <row r="80" spans="1:32" x14ac:dyDescent="0.25">
      <c r="A80" s="580" t="s">
        <v>33</v>
      </c>
      <c r="B80" s="581">
        <v>993.8</v>
      </c>
      <c r="C80" s="576">
        <v>278.97000000000003</v>
      </c>
      <c r="D80" s="576">
        <v>278.97000000000003</v>
      </c>
      <c r="E80" s="576">
        <v>278.97000000000003</v>
      </c>
      <c r="F80" s="582">
        <f t="shared" si="34"/>
        <v>28.071040450794936</v>
      </c>
      <c r="G80" s="582">
        <f t="shared" si="35"/>
        <v>100</v>
      </c>
      <c r="H80" s="583">
        <v>0</v>
      </c>
      <c r="I80" s="583">
        <v>0</v>
      </c>
      <c r="J80" s="583">
        <v>0</v>
      </c>
      <c r="K80" s="583">
        <v>0</v>
      </c>
      <c r="L80" s="583">
        <v>0</v>
      </c>
      <c r="M80" s="583">
        <v>0</v>
      </c>
      <c r="N80" s="583">
        <v>0</v>
      </c>
      <c r="O80" s="583">
        <v>0</v>
      </c>
      <c r="P80" s="583">
        <v>0</v>
      </c>
      <c r="Q80" s="576">
        <v>0</v>
      </c>
      <c r="R80" s="583">
        <v>0</v>
      </c>
      <c r="S80" s="583">
        <v>0</v>
      </c>
      <c r="T80" s="576">
        <v>278.97000000000003</v>
      </c>
      <c r="U80" s="576">
        <v>278.97000000000003</v>
      </c>
      <c r="V80" s="583">
        <v>0</v>
      </c>
      <c r="W80" s="583">
        <v>0</v>
      </c>
      <c r="X80" s="583">
        <v>0</v>
      </c>
      <c r="Y80" s="583">
        <v>0</v>
      </c>
      <c r="Z80" s="583">
        <v>0</v>
      </c>
      <c r="AA80" s="583">
        <v>0</v>
      </c>
      <c r="AB80" s="583">
        <v>593.79999999999995</v>
      </c>
      <c r="AC80" s="583">
        <v>0</v>
      </c>
      <c r="AD80" s="583">
        <v>121.03</v>
      </c>
      <c r="AE80" s="583">
        <v>0</v>
      </c>
      <c r="AF80" s="896"/>
    </row>
    <row r="81" spans="1:32" ht="31.5" x14ac:dyDescent="0.25">
      <c r="A81" s="584" t="s">
        <v>174</v>
      </c>
      <c r="B81" s="581">
        <f>H81+J81+L81+N81+P81+R81+T81+V81+X81+Z81+AB81+AD81</f>
        <v>0</v>
      </c>
      <c r="C81" s="581">
        <f>H81</f>
        <v>0</v>
      </c>
      <c r="D81" s="581">
        <f>E81</f>
        <v>0</v>
      </c>
      <c r="E81" s="581">
        <f>I81+K81+M81+O81+Q81+S81+U81+W81+Y81+AA81+AC81+AE81</f>
        <v>0</v>
      </c>
      <c r="F81" s="582">
        <f t="shared" si="34"/>
        <v>0</v>
      </c>
      <c r="G81" s="582">
        <f t="shared" si="35"/>
        <v>0</v>
      </c>
      <c r="H81" s="583">
        <v>0</v>
      </c>
      <c r="I81" s="583">
        <v>0</v>
      </c>
      <c r="J81" s="583">
        <v>0</v>
      </c>
      <c r="K81" s="583">
        <v>0</v>
      </c>
      <c r="L81" s="583">
        <v>0</v>
      </c>
      <c r="M81" s="583">
        <v>0</v>
      </c>
      <c r="N81" s="583">
        <v>0</v>
      </c>
      <c r="O81" s="583">
        <v>0</v>
      </c>
      <c r="P81" s="583">
        <v>0</v>
      </c>
      <c r="Q81" s="583">
        <v>0</v>
      </c>
      <c r="R81" s="583">
        <v>0</v>
      </c>
      <c r="S81" s="583">
        <v>0</v>
      </c>
      <c r="T81" s="583">
        <v>0</v>
      </c>
      <c r="U81" s="583">
        <v>0</v>
      </c>
      <c r="V81" s="583">
        <v>0</v>
      </c>
      <c r="W81" s="583">
        <v>0</v>
      </c>
      <c r="X81" s="583">
        <v>0</v>
      </c>
      <c r="Y81" s="583">
        <v>0</v>
      </c>
      <c r="Z81" s="583">
        <v>0</v>
      </c>
      <c r="AA81" s="583">
        <v>0</v>
      </c>
      <c r="AB81" s="583">
        <v>0</v>
      </c>
      <c r="AC81" s="583">
        <v>0</v>
      </c>
      <c r="AD81" s="583">
        <v>0</v>
      </c>
      <c r="AE81" s="583">
        <v>0</v>
      </c>
      <c r="AF81" s="896"/>
    </row>
    <row r="82" spans="1:32" x14ac:dyDescent="0.25">
      <c r="A82" s="580" t="s">
        <v>374</v>
      </c>
      <c r="B82" s="581">
        <f>H82+J82+L82+N82+P82+R82+T82+V82+X82+Z82+AB82+AD82</f>
        <v>0</v>
      </c>
      <c r="C82" s="581">
        <f>H82</f>
        <v>0</v>
      </c>
      <c r="D82" s="581">
        <f>E82</f>
        <v>0</v>
      </c>
      <c r="E82" s="581">
        <f>I82+K82+M82+O82+Q82+S82+U82+W82+Y82+AA82+AC82+AE82</f>
        <v>0</v>
      </c>
      <c r="F82" s="582">
        <f t="shared" si="34"/>
        <v>0</v>
      </c>
      <c r="G82" s="582">
        <f t="shared" si="35"/>
        <v>0</v>
      </c>
      <c r="H82" s="583">
        <v>0</v>
      </c>
      <c r="I82" s="583">
        <v>0</v>
      </c>
      <c r="J82" s="583">
        <v>0</v>
      </c>
      <c r="K82" s="583">
        <v>0</v>
      </c>
      <c r="L82" s="583">
        <v>0</v>
      </c>
      <c r="M82" s="583">
        <v>0</v>
      </c>
      <c r="N82" s="583">
        <v>0</v>
      </c>
      <c r="O82" s="583">
        <v>0</v>
      </c>
      <c r="P82" s="583">
        <v>0</v>
      </c>
      <c r="Q82" s="583">
        <v>0</v>
      </c>
      <c r="R82" s="583">
        <v>0</v>
      </c>
      <c r="S82" s="583">
        <v>0</v>
      </c>
      <c r="T82" s="583">
        <v>0</v>
      </c>
      <c r="U82" s="583">
        <v>0</v>
      </c>
      <c r="V82" s="583">
        <v>0</v>
      </c>
      <c r="W82" s="583">
        <v>0</v>
      </c>
      <c r="X82" s="583">
        <v>0</v>
      </c>
      <c r="Y82" s="583">
        <v>0</v>
      </c>
      <c r="Z82" s="583">
        <v>0</v>
      </c>
      <c r="AA82" s="583">
        <v>0</v>
      </c>
      <c r="AB82" s="583">
        <v>0</v>
      </c>
      <c r="AC82" s="583">
        <v>0</v>
      </c>
      <c r="AD82" s="583">
        <v>0</v>
      </c>
      <c r="AE82" s="583">
        <v>0</v>
      </c>
      <c r="AF82" s="896"/>
    </row>
    <row r="83" spans="1:32" x14ac:dyDescent="0.25">
      <c r="A83" s="890" t="s">
        <v>63</v>
      </c>
      <c r="B83" s="891"/>
      <c r="C83" s="891"/>
      <c r="D83" s="891"/>
      <c r="E83" s="891"/>
      <c r="F83" s="891"/>
      <c r="G83" s="891"/>
      <c r="H83" s="891"/>
      <c r="I83" s="891"/>
      <c r="J83" s="891"/>
      <c r="K83" s="891"/>
      <c r="L83" s="891"/>
      <c r="M83" s="891"/>
      <c r="N83" s="891"/>
      <c r="O83" s="891"/>
      <c r="P83" s="891"/>
      <c r="Q83" s="891"/>
      <c r="R83" s="891"/>
      <c r="S83" s="891"/>
      <c r="T83" s="891"/>
      <c r="U83" s="891"/>
      <c r="V83" s="891"/>
      <c r="W83" s="891"/>
      <c r="X83" s="891"/>
      <c r="Y83" s="891"/>
      <c r="Z83" s="891"/>
      <c r="AA83" s="891"/>
      <c r="AB83" s="891"/>
      <c r="AC83" s="891"/>
      <c r="AD83" s="891"/>
      <c r="AE83" s="892"/>
      <c r="AF83" s="896"/>
    </row>
    <row r="84" spans="1:32" x14ac:dyDescent="0.25">
      <c r="A84" s="575" t="s">
        <v>31</v>
      </c>
      <c r="B84" s="577">
        <v>481149.75</v>
      </c>
      <c r="C84" s="576">
        <v>25534.93</v>
      </c>
      <c r="D84" s="576">
        <v>25534.93</v>
      </c>
      <c r="E84" s="576">
        <v>24923.39</v>
      </c>
      <c r="F84" s="577">
        <f>IFERROR(E84/B84%,0)</f>
        <v>5.1799652810793306</v>
      </c>
      <c r="G84" s="577">
        <v>97.61</v>
      </c>
      <c r="H84" s="576">
        <v>232</v>
      </c>
      <c r="I84" s="576">
        <v>232</v>
      </c>
      <c r="J84" s="576">
        <f>J85+J86+J87+J89</f>
        <v>0</v>
      </c>
      <c r="K84" s="576">
        <f>K85+K86+K87+K89</f>
        <v>0</v>
      </c>
      <c r="L84" s="576">
        <v>594.1</v>
      </c>
      <c r="M84" s="576">
        <v>594.1</v>
      </c>
      <c r="N84" s="576">
        <f>N85+N86+N87+N89</f>
        <v>0</v>
      </c>
      <c r="O84" s="576">
        <f>O85+O86+O87+O89</f>
        <v>0</v>
      </c>
      <c r="P84" s="576">
        <v>10525.51</v>
      </c>
      <c r="Q84" s="576">
        <v>9913.41</v>
      </c>
      <c r="R84" s="576">
        <v>4172.3100000000004</v>
      </c>
      <c r="S84" s="576">
        <v>4172.3100000000004</v>
      </c>
      <c r="T84" s="576">
        <v>278.97000000000003</v>
      </c>
      <c r="U84" s="576">
        <f>U85+U86+U87+U89</f>
        <v>0</v>
      </c>
      <c r="V84" s="576">
        <v>8986.2000000000007</v>
      </c>
      <c r="W84" s="576">
        <f>W85+W86+W87+W89</f>
        <v>0</v>
      </c>
      <c r="X84" s="576">
        <f>X85+X86+X87+X89</f>
        <v>0</v>
      </c>
      <c r="Y84" s="576">
        <f>Y85+Y86+Y87+Y89</f>
        <v>0</v>
      </c>
      <c r="Z84" s="576">
        <v>16000</v>
      </c>
      <c r="AA84" s="576">
        <f>AA85+AA86+AA87+AA89</f>
        <v>0</v>
      </c>
      <c r="AB84" s="576">
        <v>16129.8</v>
      </c>
      <c r="AC84" s="576">
        <f>AC85+AC86+AC87+AC89</f>
        <v>0</v>
      </c>
      <c r="AD84" s="576">
        <v>920.13</v>
      </c>
      <c r="AE84" s="576">
        <f>AE85+AE86+AE87+AE89</f>
        <v>0</v>
      </c>
      <c r="AF84" s="896"/>
    </row>
    <row r="85" spans="1:32" x14ac:dyDescent="0.25">
      <c r="A85" s="580" t="s">
        <v>169</v>
      </c>
      <c r="B85" s="582">
        <v>4870.8</v>
      </c>
      <c r="C85" s="581">
        <v>4375.68</v>
      </c>
      <c r="D85" s="581">
        <v>4375.68</v>
      </c>
      <c r="E85" s="581">
        <v>4375.68</v>
      </c>
      <c r="F85" s="582">
        <f>IFERROR(E85/B85%,0)</f>
        <v>89.834934712983497</v>
      </c>
      <c r="G85" s="582">
        <v>100</v>
      </c>
      <c r="H85" s="583">
        <v>0</v>
      </c>
      <c r="I85" s="583">
        <v>0</v>
      </c>
      <c r="J85" s="583">
        <v>0</v>
      </c>
      <c r="K85" s="583">
        <v>0</v>
      </c>
      <c r="L85" s="583">
        <v>0</v>
      </c>
      <c r="M85" s="583">
        <v>0</v>
      </c>
      <c r="N85" s="583">
        <v>0</v>
      </c>
      <c r="O85" s="583">
        <v>0</v>
      </c>
      <c r="P85" s="583">
        <v>3076.35</v>
      </c>
      <c r="Q85" s="583">
        <v>3076.35</v>
      </c>
      <c r="R85" s="583">
        <v>1299.33</v>
      </c>
      <c r="S85" s="583">
        <v>1299.33</v>
      </c>
      <c r="T85" s="583">
        <v>0</v>
      </c>
      <c r="U85" s="583">
        <v>0</v>
      </c>
      <c r="V85" s="583">
        <v>495.12</v>
      </c>
      <c r="W85" s="583">
        <v>0</v>
      </c>
      <c r="X85" s="583">
        <v>0</v>
      </c>
      <c r="Y85" s="583">
        <v>0</v>
      </c>
      <c r="Z85" s="583">
        <v>0</v>
      </c>
      <c r="AA85" s="583">
        <v>0</v>
      </c>
      <c r="AB85" s="583">
        <v>0</v>
      </c>
      <c r="AC85" s="583">
        <v>0</v>
      </c>
      <c r="AD85" s="583">
        <v>0</v>
      </c>
      <c r="AE85" s="583">
        <v>0</v>
      </c>
      <c r="AF85" s="896"/>
    </row>
    <row r="86" spans="1:32" x14ac:dyDescent="0.25">
      <c r="A86" s="580" t="s">
        <v>32</v>
      </c>
      <c r="B86" s="582">
        <v>17641.82</v>
      </c>
      <c r="C86" s="581">
        <v>11665.01</v>
      </c>
      <c r="D86" s="581">
        <v>11665.01</v>
      </c>
      <c r="E86" s="581">
        <v>11053.56</v>
      </c>
      <c r="F86" s="582">
        <v>89.83</v>
      </c>
      <c r="G86" s="582">
        <v>94.76</v>
      </c>
      <c r="H86" s="583">
        <v>0</v>
      </c>
      <c r="I86" s="583">
        <v>0</v>
      </c>
      <c r="J86" s="583">
        <v>0</v>
      </c>
      <c r="K86" s="583">
        <v>0</v>
      </c>
      <c r="L86" s="583">
        <v>0</v>
      </c>
      <c r="M86" s="583">
        <v>0</v>
      </c>
      <c r="N86" s="583">
        <v>0</v>
      </c>
      <c r="O86" s="583">
        <v>0</v>
      </c>
      <c r="P86" s="583">
        <v>4826.5</v>
      </c>
      <c r="Q86" s="583">
        <v>4826.5</v>
      </c>
      <c r="R86" s="583">
        <v>2038.52</v>
      </c>
      <c r="S86" s="583">
        <v>2038.52</v>
      </c>
      <c r="T86" s="583">
        <v>0</v>
      </c>
      <c r="U86" s="583">
        <v>0</v>
      </c>
      <c r="V86" s="583">
        <v>776.8</v>
      </c>
      <c r="W86" s="583">
        <v>0</v>
      </c>
      <c r="X86" s="583">
        <v>0</v>
      </c>
      <c r="Y86" s="583">
        <v>0</v>
      </c>
      <c r="Z86" s="583">
        <v>0</v>
      </c>
      <c r="AA86" s="583">
        <v>0</v>
      </c>
      <c r="AB86" s="583">
        <v>0</v>
      </c>
      <c r="AC86" s="583">
        <v>0</v>
      </c>
      <c r="AD86" s="583">
        <v>0</v>
      </c>
      <c r="AE86" s="583">
        <v>0</v>
      </c>
      <c r="AF86" s="896"/>
    </row>
    <row r="87" spans="1:32" x14ac:dyDescent="0.25">
      <c r="A87" s="580" t="s">
        <v>33</v>
      </c>
      <c r="B87" s="582">
        <v>70101.14</v>
      </c>
      <c r="C87" s="581">
        <v>9494.24</v>
      </c>
      <c r="D87" s="581">
        <v>9494.24</v>
      </c>
      <c r="E87" s="581">
        <v>9494.14</v>
      </c>
      <c r="F87" s="582">
        <f>IFERROR(E87/B87%,0)</f>
        <v>13.543488736417125</v>
      </c>
      <c r="G87" s="582">
        <v>100</v>
      </c>
      <c r="H87" s="583">
        <v>232</v>
      </c>
      <c r="I87" s="583">
        <v>232</v>
      </c>
      <c r="J87" s="583">
        <v>0</v>
      </c>
      <c r="K87" s="583">
        <v>0</v>
      </c>
      <c r="L87" s="583">
        <v>594.1</v>
      </c>
      <c r="M87" s="583">
        <v>594.1</v>
      </c>
      <c r="N87" s="583">
        <v>0</v>
      </c>
      <c r="O87" s="583">
        <v>0</v>
      </c>
      <c r="P87" s="583">
        <v>2622.66</v>
      </c>
      <c r="Q87" s="576">
        <v>2010.55</v>
      </c>
      <c r="R87" s="583">
        <v>834.46</v>
      </c>
      <c r="S87" s="583">
        <v>834.46</v>
      </c>
      <c r="T87" s="583">
        <v>278.97000000000003</v>
      </c>
      <c r="U87" s="583">
        <v>0</v>
      </c>
      <c r="V87" s="583">
        <v>7714.29</v>
      </c>
      <c r="W87" s="583">
        <v>0</v>
      </c>
      <c r="X87" s="583">
        <v>0</v>
      </c>
      <c r="Y87" s="583">
        <v>0</v>
      </c>
      <c r="Z87" s="583">
        <v>16000</v>
      </c>
      <c r="AA87" s="583">
        <v>0</v>
      </c>
      <c r="AB87" s="583">
        <v>593.79999999999995</v>
      </c>
      <c r="AC87" s="583">
        <v>0</v>
      </c>
      <c r="AD87" s="583">
        <v>920.13</v>
      </c>
      <c r="AE87" s="583">
        <v>0</v>
      </c>
      <c r="AF87" s="896"/>
    </row>
    <row r="88" spans="1:32" ht="31.5" x14ac:dyDescent="0.25">
      <c r="A88" s="584" t="s">
        <v>174</v>
      </c>
      <c r="B88" s="582">
        <v>4628.1499999999996</v>
      </c>
      <c r="C88" s="581">
        <v>4310.17</v>
      </c>
      <c r="D88" s="581">
        <v>2810.17</v>
      </c>
      <c r="E88" s="581">
        <v>2810.17</v>
      </c>
      <c r="F88" s="582">
        <v>89.83</v>
      </c>
      <c r="G88" s="582">
        <v>100</v>
      </c>
      <c r="H88" s="583">
        <v>0</v>
      </c>
      <c r="I88" s="583">
        <v>0</v>
      </c>
      <c r="J88" s="583">
        <v>0</v>
      </c>
      <c r="K88" s="583">
        <v>0</v>
      </c>
      <c r="L88" s="583">
        <v>0</v>
      </c>
      <c r="M88" s="583">
        <v>0</v>
      </c>
      <c r="N88" s="583">
        <v>0</v>
      </c>
      <c r="O88" s="583">
        <v>0</v>
      </c>
      <c r="P88" s="583">
        <v>1975.71</v>
      </c>
      <c r="Q88" s="583">
        <v>1975.71</v>
      </c>
      <c r="R88" s="583">
        <v>834.46</v>
      </c>
      <c r="S88" s="583">
        <v>834.46</v>
      </c>
      <c r="T88" s="583">
        <v>0</v>
      </c>
      <c r="U88" s="583">
        <v>0</v>
      </c>
      <c r="V88" s="583">
        <v>317.98</v>
      </c>
      <c r="W88" s="583">
        <v>0</v>
      </c>
      <c r="X88" s="583">
        <v>0</v>
      </c>
      <c r="Y88" s="583">
        <v>0</v>
      </c>
      <c r="Z88" s="583">
        <v>0</v>
      </c>
      <c r="AA88" s="583">
        <v>0</v>
      </c>
      <c r="AB88" s="583">
        <v>0</v>
      </c>
      <c r="AC88" s="583">
        <v>0</v>
      </c>
      <c r="AD88" s="583">
        <v>0</v>
      </c>
      <c r="AE88" s="583">
        <v>0</v>
      </c>
      <c r="AF88" s="896"/>
    </row>
    <row r="89" spans="1:32" x14ac:dyDescent="0.25">
      <c r="A89" s="580" t="s">
        <v>374</v>
      </c>
      <c r="B89" s="582">
        <v>388536</v>
      </c>
      <c r="C89" s="581">
        <f>H89</f>
        <v>0</v>
      </c>
      <c r="D89" s="581">
        <f>E89</f>
        <v>0</v>
      </c>
      <c r="E89" s="581">
        <f>I89+K89+M89+O89+Q89+S89+U89+W89+Y89+AA89+AC89+AE89</f>
        <v>0</v>
      </c>
      <c r="F89" s="582">
        <f>IFERROR(E89/B89%,0)</f>
        <v>0</v>
      </c>
      <c r="G89" s="582">
        <f>IFERROR(E89/C89%,0)</f>
        <v>0</v>
      </c>
      <c r="H89" s="583">
        <v>0</v>
      </c>
      <c r="I89" s="583">
        <v>0</v>
      </c>
      <c r="J89" s="583">
        <v>0</v>
      </c>
      <c r="K89" s="583">
        <v>0</v>
      </c>
      <c r="L89" s="583">
        <v>0</v>
      </c>
      <c r="M89" s="583">
        <v>0</v>
      </c>
      <c r="N89" s="583">
        <v>0</v>
      </c>
      <c r="O89" s="583">
        <v>0</v>
      </c>
      <c r="P89" s="583">
        <v>0</v>
      </c>
      <c r="Q89" s="583">
        <v>0</v>
      </c>
      <c r="R89" s="583">
        <v>0</v>
      </c>
      <c r="S89" s="583">
        <v>0</v>
      </c>
      <c r="T89" s="583">
        <v>0</v>
      </c>
      <c r="U89" s="583">
        <v>0</v>
      </c>
      <c r="V89" s="583">
        <v>0</v>
      </c>
      <c r="W89" s="583">
        <v>0</v>
      </c>
      <c r="X89" s="583">
        <v>0</v>
      </c>
      <c r="Y89" s="583">
        <v>0</v>
      </c>
      <c r="Z89" s="583">
        <v>0</v>
      </c>
      <c r="AA89" s="583">
        <v>0</v>
      </c>
      <c r="AB89" s="583">
        <v>15536</v>
      </c>
      <c r="AC89" s="583">
        <v>0</v>
      </c>
      <c r="AD89" s="583">
        <v>0</v>
      </c>
      <c r="AE89" s="583">
        <v>0</v>
      </c>
      <c r="AF89" s="896"/>
    </row>
  </sheetData>
  <customSheetViews>
    <customSheetView guid="{7C130984-112A-4861-AA43-E2940708E3DC}" scale="77" state="hidden">
      <pane xSplit="1" ySplit="4" topLeftCell="M74" activePane="bottomRight" state="frozen"/>
      <selection pane="bottomRight" activeCell="B22" sqref="B22"/>
      <pageMargins left="0.7" right="0.7" top="0.75" bottom="0.75" header="0.3" footer="0.3"/>
      <pageSetup paperSize="9" orientation="portrait" r:id="rId1"/>
    </customSheetView>
    <customSheetView guid="{3C3F523F-5F34-4CF7-831E-F1ABC4278CEB}" scale="77">
      <pane xSplit="1" ySplit="4" topLeftCell="M74" activePane="bottomRight" state="frozen"/>
      <selection pane="bottomRight" activeCell="B22" sqref="B22"/>
      <pageMargins left="0.7" right="0.7" top="0.75" bottom="0.75" header="0.3" footer="0.3"/>
      <pageSetup paperSize="9" orientation="portrait" r:id="rId2"/>
    </customSheetView>
    <customSheetView guid="{D01FA037-9AEC-4167-ADB8-2F327C01ECE6}" scale="77">
      <pane xSplit="1" ySplit="4" topLeftCell="M74" activePane="bottomRight" state="frozen"/>
      <selection pane="bottomRight" activeCell="B22" sqref="B22"/>
      <pageMargins left="0.7" right="0.7" top="0.75" bottom="0.75" header="0.3" footer="0.3"/>
      <pageSetup paperSize="9" orientation="portrait" r:id="rId3"/>
    </customSheetView>
    <customSheetView guid="{602C8EDB-B9EF-4C85-B0D5-0558C3A0ABAB}" scale="77">
      <pane xSplit="1" ySplit="4" topLeftCell="M74" activePane="bottomRight" state="frozen"/>
      <selection pane="bottomRight" activeCell="B22" sqref="B22"/>
      <pageMargins left="0.7" right="0.7" top="0.75" bottom="0.75" header="0.3" footer="0.3"/>
      <pageSetup paperSize="9" orientation="portrait" r:id="rId4"/>
    </customSheetView>
    <customSheetView guid="{69DABE6F-6182-4403-A4A2-969F10F1C13A}" scale="77">
      <pane xSplit="1" ySplit="4" topLeftCell="Q5" activePane="bottomRight" state="frozen"/>
      <selection pane="bottomRight" activeCell="AF20" sqref="AF20:AF26"/>
      <pageMargins left="0.7" right="0.7" top="0.75" bottom="0.75" header="0.3" footer="0.3"/>
      <pageSetup paperSize="9" orientation="portrait" r:id="rId5"/>
    </customSheetView>
    <customSheetView guid="{E508E171-4ED9-4B07-84DF-DA28C60E1969}" scale="77">
      <pane xSplit="1" ySplit="4" topLeftCell="Q5" activePane="bottomRight" state="frozen"/>
      <selection pane="bottomRight" activeCell="AF20" sqref="AF20:AF26"/>
      <pageMargins left="0.7" right="0.7" top="0.75" bottom="0.75" header="0.3" footer="0.3"/>
      <pageSetup paperSize="9" orientation="portrait" r:id="rId6"/>
    </customSheetView>
    <customSheetView guid="{AC2D5927-4079-4C74-AF69-1BFAC505648F}" scale="77">
      <pane xSplit="1" ySplit="4" topLeftCell="I26" activePane="bottomRight" state="frozen"/>
      <selection pane="bottomRight" activeCell="AF28" sqref="AF28"/>
      <pageMargins left="0.7" right="0.7" top="0.75" bottom="0.75" header="0.3" footer="0.3"/>
      <pageSetup paperSize="9" orientation="portrait" r:id="rId7"/>
    </customSheetView>
    <customSheetView guid="{442F2C94-DD1B-4A01-8694-513D4D6F3BD9}" scale="77">
      <pane xSplit="1" ySplit="4" topLeftCell="B5" activePane="bottomRight" state="frozen"/>
      <selection pane="bottomRight" activeCell="R83" sqref="R83"/>
      <pageMargins left="0.7" right="0.7" top="0.75" bottom="0.75" header="0.3" footer="0.3"/>
      <pageSetup paperSize="9" orientation="portrait" r:id="rId8"/>
    </customSheetView>
    <customSheetView guid="{CE1CCA00-200D-4EAA-9FBE-F8EE7C5F82FE}" scale="70">
      <pane xSplit="1" ySplit="4" topLeftCell="B5" activePane="bottomRight" state="frozen"/>
      <selection pane="bottomRight" activeCell="F31" sqref="F31"/>
      <pageMargins left="0.7" right="0.7" top="0.75" bottom="0.75" header="0.3" footer="0.3"/>
      <pageSetup paperSize="9" orientation="portrait" r:id="rId9"/>
    </customSheetView>
    <customSheetView guid="{4D0DFB57-2CBA-42F2-9A97-C453A6851FBA}" scale="80">
      <pane xSplit="1" ySplit="4" topLeftCell="G29" activePane="bottomRight" state="frozen"/>
      <selection pane="bottomRight" activeCell="Z46" sqref="Z46"/>
      <pageMargins left="0.7" right="0.7" top="0.75" bottom="0.75" header="0.3" footer="0.3"/>
      <pageSetup paperSize="9" orientation="portrait" r:id="rId10"/>
    </customSheetView>
    <customSheetView guid="{85F4575B-DBC5-482A-9916-255D8F0BC94E}" scale="80">
      <pane xSplit="1" ySplit="4" topLeftCell="B38" activePane="bottomRight" state="frozen"/>
      <selection pane="bottomRight" activeCell="D40" sqref="D40"/>
      <pageMargins left="0.7" right="0.7" top="0.75" bottom="0.75" header="0.3" footer="0.3"/>
      <pageSetup paperSize="9" orientation="portrait" r:id="rId11"/>
    </customSheetView>
    <customSheetView guid="{B1BF08D1-D416-4B47-ADD0-4F59132DC9E8}" scale="80">
      <pane xSplit="1" ySplit="4" topLeftCell="B35" activePane="bottomRight" state="frozen"/>
      <selection pane="bottomRight" activeCell="F40" sqref="F40"/>
      <pageMargins left="0.7" right="0.7" top="0.75" bottom="0.75" header="0.3" footer="0.3"/>
      <pageSetup paperSize="9" orientation="portrait" r:id="rId12"/>
    </customSheetView>
    <customSheetView guid="{BCD82A82-B724-4763-8580-D765356E09BA}" scale="70">
      <selection sqref="A1:Y1"/>
      <pageMargins left="0.7" right="0.7" top="0.75" bottom="0.75" header="0.3" footer="0.3"/>
    </customSheetView>
    <customSheetView guid="{C236B307-BD63-48C4-A75F-B3F3717BF55C}" topLeftCell="A34">
      <selection activeCell="A38" sqref="A38"/>
      <pageMargins left="0.7" right="0.7" top="0.75" bottom="0.75" header="0.3" footer="0.3"/>
    </customSheetView>
    <customSheetView guid="{874882D1-E741-4CCA-BF0D-E72FA60B771D}" topLeftCell="A10">
      <selection activeCell="A38" sqref="A38"/>
      <pageMargins left="0.7" right="0.7" top="0.75" bottom="0.75" header="0.3" footer="0.3"/>
    </customSheetView>
    <customSheetView guid="{B82BA08A-1A30-4F4D-A478-74A6BD09EA97}" topLeftCell="A34">
      <selection activeCell="A38" sqref="A38"/>
      <pageMargins left="0.7" right="0.7" top="0.75" bottom="0.75" header="0.3" footer="0.3"/>
    </customSheetView>
    <customSheetView guid="{770624BF-07F3-44B6-94C3-4CC447CDD45C}" scale="80">
      <pane xSplit="1" ySplit="4" topLeftCell="B35" activePane="bottomRight" state="frozen"/>
      <selection pane="bottomRight" activeCell="F40" sqref="F40"/>
      <pageMargins left="0.7" right="0.7" top="0.75" bottom="0.75" header="0.3" footer="0.3"/>
      <pageSetup paperSize="9" orientation="portrait" r:id="rId13"/>
    </customSheetView>
    <customSheetView guid="{009B3074-D8EC-4952-BF50-43CD64449612}" scale="80">
      <pane xSplit="1" ySplit="4" topLeftCell="B35" activePane="bottomRight" state="frozen"/>
      <selection pane="bottomRight" activeCell="F40" sqref="F40"/>
      <pageMargins left="0.7" right="0.7" top="0.75" bottom="0.75" header="0.3" footer="0.3"/>
      <pageSetup paperSize="9" orientation="portrait" r:id="rId14"/>
    </customSheetView>
    <customSheetView guid="{F679EF4A-C5FD-4B86-B87B-D85968E0F2CA}" scale="80">
      <pane xSplit="1" ySplit="4" topLeftCell="B35" activePane="bottomRight" state="frozen"/>
      <selection pane="bottomRight" activeCell="F40" sqref="F40"/>
      <pageMargins left="0.7" right="0.7" top="0.75" bottom="0.75" header="0.3" footer="0.3"/>
      <pageSetup paperSize="9" orientation="portrait" r:id="rId15"/>
    </customSheetView>
    <customSheetView guid="{959E901C-5DDE-42EE-AE94-AB8976B5E00B}" scale="80">
      <pane xSplit="1" ySplit="4" topLeftCell="B35" activePane="bottomRight" state="frozen"/>
      <selection pane="bottomRight" activeCell="F40" sqref="F40"/>
      <pageMargins left="0.7" right="0.7" top="0.75" bottom="0.75" header="0.3" footer="0.3"/>
      <pageSetup paperSize="9" orientation="portrait" r:id="rId16"/>
    </customSheetView>
    <customSheetView guid="{533DC55B-6AD4-4674-9488-685EF2039F3E}" scale="80">
      <pane xSplit="1" ySplit="4" topLeftCell="B5" activePane="bottomRight" state="frozen"/>
      <selection pane="bottomRight" activeCell="F54" sqref="F54"/>
      <pageMargins left="0.7" right="0.7" top="0.75" bottom="0.75" header="0.3" footer="0.3"/>
      <pageSetup paperSize="9" orientation="portrait" r:id="rId17"/>
    </customSheetView>
    <customSheetView guid="{87218168-6C8E-4D5B-A5E5-DCCC26803AA3}" scale="80">
      <pane xSplit="1" ySplit="4" topLeftCell="B5" activePane="bottomRight" state="frozen"/>
      <selection pane="bottomRight" activeCell="F54" sqref="F54"/>
      <pageMargins left="0.7" right="0.7" top="0.75" bottom="0.75" header="0.3" footer="0.3"/>
      <pageSetup paperSize="9" orientation="portrait" r:id="rId18"/>
    </customSheetView>
    <customSheetView guid="{DAA8A688-7558-4B5B-8DBD-E2629BD9E9A8}" scale="77">
      <pane xSplit="1" ySplit="4" topLeftCell="B5" activePane="bottomRight" state="frozen"/>
      <selection pane="bottomRight" activeCell="R83" sqref="R83"/>
      <pageMargins left="0.7" right="0.7" top="0.75" bottom="0.75" header="0.3" footer="0.3"/>
      <pageSetup paperSize="9" orientation="portrait" r:id="rId19"/>
    </customSheetView>
    <customSheetView guid="{391AB76E-B386-49C1-800F-016A48AA1A46}" scale="77">
      <pane xSplit="1" ySplit="4" topLeftCell="O5" activePane="bottomRight" state="frozen"/>
      <selection pane="bottomRight" activeCell="AC27" sqref="AC27"/>
      <pageMargins left="0.7" right="0.7" top="0.75" bottom="0.75" header="0.3" footer="0.3"/>
      <pageSetup paperSize="9" orientation="portrait" r:id="rId20"/>
    </customSheetView>
    <customSheetView guid="{09C3E205-981E-4A4E-BE89-8B7044192060}" scale="77">
      <pane xSplit="1" ySplit="4" topLeftCell="AC5" activePane="bottomRight" state="frozen"/>
      <selection pane="bottomRight" activeCell="AF27" sqref="AF27"/>
      <pageMargins left="0.7" right="0.7" top="0.75" bottom="0.75" header="0.3" footer="0.3"/>
      <pageSetup paperSize="9" orientation="portrait" r:id="rId21"/>
    </customSheetView>
    <customSheetView guid="{84867370-1F3E-4368-AF79-FBCE46FFFE92}" scale="77">
      <pane xSplit="1" ySplit="4" topLeftCell="AC5" activePane="bottomRight" state="frozen"/>
      <selection pane="bottomRight" activeCell="AF27" sqref="AF27"/>
      <pageMargins left="0.7" right="0.7" top="0.75" bottom="0.75" header="0.3" footer="0.3"/>
      <pageSetup paperSize="9" orientation="portrait" r:id="rId22"/>
    </customSheetView>
    <customSheetView guid="{0C2B9C2A-7B94-41EF-A2E6-F8AC9A67DE25}" scale="77">
      <pane xSplit="1" ySplit="4" topLeftCell="AC5" activePane="bottomRight" state="frozen"/>
      <selection pane="bottomRight" activeCell="AF27" sqref="AF27"/>
      <pageMargins left="0.7" right="0.7" top="0.75" bottom="0.75" header="0.3" footer="0.3"/>
      <pageSetup paperSize="9" orientation="portrait" r:id="rId23"/>
    </customSheetView>
    <customSheetView guid="{CB4792DB-A624-4844-AEB6-A6ADA80946BB}" scale="77">
      <pane xSplit="1" ySplit="4" topLeftCell="AC5" activePane="bottomRight" state="frozen"/>
      <selection pane="bottomRight" activeCell="AF27" sqref="AF27"/>
      <pageMargins left="0.7" right="0.7" top="0.75" bottom="0.75" header="0.3" footer="0.3"/>
      <pageSetup paperSize="9" orientation="portrait" r:id="rId24"/>
    </customSheetView>
    <customSheetView guid="{74870EE6-26B9-40F7-9DC9-260EF16D8959}" scale="77">
      <pane xSplit="1" ySplit="4" topLeftCell="AC5" activePane="bottomRight" state="frozen"/>
      <selection pane="bottomRight" activeCell="AF27" sqref="AF27"/>
      <pageMargins left="0.7" right="0.7" top="0.75" bottom="0.75" header="0.3" footer="0.3"/>
      <pageSetup paperSize="9" orientation="portrait" r:id="rId25"/>
    </customSheetView>
    <customSheetView guid="{6A602CB8-B24C-4ED4-B378-B27354BE0A1A}" scale="77">
      <pane xSplit="1" ySplit="4" topLeftCell="Q5" activePane="bottomRight" state="frozen"/>
      <selection pane="bottomRight" activeCell="AF20" sqref="AF20:AF26"/>
      <pageMargins left="0.7" right="0.7" top="0.75" bottom="0.75" header="0.3" footer="0.3"/>
      <pageSetup paperSize="9" orientation="portrait" r:id="rId26"/>
    </customSheetView>
    <customSheetView guid="{4F41B9CC-959D-442C-80B0-1F0DB2C76D27}" scale="77">
      <pane xSplit="1" ySplit="3" topLeftCell="M74" activePane="bottomRight" state="frozen"/>
      <selection pane="bottomRight" activeCell="B22" sqref="B22"/>
      <pageMargins left="0.7" right="0.7" top="0.75" bottom="0.75" header="0.3" footer="0.3"/>
      <pageSetup paperSize="9" orientation="portrait" r:id="rId27"/>
    </customSheetView>
    <customSheetView guid="{47B983AB-FE5F-4725-860C-A2F29420596D}" scale="77">
      <pane xSplit="1" ySplit="4" topLeftCell="M74" activePane="bottomRight" state="frozen"/>
      <selection pane="bottomRight" activeCell="B22" sqref="B22"/>
      <pageMargins left="0.7" right="0.7" top="0.75" bottom="0.75" header="0.3" footer="0.3"/>
      <pageSetup paperSize="9" orientation="portrait" r:id="rId28"/>
    </customSheetView>
  </customSheetViews>
  <mergeCells count="53">
    <mergeCell ref="W3:W4"/>
    <mergeCell ref="Z2:AA2"/>
    <mergeCell ref="A1:Y1"/>
    <mergeCell ref="A2:A4"/>
    <mergeCell ref="B2:B4"/>
    <mergeCell ref="C2:C4"/>
    <mergeCell ref="D2:D4"/>
    <mergeCell ref="E2:E4"/>
    <mergeCell ref="F2:G2"/>
    <mergeCell ref="H2:I2"/>
    <mergeCell ref="J2:K2"/>
    <mergeCell ref="L2:M2"/>
    <mergeCell ref="AB2:AC2"/>
    <mergeCell ref="AD2:AE2"/>
    <mergeCell ref="AD3:AD4"/>
    <mergeCell ref="AE3:AE4"/>
    <mergeCell ref="A6:AE6"/>
    <mergeCell ref="F3:F4"/>
    <mergeCell ref="G3:G4"/>
    <mergeCell ref="N3:N4"/>
    <mergeCell ref="O3:O4"/>
    <mergeCell ref="P3:P4"/>
    <mergeCell ref="Q3:Q4"/>
    <mergeCell ref="N2:O2"/>
    <mergeCell ref="P2:Q2"/>
    <mergeCell ref="R2:S2"/>
    <mergeCell ref="T2:U2"/>
    <mergeCell ref="V2:W2"/>
    <mergeCell ref="AF6:AF12"/>
    <mergeCell ref="A13:AE13"/>
    <mergeCell ref="AF13:AF19"/>
    <mergeCell ref="X3:X4"/>
    <mergeCell ref="Y3:Y4"/>
    <mergeCell ref="Z3:Z4"/>
    <mergeCell ref="AA3:AA4"/>
    <mergeCell ref="AB3:AB4"/>
    <mergeCell ref="AC3:AC4"/>
    <mergeCell ref="R3:R4"/>
    <mergeCell ref="S3:S4"/>
    <mergeCell ref="T3:T4"/>
    <mergeCell ref="U3:U4"/>
    <mergeCell ref="AF2:AF4"/>
    <mergeCell ref="X2:Y2"/>
    <mergeCell ref="V3:V4"/>
    <mergeCell ref="AF56:AF63"/>
    <mergeCell ref="AF65:AF69"/>
    <mergeCell ref="AF71:AF75"/>
    <mergeCell ref="A20:AE20"/>
    <mergeCell ref="AF20:AF26"/>
    <mergeCell ref="A41:AE41"/>
    <mergeCell ref="A42:AE42"/>
    <mergeCell ref="AF42:AF48"/>
    <mergeCell ref="A49:AE49"/>
  </mergeCells>
  <hyperlinks>
    <hyperlink ref="A1:Y1" location="Оглавление!A1" display="Отчет о ходе реализации (сетевой график) муниципальной программы &quot;Формирование комфортной городской среды в городе Когалыме&quot; "/>
  </hyperlinks>
  <pageMargins left="0.7" right="0.7" top="0.75" bottom="0.75" header="0.3" footer="0.3"/>
  <pageSetup paperSize="9" orientation="portrait" r:id="rId2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6"/>
  <sheetViews>
    <sheetView zoomScale="80" zoomScaleNormal="80" workbookViewId="0">
      <pane xSplit="7" ySplit="7" topLeftCell="H95" activePane="bottomRight" state="frozen"/>
      <selection pane="topRight" activeCell="H1" sqref="H1"/>
      <selection pane="bottomLeft" activeCell="A8" sqref="A8"/>
      <selection pane="bottomRight" activeCell="A6" sqref="A6:AE6"/>
    </sheetView>
  </sheetViews>
  <sheetFormatPr defaultColWidth="9.140625" defaultRowHeight="15" x14ac:dyDescent="0.25"/>
  <cols>
    <col min="1" max="1" width="44.42578125" style="370" customWidth="1"/>
    <col min="2" max="7" width="13.28515625" style="370" customWidth="1"/>
    <col min="8" max="17" width="10.7109375" style="370" customWidth="1"/>
    <col min="18" max="18" width="13.7109375" style="370" customWidth="1"/>
    <col min="19" max="25" width="10.7109375" style="370" customWidth="1"/>
    <col min="26" max="26" width="12.7109375" style="370" customWidth="1"/>
    <col min="27" max="27" width="12.28515625" style="370" customWidth="1"/>
    <col min="28" max="28" width="13" style="370" customWidth="1"/>
    <col min="29" max="31" width="10.7109375" style="370" customWidth="1"/>
    <col min="32" max="32" width="64.5703125" style="370" customWidth="1"/>
    <col min="33" max="33" width="12.42578125" style="370" customWidth="1"/>
    <col min="34" max="16384" width="9.140625" style="370"/>
  </cols>
  <sheetData>
    <row r="1" spans="1:32" ht="18.75" x14ac:dyDescent="0.25">
      <c r="A1" s="1205" t="s">
        <v>427</v>
      </c>
      <c r="B1" s="1205"/>
      <c r="C1" s="1205"/>
      <c r="D1" s="1205"/>
      <c r="E1" s="1205"/>
      <c r="F1" s="1205"/>
      <c r="G1" s="1205"/>
      <c r="H1" s="1205"/>
      <c r="I1" s="1205"/>
      <c r="J1" s="1205"/>
      <c r="K1" s="1205"/>
      <c r="L1" s="1205"/>
      <c r="M1" s="1205"/>
      <c r="N1" s="1205"/>
      <c r="O1" s="1205"/>
      <c r="P1" s="1205"/>
      <c r="Q1" s="1205"/>
      <c r="R1" s="1205"/>
      <c r="S1" s="1205"/>
      <c r="T1" s="1205"/>
      <c r="U1" s="1205"/>
      <c r="V1" s="1205"/>
      <c r="W1" s="1205"/>
      <c r="X1" s="368"/>
      <c r="Y1" s="368"/>
      <c r="Z1" s="368"/>
      <c r="AA1" s="368"/>
      <c r="AB1" s="368"/>
      <c r="AC1" s="368"/>
      <c r="AD1" s="368"/>
      <c r="AE1" s="369"/>
      <c r="AF1" s="369"/>
    </row>
    <row r="2" spans="1:32" ht="15.75" x14ac:dyDescent="0.25">
      <c r="A2" s="369"/>
      <c r="B2" s="369"/>
      <c r="C2" s="371"/>
      <c r="D2" s="371"/>
      <c r="E2" s="371"/>
      <c r="F2" s="371"/>
      <c r="G2" s="371"/>
      <c r="H2" s="372"/>
      <c r="I2" s="369"/>
      <c r="J2" s="369"/>
      <c r="K2" s="369"/>
      <c r="L2" s="369"/>
      <c r="M2" s="369"/>
      <c r="N2" s="369"/>
      <c r="O2" s="369"/>
      <c r="P2" s="369"/>
      <c r="Q2" s="369"/>
      <c r="R2" s="369"/>
      <c r="S2" s="369"/>
      <c r="T2" s="369"/>
      <c r="U2" s="369"/>
      <c r="V2" s="369"/>
      <c r="W2" s="369"/>
      <c r="X2" s="369"/>
      <c r="Y2" s="369"/>
      <c r="Z2" s="369"/>
      <c r="AA2" s="369"/>
      <c r="AB2" s="369"/>
      <c r="AC2" s="369"/>
      <c r="AD2" s="369"/>
      <c r="AE2" s="369"/>
      <c r="AF2" s="369"/>
    </row>
    <row r="3" spans="1:32" ht="15.75" x14ac:dyDescent="0.25">
      <c r="A3" s="1217" t="s">
        <v>428</v>
      </c>
      <c r="B3" s="1218" t="s">
        <v>384</v>
      </c>
      <c r="C3" s="1220" t="s">
        <v>602</v>
      </c>
      <c r="D3" s="1220" t="s">
        <v>603</v>
      </c>
      <c r="E3" s="1220" t="s">
        <v>604</v>
      </c>
      <c r="F3" s="1222" t="s">
        <v>385</v>
      </c>
      <c r="G3" s="1223"/>
      <c r="H3" s="1210" t="s">
        <v>7</v>
      </c>
      <c r="I3" s="1211"/>
      <c r="J3" s="1210" t="s">
        <v>8</v>
      </c>
      <c r="K3" s="1211"/>
      <c r="L3" s="1210" t="s">
        <v>9</v>
      </c>
      <c r="M3" s="1211"/>
      <c r="N3" s="1210" t="s">
        <v>10</v>
      </c>
      <c r="O3" s="1211"/>
      <c r="P3" s="1210" t="s">
        <v>11</v>
      </c>
      <c r="Q3" s="1211"/>
      <c r="R3" s="1210" t="s">
        <v>12</v>
      </c>
      <c r="S3" s="1211"/>
      <c r="T3" s="1210" t="s">
        <v>13</v>
      </c>
      <c r="U3" s="1211"/>
      <c r="V3" s="1210" t="s">
        <v>14</v>
      </c>
      <c r="W3" s="1211"/>
      <c r="X3" s="1210" t="s">
        <v>15</v>
      </c>
      <c r="Y3" s="1211"/>
      <c r="Z3" s="1210" t="s">
        <v>16</v>
      </c>
      <c r="AA3" s="1211"/>
      <c r="AB3" s="1210" t="s">
        <v>17</v>
      </c>
      <c r="AC3" s="1211"/>
      <c r="AD3" s="1212" t="s">
        <v>18</v>
      </c>
      <c r="AE3" s="1212"/>
      <c r="AF3" s="1213" t="s">
        <v>19</v>
      </c>
    </row>
    <row r="4" spans="1:32" ht="47.25" x14ac:dyDescent="0.25">
      <c r="A4" s="1217"/>
      <c r="B4" s="1219"/>
      <c r="C4" s="1221"/>
      <c r="D4" s="1221"/>
      <c r="E4" s="1221"/>
      <c r="F4" s="374" t="s">
        <v>386</v>
      </c>
      <c r="G4" s="374" t="s">
        <v>21</v>
      </c>
      <c r="H4" s="375" t="s">
        <v>165</v>
      </c>
      <c r="I4" s="375" t="s">
        <v>429</v>
      </c>
      <c r="J4" s="375" t="s">
        <v>165</v>
      </c>
      <c r="K4" s="376" t="s">
        <v>429</v>
      </c>
      <c r="L4" s="375" t="s">
        <v>165</v>
      </c>
      <c r="M4" s="375" t="s">
        <v>429</v>
      </c>
      <c r="N4" s="375" t="s">
        <v>165</v>
      </c>
      <c r="O4" s="375" t="s">
        <v>429</v>
      </c>
      <c r="P4" s="375" t="s">
        <v>165</v>
      </c>
      <c r="Q4" s="375" t="s">
        <v>429</v>
      </c>
      <c r="R4" s="375" t="s">
        <v>165</v>
      </c>
      <c r="S4" s="375" t="s">
        <v>429</v>
      </c>
      <c r="T4" s="375" t="s">
        <v>165</v>
      </c>
      <c r="U4" s="375" t="s">
        <v>429</v>
      </c>
      <c r="V4" s="375" t="s">
        <v>165</v>
      </c>
      <c r="W4" s="375" t="s">
        <v>429</v>
      </c>
      <c r="X4" s="375" t="s">
        <v>165</v>
      </c>
      <c r="Y4" s="375" t="s">
        <v>429</v>
      </c>
      <c r="Z4" s="375" t="s">
        <v>165</v>
      </c>
      <c r="AA4" s="375" t="s">
        <v>429</v>
      </c>
      <c r="AB4" s="375" t="s">
        <v>165</v>
      </c>
      <c r="AC4" s="375" t="s">
        <v>429</v>
      </c>
      <c r="AD4" s="375" t="s">
        <v>165</v>
      </c>
      <c r="AE4" s="375" t="s">
        <v>429</v>
      </c>
      <c r="AF4" s="1213"/>
    </row>
    <row r="5" spans="1:32" ht="15.75" x14ac:dyDescent="0.25">
      <c r="A5" s="375">
        <v>1</v>
      </c>
      <c r="B5" s="377">
        <v>2</v>
      </c>
      <c r="C5" s="378">
        <v>3</v>
      </c>
      <c r="D5" s="378">
        <v>4</v>
      </c>
      <c r="E5" s="378">
        <v>5</v>
      </c>
      <c r="F5" s="376">
        <v>6</v>
      </c>
      <c r="G5" s="376">
        <v>7</v>
      </c>
      <c r="H5" s="375">
        <v>8</v>
      </c>
      <c r="I5" s="375">
        <v>9</v>
      </c>
      <c r="J5" s="375">
        <v>10</v>
      </c>
      <c r="K5" s="375">
        <v>11</v>
      </c>
      <c r="L5" s="375">
        <v>12</v>
      </c>
      <c r="M5" s="375">
        <v>13</v>
      </c>
      <c r="N5" s="375">
        <v>14</v>
      </c>
      <c r="O5" s="375">
        <v>15</v>
      </c>
      <c r="P5" s="375">
        <v>16</v>
      </c>
      <c r="Q5" s="375">
        <v>17</v>
      </c>
      <c r="R5" s="375">
        <v>18</v>
      </c>
      <c r="S5" s="375">
        <v>19</v>
      </c>
      <c r="T5" s="375">
        <v>20</v>
      </c>
      <c r="U5" s="375">
        <v>21</v>
      </c>
      <c r="V5" s="375">
        <v>22</v>
      </c>
      <c r="W5" s="375">
        <v>23</v>
      </c>
      <c r="X5" s="375">
        <v>24</v>
      </c>
      <c r="Y5" s="375">
        <v>25</v>
      </c>
      <c r="Z5" s="375">
        <v>26</v>
      </c>
      <c r="AA5" s="375">
        <v>27</v>
      </c>
      <c r="AB5" s="375">
        <v>28</v>
      </c>
      <c r="AC5" s="375">
        <v>29</v>
      </c>
      <c r="AD5" s="375">
        <v>30</v>
      </c>
      <c r="AE5" s="375">
        <v>31</v>
      </c>
      <c r="AF5" s="373">
        <v>32</v>
      </c>
    </row>
    <row r="6" spans="1:32" ht="15.75" x14ac:dyDescent="0.25">
      <c r="A6" s="1214" t="s">
        <v>54</v>
      </c>
      <c r="B6" s="1215"/>
      <c r="C6" s="1215"/>
      <c r="D6" s="1215"/>
      <c r="E6" s="1215"/>
      <c r="F6" s="1215"/>
      <c r="G6" s="1215"/>
      <c r="H6" s="1215"/>
      <c r="I6" s="1215"/>
      <c r="J6" s="1215"/>
      <c r="K6" s="1215"/>
      <c r="L6" s="1215"/>
      <c r="M6" s="1215"/>
      <c r="N6" s="1215"/>
      <c r="O6" s="1215"/>
      <c r="P6" s="1215"/>
      <c r="Q6" s="1215"/>
      <c r="R6" s="1215"/>
      <c r="S6" s="1215"/>
      <c r="T6" s="1215"/>
      <c r="U6" s="1215"/>
      <c r="V6" s="1215"/>
      <c r="W6" s="1215"/>
      <c r="X6" s="1215"/>
      <c r="Y6" s="1215"/>
      <c r="Z6" s="1215"/>
      <c r="AA6" s="1215"/>
      <c r="AB6" s="1215"/>
      <c r="AC6" s="1215"/>
      <c r="AD6" s="1215"/>
      <c r="AE6" s="1216"/>
      <c r="AF6" s="379"/>
    </row>
    <row r="7" spans="1:32" ht="15.75" x14ac:dyDescent="0.25">
      <c r="A7" s="826" t="s">
        <v>616</v>
      </c>
      <c r="B7" s="667"/>
      <c r="C7" s="667"/>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8"/>
      <c r="AF7" s="380"/>
    </row>
    <row r="8" spans="1:32" ht="15.75" x14ac:dyDescent="0.25">
      <c r="A8" s="281" t="s">
        <v>430</v>
      </c>
      <c r="B8" s="282">
        <f>B10+B11+B9+B13</f>
        <v>191756.88</v>
      </c>
      <c r="C8" s="282">
        <f>C10+C11+C9+C13</f>
        <v>99055.14</v>
      </c>
      <c r="D8" s="282">
        <f>D10+D11+D9+D13</f>
        <v>82179.209999999992</v>
      </c>
      <c r="E8" s="282">
        <f>E10+E11+E9+E13</f>
        <v>82179.209999999992</v>
      </c>
      <c r="F8" s="282">
        <f>E8/B8*100</f>
        <v>42.855938206754296</v>
      </c>
      <c r="G8" s="282">
        <f>E8/C8*100</f>
        <v>82.963095100365308</v>
      </c>
      <c r="H8" s="282">
        <f t="shared" ref="H8:AE8" si="0">H9+H10+H11+H12+H13</f>
        <v>5148.46</v>
      </c>
      <c r="I8" s="282">
        <f t="shared" si="0"/>
        <v>2013.02</v>
      </c>
      <c r="J8" s="282">
        <f t="shared" si="0"/>
        <v>16984.64</v>
      </c>
      <c r="K8" s="282">
        <f t="shared" si="0"/>
        <v>13255.13</v>
      </c>
      <c r="L8" s="282">
        <f t="shared" si="0"/>
        <v>20893.900000000001</v>
      </c>
      <c r="M8" s="282">
        <f t="shared" si="0"/>
        <v>17857.240000000002</v>
      </c>
      <c r="N8" s="282">
        <f t="shared" si="0"/>
        <v>20244.52</v>
      </c>
      <c r="O8" s="282">
        <f t="shared" si="0"/>
        <v>16651.55</v>
      </c>
      <c r="P8" s="282">
        <f t="shared" si="0"/>
        <v>11837.449999999999</v>
      </c>
      <c r="Q8" s="282">
        <f t="shared" si="0"/>
        <v>9747.76</v>
      </c>
      <c r="R8" s="282">
        <f t="shared" si="0"/>
        <v>12372.74</v>
      </c>
      <c r="S8" s="282">
        <f t="shared" si="0"/>
        <v>7427.92</v>
      </c>
      <c r="T8" s="282">
        <f t="shared" si="0"/>
        <v>11573.43</v>
      </c>
      <c r="U8" s="282">
        <f t="shared" si="0"/>
        <v>15226.59</v>
      </c>
      <c r="V8" s="282">
        <f t="shared" si="0"/>
        <v>16684.87</v>
      </c>
      <c r="W8" s="282">
        <f t="shared" si="0"/>
        <v>0</v>
      </c>
      <c r="X8" s="282">
        <f t="shared" si="0"/>
        <v>12284.44</v>
      </c>
      <c r="Y8" s="282">
        <f t="shared" si="0"/>
        <v>0</v>
      </c>
      <c r="Z8" s="282">
        <f t="shared" si="0"/>
        <v>32871.03</v>
      </c>
      <c r="AA8" s="282">
        <f t="shared" si="0"/>
        <v>0</v>
      </c>
      <c r="AB8" s="282">
        <f t="shared" si="0"/>
        <v>16373.350000000002</v>
      </c>
      <c r="AC8" s="282">
        <f t="shared" si="0"/>
        <v>0</v>
      </c>
      <c r="AD8" s="282">
        <f t="shared" si="0"/>
        <v>14488.05</v>
      </c>
      <c r="AE8" s="282">
        <f t="shared" si="0"/>
        <v>0</v>
      </c>
      <c r="AF8" s="654"/>
    </row>
    <row r="9" spans="1:32" ht="15.75" x14ac:dyDescent="0.25">
      <c r="A9" s="381" t="s">
        <v>169</v>
      </c>
      <c r="B9" s="382">
        <f t="shared" ref="B9:C13" si="1">B16+B23+B30+B37</f>
        <v>0</v>
      </c>
      <c r="C9" s="382">
        <f t="shared" si="1"/>
        <v>0</v>
      </c>
      <c r="D9" s="383">
        <f>E9</f>
        <v>0</v>
      </c>
      <c r="E9" s="383">
        <f>E16+E23+E30+E37</f>
        <v>0</v>
      </c>
      <c r="F9" s="383">
        <f>IFERROR(E9/B9*100,0)</f>
        <v>0</v>
      </c>
      <c r="G9" s="383">
        <f>IFERROR(E9/C9*100,0)</f>
        <v>0</v>
      </c>
      <c r="H9" s="285">
        <f t="shared" ref="H9:AE9" si="2">H16+H23+H30+H37</f>
        <v>0</v>
      </c>
      <c r="I9" s="285">
        <f t="shared" si="2"/>
        <v>0</v>
      </c>
      <c r="J9" s="285">
        <f t="shared" si="2"/>
        <v>0</v>
      </c>
      <c r="K9" s="285">
        <f t="shared" si="2"/>
        <v>0</v>
      </c>
      <c r="L9" s="285">
        <f t="shared" si="2"/>
        <v>0</v>
      </c>
      <c r="M9" s="285">
        <f t="shared" si="2"/>
        <v>0</v>
      </c>
      <c r="N9" s="285">
        <f t="shared" si="2"/>
        <v>0</v>
      </c>
      <c r="O9" s="285">
        <f t="shared" si="2"/>
        <v>0</v>
      </c>
      <c r="P9" s="285">
        <f t="shared" si="2"/>
        <v>0</v>
      </c>
      <c r="Q9" s="285">
        <f t="shared" si="2"/>
        <v>0</v>
      </c>
      <c r="R9" s="285">
        <f t="shared" si="2"/>
        <v>0</v>
      </c>
      <c r="S9" s="285">
        <f t="shared" si="2"/>
        <v>0</v>
      </c>
      <c r="T9" s="285">
        <f t="shared" si="2"/>
        <v>0</v>
      </c>
      <c r="U9" s="285">
        <f t="shared" si="2"/>
        <v>0</v>
      </c>
      <c r="V9" s="285">
        <f t="shared" si="2"/>
        <v>0</v>
      </c>
      <c r="W9" s="285">
        <f t="shared" si="2"/>
        <v>0</v>
      </c>
      <c r="X9" s="285">
        <f t="shared" si="2"/>
        <v>0</v>
      </c>
      <c r="Y9" s="285">
        <f t="shared" si="2"/>
        <v>0</v>
      </c>
      <c r="Z9" s="285">
        <f t="shared" si="2"/>
        <v>0</v>
      </c>
      <c r="AA9" s="285">
        <f t="shared" si="2"/>
        <v>0</v>
      </c>
      <c r="AB9" s="285">
        <f t="shared" si="2"/>
        <v>0</v>
      </c>
      <c r="AC9" s="285">
        <f t="shared" si="2"/>
        <v>0</v>
      </c>
      <c r="AD9" s="285">
        <f t="shared" si="2"/>
        <v>0</v>
      </c>
      <c r="AE9" s="285">
        <f t="shared" si="2"/>
        <v>0</v>
      </c>
      <c r="AF9" s="655"/>
    </row>
    <row r="10" spans="1:32" ht="15.75" x14ac:dyDescent="0.25">
      <c r="A10" s="284" t="s">
        <v>32</v>
      </c>
      <c r="B10" s="382">
        <f t="shared" si="1"/>
        <v>0</v>
      </c>
      <c r="C10" s="382">
        <f t="shared" si="1"/>
        <v>0</v>
      </c>
      <c r="D10" s="383">
        <f>E10</f>
        <v>0</v>
      </c>
      <c r="E10" s="383">
        <f>E17+E24+E31+E38</f>
        <v>0</v>
      </c>
      <c r="F10" s="383">
        <f>IFERROR(E10/B10*100,0)</f>
        <v>0</v>
      </c>
      <c r="G10" s="383">
        <f>IFERROR(E10/C10*100,0)</f>
        <v>0</v>
      </c>
      <c r="H10" s="285">
        <f t="shared" ref="H10:AE10" si="3">H17+H24+H31+H38</f>
        <v>0</v>
      </c>
      <c r="I10" s="285">
        <f t="shared" si="3"/>
        <v>0</v>
      </c>
      <c r="J10" s="285">
        <f t="shared" si="3"/>
        <v>0</v>
      </c>
      <c r="K10" s="285">
        <f t="shared" si="3"/>
        <v>0</v>
      </c>
      <c r="L10" s="285">
        <f t="shared" si="3"/>
        <v>0</v>
      </c>
      <c r="M10" s="285">
        <f t="shared" si="3"/>
        <v>0</v>
      </c>
      <c r="N10" s="285">
        <f t="shared" si="3"/>
        <v>0</v>
      </c>
      <c r="O10" s="285">
        <f t="shared" si="3"/>
        <v>0</v>
      </c>
      <c r="P10" s="285">
        <f t="shared" si="3"/>
        <v>0</v>
      </c>
      <c r="Q10" s="285">
        <f t="shared" si="3"/>
        <v>0</v>
      </c>
      <c r="R10" s="285">
        <f t="shared" si="3"/>
        <v>0</v>
      </c>
      <c r="S10" s="285">
        <f t="shared" si="3"/>
        <v>0</v>
      </c>
      <c r="T10" s="285">
        <f t="shared" si="3"/>
        <v>0</v>
      </c>
      <c r="U10" s="285">
        <f t="shared" si="3"/>
        <v>0</v>
      </c>
      <c r="V10" s="285">
        <f t="shared" si="3"/>
        <v>0</v>
      </c>
      <c r="W10" s="285">
        <f t="shared" si="3"/>
        <v>0</v>
      </c>
      <c r="X10" s="285">
        <f t="shared" si="3"/>
        <v>0</v>
      </c>
      <c r="Y10" s="285">
        <f t="shared" si="3"/>
        <v>0</v>
      </c>
      <c r="Z10" s="285">
        <f t="shared" si="3"/>
        <v>0</v>
      </c>
      <c r="AA10" s="285">
        <f t="shared" si="3"/>
        <v>0</v>
      </c>
      <c r="AB10" s="285">
        <f t="shared" si="3"/>
        <v>0</v>
      </c>
      <c r="AC10" s="285">
        <f t="shared" si="3"/>
        <v>0</v>
      </c>
      <c r="AD10" s="285">
        <f t="shared" si="3"/>
        <v>0</v>
      </c>
      <c r="AE10" s="285">
        <f t="shared" si="3"/>
        <v>0</v>
      </c>
      <c r="AF10" s="655"/>
    </row>
    <row r="11" spans="1:32" ht="15.75" x14ac:dyDescent="0.25">
      <c r="A11" s="284" t="s">
        <v>33</v>
      </c>
      <c r="B11" s="382">
        <f t="shared" si="1"/>
        <v>191756.88</v>
      </c>
      <c r="C11" s="382">
        <f t="shared" si="1"/>
        <v>99055.14</v>
      </c>
      <c r="D11" s="383">
        <f>E11</f>
        <v>82179.209999999992</v>
      </c>
      <c r="E11" s="383">
        <f>E18+E25+E32+E39</f>
        <v>82179.209999999992</v>
      </c>
      <c r="F11" s="383">
        <f>IFERROR(E11/B11*100,0)</f>
        <v>42.855938206754296</v>
      </c>
      <c r="G11" s="383">
        <f>IFERROR(E11/C11*100,0)</f>
        <v>82.963095100365308</v>
      </c>
      <c r="H11" s="285">
        <f t="shared" ref="H11:AE11" si="4">H18+H25+H32+H39</f>
        <v>5148.46</v>
      </c>
      <c r="I11" s="285">
        <f t="shared" si="4"/>
        <v>2013.02</v>
      </c>
      <c r="J11" s="285">
        <f t="shared" si="4"/>
        <v>16984.64</v>
      </c>
      <c r="K11" s="285">
        <f t="shared" si="4"/>
        <v>13255.13</v>
      </c>
      <c r="L11" s="285">
        <f t="shared" si="4"/>
        <v>20893.900000000001</v>
      </c>
      <c r="M11" s="285">
        <f t="shared" si="4"/>
        <v>17857.240000000002</v>
      </c>
      <c r="N11" s="285">
        <f t="shared" si="4"/>
        <v>20244.52</v>
      </c>
      <c r="O11" s="285">
        <f t="shared" si="4"/>
        <v>16651.55</v>
      </c>
      <c r="P11" s="285">
        <f t="shared" si="4"/>
        <v>11837.449999999999</v>
      </c>
      <c r="Q11" s="285">
        <f t="shared" si="4"/>
        <v>9747.76</v>
      </c>
      <c r="R11" s="285">
        <f t="shared" si="4"/>
        <v>12372.74</v>
      </c>
      <c r="S11" s="285">
        <f t="shared" si="4"/>
        <v>7427.92</v>
      </c>
      <c r="T11" s="285">
        <f t="shared" si="4"/>
        <v>11573.43</v>
      </c>
      <c r="U11" s="285">
        <f t="shared" si="4"/>
        <v>15226.59</v>
      </c>
      <c r="V11" s="285">
        <f t="shared" si="4"/>
        <v>16684.87</v>
      </c>
      <c r="W11" s="285">
        <f t="shared" si="4"/>
        <v>0</v>
      </c>
      <c r="X11" s="285">
        <f t="shared" si="4"/>
        <v>12284.44</v>
      </c>
      <c r="Y11" s="285">
        <f t="shared" si="4"/>
        <v>0</v>
      </c>
      <c r="Z11" s="285">
        <f t="shared" si="4"/>
        <v>32871.03</v>
      </c>
      <c r="AA11" s="285">
        <f t="shared" si="4"/>
        <v>0</v>
      </c>
      <c r="AB11" s="285">
        <f t="shared" si="4"/>
        <v>16373.350000000002</v>
      </c>
      <c r="AC11" s="285">
        <f t="shared" si="4"/>
        <v>0</v>
      </c>
      <c r="AD11" s="285">
        <f t="shared" si="4"/>
        <v>14488.05</v>
      </c>
      <c r="AE11" s="285">
        <f t="shared" si="4"/>
        <v>0</v>
      </c>
      <c r="AF11" s="655"/>
    </row>
    <row r="12" spans="1:32" ht="31.5" x14ac:dyDescent="0.25">
      <c r="A12" s="296" t="s">
        <v>174</v>
      </c>
      <c r="B12" s="382">
        <f t="shared" si="1"/>
        <v>0</v>
      </c>
      <c r="C12" s="382">
        <f t="shared" si="1"/>
        <v>0</v>
      </c>
      <c r="D12" s="383">
        <f>E12</f>
        <v>0</v>
      </c>
      <c r="E12" s="383">
        <f>E19+E26+E33+E40</f>
        <v>0</v>
      </c>
      <c r="F12" s="383">
        <f>IFERROR(E12/B12*100,0)</f>
        <v>0</v>
      </c>
      <c r="G12" s="383">
        <f>IFERROR(E12/C12*100,0)</f>
        <v>0</v>
      </c>
      <c r="H12" s="285">
        <f t="shared" ref="H12:AE12" si="5">H19+H26+H33+H40</f>
        <v>0</v>
      </c>
      <c r="I12" s="285">
        <f t="shared" si="5"/>
        <v>0</v>
      </c>
      <c r="J12" s="285">
        <f t="shared" si="5"/>
        <v>0</v>
      </c>
      <c r="K12" s="285">
        <f t="shared" si="5"/>
        <v>0</v>
      </c>
      <c r="L12" s="285">
        <f t="shared" si="5"/>
        <v>0</v>
      </c>
      <c r="M12" s="285">
        <f t="shared" si="5"/>
        <v>0</v>
      </c>
      <c r="N12" s="285">
        <f t="shared" si="5"/>
        <v>0</v>
      </c>
      <c r="O12" s="285">
        <f t="shared" si="5"/>
        <v>0</v>
      </c>
      <c r="P12" s="285">
        <f t="shared" si="5"/>
        <v>0</v>
      </c>
      <c r="Q12" s="285">
        <f t="shared" si="5"/>
        <v>0</v>
      </c>
      <c r="R12" s="285">
        <f t="shared" si="5"/>
        <v>0</v>
      </c>
      <c r="S12" s="285">
        <f t="shared" si="5"/>
        <v>0</v>
      </c>
      <c r="T12" s="285">
        <f t="shared" si="5"/>
        <v>0</v>
      </c>
      <c r="U12" s="285">
        <f t="shared" si="5"/>
        <v>0</v>
      </c>
      <c r="V12" s="285">
        <f t="shared" si="5"/>
        <v>0</v>
      </c>
      <c r="W12" s="285">
        <f t="shared" si="5"/>
        <v>0</v>
      </c>
      <c r="X12" s="285">
        <f t="shared" si="5"/>
        <v>0</v>
      </c>
      <c r="Y12" s="285">
        <f t="shared" si="5"/>
        <v>0</v>
      </c>
      <c r="Z12" s="285">
        <f t="shared" si="5"/>
        <v>0</v>
      </c>
      <c r="AA12" s="285">
        <f t="shared" si="5"/>
        <v>0</v>
      </c>
      <c r="AB12" s="285">
        <f t="shared" si="5"/>
        <v>0</v>
      </c>
      <c r="AC12" s="285">
        <f t="shared" si="5"/>
        <v>0</v>
      </c>
      <c r="AD12" s="285">
        <f t="shared" si="5"/>
        <v>0</v>
      </c>
      <c r="AE12" s="285">
        <f t="shared" si="5"/>
        <v>0</v>
      </c>
      <c r="AF12" s="655"/>
    </row>
    <row r="13" spans="1:32" ht="15.75" x14ac:dyDescent="0.25">
      <c r="A13" s="284" t="s">
        <v>221</v>
      </c>
      <c r="B13" s="382">
        <f t="shared" si="1"/>
        <v>0</v>
      </c>
      <c r="C13" s="382">
        <f t="shared" si="1"/>
        <v>0</v>
      </c>
      <c r="D13" s="383">
        <f>E13</f>
        <v>0</v>
      </c>
      <c r="E13" s="383">
        <f>E20+E27+E34+E41</f>
        <v>0</v>
      </c>
      <c r="F13" s="383">
        <f>IFERROR(E13/B13*100,0)</f>
        <v>0</v>
      </c>
      <c r="G13" s="383">
        <f>IFERROR(E13/C13*100,0)</f>
        <v>0</v>
      </c>
      <c r="H13" s="285">
        <f t="shared" ref="H13:AE13" si="6">H20+H27+H34+H41</f>
        <v>0</v>
      </c>
      <c r="I13" s="285">
        <f t="shared" si="6"/>
        <v>0</v>
      </c>
      <c r="J13" s="285">
        <f t="shared" si="6"/>
        <v>0</v>
      </c>
      <c r="K13" s="285">
        <f t="shared" si="6"/>
        <v>0</v>
      </c>
      <c r="L13" s="285">
        <f t="shared" si="6"/>
        <v>0</v>
      </c>
      <c r="M13" s="285">
        <f t="shared" si="6"/>
        <v>0</v>
      </c>
      <c r="N13" s="285">
        <f t="shared" si="6"/>
        <v>0</v>
      </c>
      <c r="O13" s="285">
        <f t="shared" si="6"/>
        <v>0</v>
      </c>
      <c r="P13" s="285">
        <f t="shared" si="6"/>
        <v>0</v>
      </c>
      <c r="Q13" s="285">
        <f t="shared" si="6"/>
        <v>0</v>
      </c>
      <c r="R13" s="285">
        <f t="shared" si="6"/>
        <v>0</v>
      </c>
      <c r="S13" s="285">
        <f t="shared" si="6"/>
        <v>0</v>
      </c>
      <c r="T13" s="285">
        <f t="shared" si="6"/>
        <v>0</v>
      </c>
      <c r="U13" s="285">
        <f t="shared" si="6"/>
        <v>0</v>
      </c>
      <c r="V13" s="285">
        <f t="shared" si="6"/>
        <v>0</v>
      </c>
      <c r="W13" s="285">
        <f t="shared" si="6"/>
        <v>0</v>
      </c>
      <c r="X13" s="285">
        <f t="shared" si="6"/>
        <v>0</v>
      </c>
      <c r="Y13" s="285">
        <f t="shared" si="6"/>
        <v>0</v>
      </c>
      <c r="Z13" s="285">
        <f t="shared" si="6"/>
        <v>0</v>
      </c>
      <c r="AA13" s="285">
        <f t="shared" si="6"/>
        <v>0</v>
      </c>
      <c r="AB13" s="285">
        <f t="shared" si="6"/>
        <v>0</v>
      </c>
      <c r="AC13" s="285">
        <f t="shared" si="6"/>
        <v>0</v>
      </c>
      <c r="AD13" s="285">
        <f t="shared" si="6"/>
        <v>0</v>
      </c>
      <c r="AE13" s="285">
        <f t="shared" si="6"/>
        <v>0</v>
      </c>
      <c r="AF13" s="656"/>
    </row>
    <row r="14" spans="1:32" s="509" customFormat="1" ht="15.75" x14ac:dyDescent="0.25">
      <c r="A14" s="826" t="s">
        <v>431</v>
      </c>
      <c r="B14" s="667"/>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8"/>
      <c r="AF14" s="655"/>
    </row>
    <row r="15" spans="1:32" s="509" customFormat="1" ht="409.5" x14ac:dyDescent="0.25">
      <c r="A15" s="284" t="s">
        <v>430</v>
      </c>
      <c r="B15" s="382">
        <f>B16+B17+B18+B20</f>
        <v>78442.64</v>
      </c>
      <c r="C15" s="382">
        <f>C16+C17+C18+C20</f>
        <v>48361.759999999995</v>
      </c>
      <c r="D15" s="382">
        <f>D16+D17+D18+D20</f>
        <v>32492.86</v>
      </c>
      <c r="E15" s="609">
        <f>E16+E17+E18+E20</f>
        <v>32492.86</v>
      </c>
      <c r="F15" s="382">
        <f t="shared" ref="F15:F20" si="7">IFERROR(E15/B15*100,0)</f>
        <v>41.422445751443348</v>
      </c>
      <c r="G15" s="382">
        <f t="shared" ref="G15:G20" si="8">IFERROR(E15/C15*100,0)</f>
        <v>67.187091619494424</v>
      </c>
      <c r="H15" s="285">
        <f t="shared" ref="H15:AE15" si="9">H16+H17+H18+H20</f>
        <v>5009.18</v>
      </c>
      <c r="I15" s="285">
        <f t="shared" si="9"/>
        <v>1954.18</v>
      </c>
      <c r="J15" s="285">
        <f t="shared" si="9"/>
        <v>7202.25</v>
      </c>
      <c r="K15" s="285">
        <f t="shared" si="9"/>
        <v>4076.99</v>
      </c>
      <c r="L15" s="285">
        <f t="shared" si="9"/>
        <v>6738.31</v>
      </c>
      <c r="M15" s="285">
        <f t="shared" si="9"/>
        <v>3595.14</v>
      </c>
      <c r="N15" s="285">
        <f t="shared" si="9"/>
        <v>5721.53</v>
      </c>
      <c r="O15" s="285">
        <f t="shared" si="9"/>
        <v>4581.09</v>
      </c>
      <c r="P15" s="285">
        <f t="shared" si="9"/>
        <v>6300.2099999999991</v>
      </c>
      <c r="Q15" s="285">
        <f t="shared" si="9"/>
        <v>4011.42</v>
      </c>
      <c r="R15" s="285">
        <f t="shared" si="9"/>
        <v>11553</v>
      </c>
      <c r="S15" s="285">
        <f t="shared" si="9"/>
        <v>4311.21</v>
      </c>
      <c r="T15" s="285">
        <f t="shared" si="9"/>
        <v>5837.2800000000007</v>
      </c>
      <c r="U15" s="285">
        <f t="shared" si="9"/>
        <v>9962.83</v>
      </c>
      <c r="V15" s="285">
        <f t="shared" si="9"/>
        <v>13987.58</v>
      </c>
      <c r="W15" s="285">
        <f t="shared" si="9"/>
        <v>0</v>
      </c>
      <c r="X15" s="285">
        <f t="shared" si="9"/>
        <v>3520.33</v>
      </c>
      <c r="Y15" s="285">
        <f t="shared" si="9"/>
        <v>0</v>
      </c>
      <c r="Z15" s="285">
        <f t="shared" si="9"/>
        <v>4565.5</v>
      </c>
      <c r="AA15" s="285">
        <f t="shared" si="9"/>
        <v>0</v>
      </c>
      <c r="AB15" s="285">
        <f t="shared" si="9"/>
        <v>4081.58</v>
      </c>
      <c r="AC15" s="285">
        <f t="shared" si="9"/>
        <v>0</v>
      </c>
      <c r="AD15" s="285">
        <f t="shared" si="9"/>
        <v>3925.89</v>
      </c>
      <c r="AE15" s="285">
        <f t="shared" si="9"/>
        <v>0</v>
      </c>
      <c r="AF15" s="659" t="s">
        <v>619</v>
      </c>
    </row>
    <row r="16" spans="1:32" s="509" customFormat="1" ht="15.75" x14ac:dyDescent="0.25">
      <c r="A16" s="381" t="s">
        <v>169</v>
      </c>
      <c r="B16" s="382">
        <f>H16+J16+L16+N16+P16+R16+T16+V16+X16+Z16+AB16+AD16</f>
        <v>0</v>
      </c>
      <c r="C16" s="609">
        <f>T16+R16+H16+J16+L16+N16+P16</f>
        <v>0</v>
      </c>
      <c r="D16" s="383">
        <f>E16</f>
        <v>0</v>
      </c>
      <c r="E16" s="383">
        <f>I16+K16+M16+O16+Q16+S16+U16+W16+Y16+AA16+AC16+AE16</f>
        <v>0</v>
      </c>
      <c r="F16" s="382">
        <f t="shared" si="7"/>
        <v>0</v>
      </c>
      <c r="G16" s="382">
        <f t="shared" si="8"/>
        <v>0</v>
      </c>
      <c r="H16" s="288">
        <v>0</v>
      </c>
      <c r="I16" s="288">
        <v>0</v>
      </c>
      <c r="J16" s="288">
        <v>0</v>
      </c>
      <c r="K16" s="288">
        <v>0</v>
      </c>
      <c r="L16" s="288">
        <v>0</v>
      </c>
      <c r="M16" s="288">
        <v>0</v>
      </c>
      <c r="N16" s="288">
        <v>0</v>
      </c>
      <c r="O16" s="288">
        <v>0</v>
      </c>
      <c r="P16" s="288">
        <v>0</v>
      </c>
      <c r="Q16" s="288">
        <v>0</v>
      </c>
      <c r="R16" s="288">
        <v>0</v>
      </c>
      <c r="S16" s="288">
        <v>0</v>
      </c>
      <c r="T16" s="288">
        <v>0</v>
      </c>
      <c r="U16" s="288">
        <v>0</v>
      </c>
      <c r="V16" s="288">
        <v>0</v>
      </c>
      <c r="W16" s="288">
        <v>0</v>
      </c>
      <c r="X16" s="288">
        <v>0</v>
      </c>
      <c r="Y16" s="288">
        <v>0</v>
      </c>
      <c r="Z16" s="288">
        <v>0</v>
      </c>
      <c r="AA16" s="288">
        <v>0</v>
      </c>
      <c r="AB16" s="288">
        <v>0</v>
      </c>
      <c r="AC16" s="288">
        <v>0</v>
      </c>
      <c r="AD16" s="288">
        <v>0</v>
      </c>
      <c r="AE16" s="288">
        <v>0</v>
      </c>
      <c r="AF16" s="660"/>
    </row>
    <row r="17" spans="1:32" s="509" customFormat="1" ht="15.75" x14ac:dyDescent="0.25">
      <c r="A17" s="284" t="s">
        <v>32</v>
      </c>
      <c r="B17" s="382">
        <f>H17+J17+L17+N17+P17+R17+T17+V17+X17+Z17+AB17+AD17</f>
        <v>0</v>
      </c>
      <c r="C17" s="609">
        <f>T17+R17+H17+J17+L17+N17+P17</f>
        <v>0</v>
      </c>
      <c r="D17" s="383">
        <f>E17</f>
        <v>0</v>
      </c>
      <c r="E17" s="383">
        <f>I17+K17+M17+O17+Q17+S17+U17+W17+Y17+AA17+AC17+AE17</f>
        <v>0</v>
      </c>
      <c r="F17" s="382">
        <f t="shared" si="7"/>
        <v>0</v>
      </c>
      <c r="G17" s="382">
        <f t="shared" si="8"/>
        <v>0</v>
      </c>
      <c r="H17" s="288">
        <v>0</v>
      </c>
      <c r="I17" s="288">
        <v>0</v>
      </c>
      <c r="J17" s="288">
        <v>0</v>
      </c>
      <c r="K17" s="288">
        <v>0</v>
      </c>
      <c r="L17" s="288">
        <v>0</v>
      </c>
      <c r="M17" s="288">
        <v>0</v>
      </c>
      <c r="N17" s="288">
        <v>0</v>
      </c>
      <c r="O17" s="288">
        <v>0</v>
      </c>
      <c r="P17" s="288">
        <v>0</v>
      </c>
      <c r="Q17" s="288">
        <v>0</v>
      </c>
      <c r="R17" s="288">
        <v>0</v>
      </c>
      <c r="S17" s="288">
        <v>0</v>
      </c>
      <c r="T17" s="288">
        <v>0</v>
      </c>
      <c r="U17" s="288">
        <v>0</v>
      </c>
      <c r="V17" s="288">
        <v>0</v>
      </c>
      <c r="W17" s="288">
        <v>0</v>
      </c>
      <c r="X17" s="288">
        <v>0</v>
      </c>
      <c r="Y17" s="288">
        <v>0</v>
      </c>
      <c r="Z17" s="288">
        <v>0</v>
      </c>
      <c r="AA17" s="288">
        <v>0</v>
      </c>
      <c r="AB17" s="288">
        <v>0</v>
      </c>
      <c r="AC17" s="288">
        <v>0</v>
      </c>
      <c r="AD17" s="288">
        <v>0</v>
      </c>
      <c r="AE17" s="288">
        <v>0</v>
      </c>
      <c r="AF17" s="660"/>
    </row>
    <row r="18" spans="1:32" s="504" customFormat="1" ht="24.75" customHeight="1" x14ac:dyDescent="0.25">
      <c r="A18" s="507" t="s">
        <v>33</v>
      </c>
      <c r="B18" s="382">
        <f>H18+J18+L18+N18+P18+R18+T18+V18+X18+Z18+AB18+AD18</f>
        <v>78442.64</v>
      </c>
      <c r="C18" s="609">
        <f t="shared" ref="C18:C20" si="10">T18+R18+H18+J18+L18+N18+P18</f>
        <v>48361.759999999995</v>
      </c>
      <c r="D18" s="383">
        <f>E18</f>
        <v>32492.86</v>
      </c>
      <c r="E18" s="383">
        <f>I18+K18+M18+O18+Q18+S18+U18+W18+Y18+AA18+AC18+AE18</f>
        <v>32492.86</v>
      </c>
      <c r="F18" s="382">
        <f t="shared" si="7"/>
        <v>41.422445751443348</v>
      </c>
      <c r="G18" s="382">
        <f t="shared" si="8"/>
        <v>67.187091619494424</v>
      </c>
      <c r="H18" s="288">
        <f>[2]КСАТ!H19</f>
        <v>5009.18</v>
      </c>
      <c r="I18" s="288">
        <f>[2]КСАТ!I19</f>
        <v>1954.18</v>
      </c>
      <c r="J18" s="288">
        <f>[2]КСАТ!J19</f>
        <v>7202.25</v>
      </c>
      <c r="K18" s="288">
        <f>[2]КСАТ!K19</f>
        <v>4076.99</v>
      </c>
      <c r="L18" s="288">
        <f>[2]КСАТ!L19</f>
        <v>6738.31</v>
      </c>
      <c r="M18" s="288">
        <f>[2]КСАТ!M19</f>
        <v>3595.14</v>
      </c>
      <c r="N18" s="288">
        <f>[2]КСАТ!N19</f>
        <v>5721.53</v>
      </c>
      <c r="O18" s="288">
        <f>[2]КСАТ!O19</f>
        <v>4581.09</v>
      </c>
      <c r="P18" s="288">
        <f>[2]КСАТ!P19</f>
        <v>6300.2099999999991</v>
      </c>
      <c r="Q18" s="288">
        <f>[2]КСАТ!Q19</f>
        <v>4011.42</v>
      </c>
      <c r="R18" s="288">
        <f>[2]КСАТ!R19</f>
        <v>11553</v>
      </c>
      <c r="S18" s="288">
        <f>[2]КСАТ!S19</f>
        <v>4311.21</v>
      </c>
      <c r="T18" s="288">
        <f>[2]КСАТ!T19</f>
        <v>5837.2800000000007</v>
      </c>
      <c r="U18" s="288">
        <f>[2]КСАТ!U19</f>
        <v>9962.83</v>
      </c>
      <c r="V18" s="288">
        <f>[2]КСАТ!V19</f>
        <v>13987.58</v>
      </c>
      <c r="W18" s="288">
        <f>[2]КСАТ!W19</f>
        <v>0</v>
      </c>
      <c r="X18" s="288">
        <f>[2]КСАТ!X19</f>
        <v>3520.33</v>
      </c>
      <c r="Y18" s="288">
        <f>[2]КСАТ!Y19</f>
        <v>0</v>
      </c>
      <c r="Z18" s="288">
        <f>[2]КСАТ!Z19</f>
        <v>4565.5</v>
      </c>
      <c r="AA18" s="288">
        <f>[2]КСАТ!AA19</f>
        <v>0</v>
      </c>
      <c r="AB18" s="288">
        <f>[2]КСАТ!AB19</f>
        <v>4081.58</v>
      </c>
      <c r="AC18" s="288">
        <f>[2]КСАТ!AC19</f>
        <v>0</v>
      </c>
      <c r="AD18" s="288">
        <f>[2]КСАТ!AD19</f>
        <v>3925.89</v>
      </c>
      <c r="AE18" s="288">
        <f>[2]КСАТ!AE19</f>
        <v>0</v>
      </c>
      <c r="AF18" s="660"/>
    </row>
    <row r="19" spans="1:32" s="509" customFormat="1" ht="31.5" x14ac:dyDescent="0.25">
      <c r="A19" s="296" t="s">
        <v>174</v>
      </c>
      <c r="B19" s="382">
        <f>H19+J19+L19+N19+P19+R19+T19+V19+X19+Z19+AB19+AD19</f>
        <v>0</v>
      </c>
      <c r="C19" s="609">
        <f t="shared" si="10"/>
        <v>0</v>
      </c>
      <c r="D19" s="383">
        <f>E19</f>
        <v>0</v>
      </c>
      <c r="E19" s="383">
        <f>I19+K19+M19+O19+Q19+S19+U19+W19+Y19+AA19+AC19+AE19</f>
        <v>0</v>
      </c>
      <c r="F19" s="382">
        <f t="shared" si="7"/>
        <v>0</v>
      </c>
      <c r="G19" s="382">
        <f t="shared" si="8"/>
        <v>0</v>
      </c>
      <c r="H19" s="288">
        <v>0</v>
      </c>
      <c r="I19" s="288">
        <v>0</v>
      </c>
      <c r="J19" s="288">
        <v>0</v>
      </c>
      <c r="K19" s="288">
        <v>0</v>
      </c>
      <c r="L19" s="288">
        <v>0</v>
      </c>
      <c r="M19" s="288">
        <v>0</v>
      </c>
      <c r="N19" s="288">
        <v>0</v>
      </c>
      <c r="O19" s="288">
        <v>0</v>
      </c>
      <c r="P19" s="288">
        <v>0</v>
      </c>
      <c r="Q19" s="288">
        <v>0</v>
      </c>
      <c r="R19" s="288">
        <v>0</v>
      </c>
      <c r="S19" s="288">
        <v>0</v>
      </c>
      <c r="T19" s="288">
        <v>0</v>
      </c>
      <c r="U19" s="288">
        <v>0</v>
      </c>
      <c r="V19" s="288">
        <v>0</v>
      </c>
      <c r="W19" s="288">
        <v>0</v>
      </c>
      <c r="X19" s="288">
        <v>0</v>
      </c>
      <c r="Y19" s="288">
        <v>0</v>
      </c>
      <c r="Z19" s="288">
        <v>0</v>
      </c>
      <c r="AA19" s="288">
        <v>0</v>
      </c>
      <c r="AB19" s="288">
        <v>0</v>
      </c>
      <c r="AC19" s="288">
        <v>0</v>
      </c>
      <c r="AD19" s="288">
        <v>0</v>
      </c>
      <c r="AE19" s="288">
        <v>0</v>
      </c>
      <c r="AF19" s="660"/>
    </row>
    <row r="20" spans="1:32" s="509" customFormat="1" ht="15.75" x14ac:dyDescent="0.25">
      <c r="A20" s="284" t="s">
        <v>221</v>
      </c>
      <c r="B20" s="382">
        <f>H20+J20+L20+N20+P20+R20+T20+V20+X20+Z20+AB20+AD20</f>
        <v>0</v>
      </c>
      <c r="C20" s="609">
        <f t="shared" si="10"/>
        <v>0</v>
      </c>
      <c r="D20" s="383">
        <f>E20</f>
        <v>0</v>
      </c>
      <c r="E20" s="383">
        <f>I20+K20+M20+O20+Q20+S20+U20+W20+Y20+AA20+AC20+AE20</f>
        <v>0</v>
      </c>
      <c r="F20" s="382">
        <f t="shared" si="7"/>
        <v>0</v>
      </c>
      <c r="G20" s="382">
        <f t="shared" si="8"/>
        <v>0</v>
      </c>
      <c r="H20" s="288">
        <v>0</v>
      </c>
      <c r="I20" s="288">
        <v>0</v>
      </c>
      <c r="J20" s="288">
        <v>0</v>
      </c>
      <c r="K20" s="288">
        <v>0</v>
      </c>
      <c r="L20" s="288">
        <v>0</v>
      </c>
      <c r="M20" s="288">
        <v>0</v>
      </c>
      <c r="N20" s="288">
        <v>0</v>
      </c>
      <c r="O20" s="288">
        <v>0</v>
      </c>
      <c r="P20" s="288">
        <v>0</v>
      </c>
      <c r="Q20" s="288">
        <v>0</v>
      </c>
      <c r="R20" s="288">
        <v>0</v>
      </c>
      <c r="S20" s="288">
        <v>0</v>
      </c>
      <c r="T20" s="288">
        <v>0</v>
      </c>
      <c r="U20" s="288">
        <v>0</v>
      </c>
      <c r="V20" s="288">
        <v>0</v>
      </c>
      <c r="W20" s="288">
        <v>0</v>
      </c>
      <c r="X20" s="288">
        <v>0</v>
      </c>
      <c r="Y20" s="288">
        <v>0</v>
      </c>
      <c r="Z20" s="288">
        <v>0</v>
      </c>
      <c r="AA20" s="288">
        <v>0</v>
      </c>
      <c r="AB20" s="288">
        <v>0</v>
      </c>
      <c r="AC20" s="288">
        <v>0</v>
      </c>
      <c r="AD20" s="288">
        <v>0</v>
      </c>
      <c r="AE20" s="288">
        <v>0</v>
      </c>
      <c r="AF20" s="822"/>
    </row>
    <row r="21" spans="1:32" s="509" customFormat="1" ht="15.75" x14ac:dyDescent="0.25">
      <c r="A21" s="826" t="s">
        <v>432</v>
      </c>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8"/>
      <c r="AF21" s="660"/>
    </row>
    <row r="22" spans="1:32" s="509" customFormat="1" ht="346.5" x14ac:dyDescent="0.25">
      <c r="A22" s="284" t="s">
        <v>430</v>
      </c>
      <c r="B22" s="382">
        <f>B25+B23+B24+B27</f>
        <v>47214.93</v>
      </c>
      <c r="C22" s="382">
        <f>C25+C23+C24+C27</f>
        <v>40290.33</v>
      </c>
      <c r="D22" s="382">
        <f>D25+D23+D24+D27</f>
        <v>39975.57</v>
      </c>
      <c r="E22" s="609">
        <f>E25+E23+E24+E27</f>
        <v>39975.57</v>
      </c>
      <c r="F22" s="382">
        <f>IFERROR(E22/B22*100,0)</f>
        <v>84.667222846671592</v>
      </c>
      <c r="G22" s="382">
        <f>IFERROR(E22/C22*100,0)</f>
        <v>99.218770360034284</v>
      </c>
      <c r="H22" s="285">
        <f t="shared" ref="H22:AE22" si="11">H25+H23+H24+H27</f>
        <v>0</v>
      </c>
      <c r="I22" s="285">
        <f t="shared" si="11"/>
        <v>0</v>
      </c>
      <c r="J22" s="285">
        <f t="shared" si="11"/>
        <v>9686.92</v>
      </c>
      <c r="K22" s="285">
        <f t="shared" si="11"/>
        <v>9082.67</v>
      </c>
      <c r="L22" s="285">
        <f t="shared" si="11"/>
        <v>11495.67</v>
      </c>
      <c r="M22" s="285">
        <f t="shared" si="11"/>
        <v>12098.04</v>
      </c>
      <c r="N22" s="285">
        <f t="shared" si="11"/>
        <v>13902.47</v>
      </c>
      <c r="O22" s="285">
        <f t="shared" si="11"/>
        <v>11450</v>
      </c>
      <c r="P22" s="285">
        <f t="shared" si="11"/>
        <v>5205.2700000000004</v>
      </c>
      <c r="Q22" s="285">
        <f t="shared" si="11"/>
        <v>5404.37</v>
      </c>
      <c r="R22" s="285">
        <f t="shared" si="11"/>
        <v>0</v>
      </c>
      <c r="S22" s="285">
        <f t="shared" si="11"/>
        <v>1940.49</v>
      </c>
      <c r="T22" s="285">
        <f t="shared" si="11"/>
        <v>0</v>
      </c>
      <c r="U22" s="285">
        <f t="shared" si="11"/>
        <v>0</v>
      </c>
      <c r="V22" s="285">
        <f t="shared" si="11"/>
        <v>0</v>
      </c>
      <c r="W22" s="285">
        <f t="shared" si="11"/>
        <v>0</v>
      </c>
      <c r="X22" s="285">
        <f t="shared" si="11"/>
        <v>0</v>
      </c>
      <c r="Y22" s="285">
        <f t="shared" si="11"/>
        <v>0</v>
      </c>
      <c r="Z22" s="285">
        <f t="shared" si="11"/>
        <v>0</v>
      </c>
      <c r="AA22" s="285">
        <f t="shared" si="11"/>
        <v>0</v>
      </c>
      <c r="AB22" s="285">
        <f t="shared" si="11"/>
        <v>0</v>
      </c>
      <c r="AC22" s="285">
        <f t="shared" si="11"/>
        <v>0</v>
      </c>
      <c r="AD22" s="285">
        <f t="shared" si="11"/>
        <v>6924.5999999999995</v>
      </c>
      <c r="AE22" s="285">
        <f t="shared" si="11"/>
        <v>0</v>
      </c>
      <c r="AF22" s="663" t="s">
        <v>620</v>
      </c>
    </row>
    <row r="23" spans="1:32" s="509" customFormat="1" ht="15.75" x14ac:dyDescent="0.25">
      <c r="A23" s="381" t="s">
        <v>169</v>
      </c>
      <c r="B23" s="382">
        <f>H23+J23+L23+N23+P23+R23+T23+V23+X23+Z23+AB23+AD23</f>
        <v>0</v>
      </c>
      <c r="C23" s="609">
        <f>T23+R23+H23+J23+L23+N23+P23</f>
        <v>0</v>
      </c>
      <c r="D23" s="383">
        <f>E23</f>
        <v>0</v>
      </c>
      <c r="E23" s="383">
        <f>I23+K23+M23+O23+Q23+S23+U23+W23+Y23+AA23+AC23+AE23</f>
        <v>0</v>
      </c>
      <c r="F23" s="382">
        <f>IFERROR(E23/B23*100,0)</f>
        <v>0</v>
      </c>
      <c r="G23" s="382">
        <f>IFERROR(E23/C23*100,0)</f>
        <v>0</v>
      </c>
      <c r="H23" s="288">
        <v>0</v>
      </c>
      <c r="I23" s="288">
        <v>0</v>
      </c>
      <c r="J23" s="288">
        <v>0</v>
      </c>
      <c r="K23" s="288">
        <v>0</v>
      </c>
      <c r="L23" s="288">
        <v>0</v>
      </c>
      <c r="M23" s="288">
        <v>0</v>
      </c>
      <c r="N23" s="288">
        <v>0</v>
      </c>
      <c r="O23" s="288">
        <v>0</v>
      </c>
      <c r="P23" s="288">
        <v>0</v>
      </c>
      <c r="Q23" s="288">
        <v>0</v>
      </c>
      <c r="R23" s="288">
        <v>0</v>
      </c>
      <c r="S23" s="288">
        <v>0</v>
      </c>
      <c r="T23" s="288">
        <v>0</v>
      </c>
      <c r="U23" s="288">
        <v>0</v>
      </c>
      <c r="V23" s="288">
        <v>0</v>
      </c>
      <c r="W23" s="288">
        <v>0</v>
      </c>
      <c r="X23" s="288">
        <v>0</v>
      </c>
      <c r="Y23" s="288">
        <v>0</v>
      </c>
      <c r="Z23" s="288">
        <v>0</v>
      </c>
      <c r="AA23" s="288">
        <v>0</v>
      </c>
      <c r="AB23" s="288">
        <v>0</v>
      </c>
      <c r="AC23" s="288">
        <v>0</v>
      </c>
      <c r="AD23" s="288">
        <v>0</v>
      </c>
      <c r="AE23" s="288">
        <v>0</v>
      </c>
      <c r="AF23" s="823"/>
    </row>
    <row r="24" spans="1:32" s="509" customFormat="1" ht="15.75" x14ac:dyDescent="0.25">
      <c r="A24" s="284" t="s">
        <v>32</v>
      </c>
      <c r="B24" s="382">
        <f>H24+J24+L24+N24+P24+R24+T24+V24+X24+Z24+AB24+AD24</f>
        <v>0</v>
      </c>
      <c r="C24" s="609">
        <f>T24+R24+H24+J24+L24+N24+P24</f>
        <v>0</v>
      </c>
      <c r="D24" s="383">
        <f>E24</f>
        <v>0</v>
      </c>
      <c r="E24" s="383">
        <f>I24+K24+M24+O24+Q24+S24+U24+W24+Y24+AA24+AC24+AE24</f>
        <v>0</v>
      </c>
      <c r="F24" s="382">
        <f>IFERROR(E24/B24*100,0)</f>
        <v>0</v>
      </c>
      <c r="G24" s="382">
        <f>IFERROR(E24/C24*100,0)</f>
        <v>0</v>
      </c>
      <c r="H24" s="288">
        <v>0</v>
      </c>
      <c r="I24" s="288">
        <v>0</v>
      </c>
      <c r="J24" s="288">
        <v>0</v>
      </c>
      <c r="K24" s="288">
        <v>0</v>
      </c>
      <c r="L24" s="288">
        <v>0</v>
      </c>
      <c r="M24" s="288">
        <v>0</v>
      </c>
      <c r="N24" s="288">
        <v>0</v>
      </c>
      <c r="O24" s="288">
        <v>0</v>
      </c>
      <c r="P24" s="288">
        <v>0</v>
      </c>
      <c r="Q24" s="288">
        <v>0</v>
      </c>
      <c r="R24" s="288">
        <v>0</v>
      </c>
      <c r="S24" s="288">
        <v>0</v>
      </c>
      <c r="T24" s="288">
        <v>0</v>
      </c>
      <c r="U24" s="288">
        <v>0</v>
      </c>
      <c r="V24" s="288">
        <v>0</v>
      </c>
      <c r="W24" s="288">
        <v>0</v>
      </c>
      <c r="X24" s="288">
        <v>0</v>
      </c>
      <c r="Y24" s="288">
        <v>0</v>
      </c>
      <c r="Z24" s="288">
        <v>0</v>
      </c>
      <c r="AA24" s="288">
        <v>0</v>
      </c>
      <c r="AB24" s="288">
        <v>0</v>
      </c>
      <c r="AC24" s="288">
        <v>0</v>
      </c>
      <c r="AD24" s="288">
        <v>0</v>
      </c>
      <c r="AE24" s="288">
        <v>0</v>
      </c>
      <c r="AF24" s="823"/>
    </row>
    <row r="25" spans="1:32" s="504" customFormat="1" ht="24.75" customHeight="1" x14ac:dyDescent="0.25">
      <c r="A25" s="507" t="s">
        <v>33</v>
      </c>
      <c r="B25" s="603">
        <v>47214.93</v>
      </c>
      <c r="C25" s="609">
        <v>40290.33</v>
      </c>
      <c r="D25" s="604">
        <v>39975.57</v>
      </c>
      <c r="E25" s="604">
        <v>39975.57</v>
      </c>
      <c r="F25" s="603">
        <v>84.667222846671592</v>
      </c>
      <c r="G25" s="603">
        <v>99.218770360034284</v>
      </c>
      <c r="H25" s="288">
        <v>0</v>
      </c>
      <c r="I25" s="288">
        <v>0</v>
      </c>
      <c r="J25" s="603">
        <v>9686.92</v>
      </c>
      <c r="K25" s="603">
        <v>9082.67</v>
      </c>
      <c r="L25" s="603">
        <v>11495.67</v>
      </c>
      <c r="M25" s="603">
        <v>12098.04</v>
      </c>
      <c r="N25" s="603">
        <v>13902.47</v>
      </c>
      <c r="O25" s="603">
        <v>11450</v>
      </c>
      <c r="P25" s="603">
        <v>5205.2700000000004</v>
      </c>
      <c r="Q25" s="603">
        <v>5404.37</v>
      </c>
      <c r="R25" s="603">
        <v>0</v>
      </c>
      <c r="S25" s="603">
        <v>1940.49</v>
      </c>
      <c r="T25" s="603">
        <v>0</v>
      </c>
      <c r="U25" s="603">
        <v>0</v>
      </c>
      <c r="V25" s="603">
        <v>0</v>
      </c>
      <c r="W25" s="603">
        <v>0</v>
      </c>
      <c r="X25" s="603">
        <v>0</v>
      </c>
      <c r="Y25" s="603">
        <v>0</v>
      </c>
      <c r="Z25" s="603">
        <v>0</v>
      </c>
      <c r="AA25" s="603">
        <v>0</v>
      </c>
      <c r="AB25" s="603">
        <v>0</v>
      </c>
      <c r="AC25" s="603">
        <v>0</v>
      </c>
      <c r="AD25" s="603">
        <v>6924.5999999999995</v>
      </c>
      <c r="AE25" s="603">
        <v>0</v>
      </c>
      <c r="AF25" s="823"/>
    </row>
    <row r="26" spans="1:32" s="509" customFormat="1" ht="31.5" x14ac:dyDescent="0.25">
      <c r="A26" s="296" t="s">
        <v>174</v>
      </c>
      <c r="B26" s="382">
        <f>H26+J26+L26+N26+P26+R26+T26+V26+X26+Z26+AB26+AD26</f>
        <v>0</v>
      </c>
      <c r="C26" s="609">
        <f t="shared" ref="C26:C27" si="12">T26+R26+H26+J26+L26+N26+P26</f>
        <v>0</v>
      </c>
      <c r="D26" s="383">
        <f>E26</f>
        <v>0</v>
      </c>
      <c r="E26" s="383">
        <f>I26+K26+M26+O26+Q26+S26+U26+W26+Y26+AA26+AC26+AE26</f>
        <v>0</v>
      </c>
      <c r="F26" s="382">
        <f>IFERROR(E26/B26*100,0)</f>
        <v>0</v>
      </c>
      <c r="G26" s="382">
        <f>IFERROR(E26/C26*100,0)</f>
        <v>0</v>
      </c>
      <c r="H26" s="288">
        <v>0</v>
      </c>
      <c r="I26" s="288">
        <v>0</v>
      </c>
      <c r="J26" s="288">
        <v>0</v>
      </c>
      <c r="K26" s="288">
        <v>0</v>
      </c>
      <c r="L26" s="288">
        <v>0</v>
      </c>
      <c r="M26" s="288">
        <v>0</v>
      </c>
      <c r="N26" s="288">
        <v>0</v>
      </c>
      <c r="O26" s="288">
        <v>0</v>
      </c>
      <c r="P26" s="288">
        <v>0</v>
      </c>
      <c r="Q26" s="288">
        <v>0</v>
      </c>
      <c r="R26" s="288">
        <v>0</v>
      </c>
      <c r="S26" s="288">
        <v>0</v>
      </c>
      <c r="T26" s="288">
        <v>0</v>
      </c>
      <c r="U26" s="288">
        <v>0</v>
      </c>
      <c r="V26" s="288">
        <v>0</v>
      </c>
      <c r="W26" s="288">
        <v>0</v>
      </c>
      <c r="X26" s="288">
        <v>0</v>
      </c>
      <c r="Y26" s="288">
        <v>0</v>
      </c>
      <c r="Z26" s="288">
        <v>0</v>
      </c>
      <c r="AA26" s="288">
        <v>0</v>
      </c>
      <c r="AB26" s="288">
        <v>0</v>
      </c>
      <c r="AC26" s="288">
        <v>0</v>
      </c>
      <c r="AD26" s="288">
        <v>0</v>
      </c>
      <c r="AE26" s="288">
        <v>0</v>
      </c>
      <c r="AF26" s="823"/>
    </row>
    <row r="27" spans="1:32" s="509" customFormat="1" ht="15.75" x14ac:dyDescent="0.25">
      <c r="A27" s="284" t="s">
        <v>221</v>
      </c>
      <c r="B27" s="382">
        <f>H27+J27+L27+N27+P27+R27+T27+V27+X27+Z27+AB27+AD27</f>
        <v>0</v>
      </c>
      <c r="C27" s="609">
        <f t="shared" si="12"/>
        <v>0</v>
      </c>
      <c r="D27" s="383">
        <f>E27</f>
        <v>0</v>
      </c>
      <c r="E27" s="383">
        <f>I27+K27+M27+O27+Q27+S27+U27+W27+Y27+AA27+AC27+AE27</f>
        <v>0</v>
      </c>
      <c r="F27" s="382">
        <f>IFERROR(E27/B27*100,0)</f>
        <v>0</v>
      </c>
      <c r="G27" s="382">
        <f>IFERROR(E27/C27*100,0)</f>
        <v>0</v>
      </c>
      <c r="H27" s="288">
        <v>0</v>
      </c>
      <c r="I27" s="288">
        <v>0</v>
      </c>
      <c r="J27" s="288">
        <v>0</v>
      </c>
      <c r="K27" s="288">
        <v>0</v>
      </c>
      <c r="L27" s="288">
        <v>0</v>
      </c>
      <c r="M27" s="288">
        <v>0</v>
      </c>
      <c r="N27" s="288">
        <v>0</v>
      </c>
      <c r="O27" s="288">
        <v>0</v>
      </c>
      <c r="P27" s="288">
        <v>0</v>
      </c>
      <c r="Q27" s="288">
        <v>0</v>
      </c>
      <c r="R27" s="288">
        <v>0</v>
      </c>
      <c r="S27" s="288">
        <v>0</v>
      </c>
      <c r="T27" s="288">
        <v>0</v>
      </c>
      <c r="U27" s="288">
        <v>0</v>
      </c>
      <c r="V27" s="288">
        <v>0</v>
      </c>
      <c r="W27" s="288">
        <v>0</v>
      </c>
      <c r="X27" s="288">
        <v>0</v>
      </c>
      <c r="Y27" s="288">
        <v>0</v>
      </c>
      <c r="Z27" s="288">
        <v>0</v>
      </c>
      <c r="AA27" s="288">
        <v>0</v>
      </c>
      <c r="AB27" s="288">
        <v>0</v>
      </c>
      <c r="AC27" s="288">
        <v>0</v>
      </c>
      <c r="AD27" s="288">
        <v>0</v>
      </c>
      <c r="AE27" s="288">
        <v>0</v>
      </c>
      <c r="AF27" s="824"/>
    </row>
    <row r="28" spans="1:32" s="509" customFormat="1" ht="15.75" x14ac:dyDescent="0.25">
      <c r="A28" s="826" t="s">
        <v>433</v>
      </c>
      <c r="B28" s="667"/>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c r="AA28" s="667"/>
      <c r="AB28" s="667"/>
      <c r="AC28" s="667"/>
      <c r="AD28" s="667"/>
      <c r="AE28" s="668"/>
      <c r="AF28" s="503"/>
    </row>
    <row r="29" spans="1:32" s="509" customFormat="1" ht="409.5" x14ac:dyDescent="0.25">
      <c r="A29" s="284" t="s">
        <v>430</v>
      </c>
      <c r="B29" s="382">
        <f>B30+B31+B34+B32</f>
        <v>53594.8</v>
      </c>
      <c r="C29" s="382">
        <f>C30+C31+C34+C32</f>
        <v>9826.74</v>
      </c>
      <c r="D29" s="382">
        <f>D30+D31+D34+D32</f>
        <v>9134.4700000000012</v>
      </c>
      <c r="E29" s="609">
        <f>E30+E31+E34+E32</f>
        <v>9134.4700000000012</v>
      </c>
      <c r="F29" s="382">
        <f>IFERROR(E29/B29*100,0)</f>
        <v>17.043575122959691</v>
      </c>
      <c r="G29" s="382">
        <f>IFERROR(E29/C29*100,0)</f>
        <v>92.95524253211137</v>
      </c>
      <c r="H29" s="285">
        <f t="shared" ref="H29:AE29" si="13">H30+H31+H34+H32</f>
        <v>139.28</v>
      </c>
      <c r="I29" s="285">
        <f t="shared" si="13"/>
        <v>58.84</v>
      </c>
      <c r="J29" s="285">
        <f t="shared" si="13"/>
        <v>95.47</v>
      </c>
      <c r="K29" s="285">
        <f t="shared" si="13"/>
        <v>95.47</v>
      </c>
      <c r="L29" s="285">
        <f t="shared" si="13"/>
        <v>2083.61</v>
      </c>
      <c r="M29" s="285">
        <f t="shared" si="13"/>
        <v>2164.06</v>
      </c>
      <c r="N29" s="285">
        <f t="shared" si="13"/>
        <v>620.52</v>
      </c>
      <c r="O29" s="285">
        <f t="shared" si="13"/>
        <v>620.46</v>
      </c>
      <c r="P29" s="285">
        <f t="shared" si="13"/>
        <v>331.97</v>
      </c>
      <c r="Q29" s="285">
        <f t="shared" si="13"/>
        <v>331.97</v>
      </c>
      <c r="R29" s="285">
        <f t="shared" si="13"/>
        <v>819.74</v>
      </c>
      <c r="S29" s="285">
        <f t="shared" si="13"/>
        <v>599.91</v>
      </c>
      <c r="T29" s="285">
        <f t="shared" si="13"/>
        <v>5736.15</v>
      </c>
      <c r="U29" s="285">
        <f t="shared" si="13"/>
        <v>5263.76</v>
      </c>
      <c r="V29" s="285">
        <f t="shared" si="13"/>
        <v>2697.29</v>
      </c>
      <c r="W29" s="285">
        <f t="shared" si="13"/>
        <v>0</v>
      </c>
      <c r="X29" s="285">
        <f t="shared" si="13"/>
        <v>8764.11</v>
      </c>
      <c r="Y29" s="285">
        <f t="shared" si="13"/>
        <v>0</v>
      </c>
      <c r="Z29" s="285">
        <f t="shared" si="13"/>
        <v>27106.13</v>
      </c>
      <c r="AA29" s="285">
        <f t="shared" si="13"/>
        <v>0</v>
      </c>
      <c r="AB29" s="285">
        <f t="shared" si="13"/>
        <v>1562.97</v>
      </c>
      <c r="AC29" s="285">
        <f t="shared" si="13"/>
        <v>0</v>
      </c>
      <c r="AD29" s="285">
        <f t="shared" si="13"/>
        <v>3637.56</v>
      </c>
      <c r="AE29" s="285">
        <f t="shared" si="13"/>
        <v>0</v>
      </c>
      <c r="AF29" s="666" t="s">
        <v>621</v>
      </c>
    </row>
    <row r="30" spans="1:32" s="509" customFormat="1" ht="15.75" x14ac:dyDescent="0.25">
      <c r="A30" s="381" t="s">
        <v>434</v>
      </c>
      <c r="B30" s="382">
        <f>H30+J30+L30+N30+P30+R30+T30+V30+X30+Z30+AB30+AD30</f>
        <v>0</v>
      </c>
      <c r="C30" s="609">
        <f>T30+R30+H30+J30+L30+N30+P30</f>
        <v>0</v>
      </c>
      <c r="D30" s="383">
        <f>E30</f>
        <v>0</v>
      </c>
      <c r="E30" s="383">
        <f>I30+K30+M30+O30+Q30+S30+U30+W30+Y30+AA30+AC30+AE30</f>
        <v>0</v>
      </c>
      <c r="F30" s="382">
        <f>IFERROR(E30/B30*100,0)</f>
        <v>0</v>
      </c>
      <c r="G30" s="383">
        <f>IFERROR(E30/C30*100,0)</f>
        <v>0</v>
      </c>
      <c r="H30" s="288">
        <v>0</v>
      </c>
      <c r="I30" s="288">
        <v>0</v>
      </c>
      <c r="J30" s="288">
        <v>0</v>
      </c>
      <c r="K30" s="288">
        <v>0</v>
      </c>
      <c r="L30" s="288">
        <v>0</v>
      </c>
      <c r="M30" s="288">
        <v>0</v>
      </c>
      <c r="N30" s="288">
        <v>0</v>
      </c>
      <c r="O30" s="288">
        <v>0</v>
      </c>
      <c r="P30" s="288">
        <v>0</v>
      </c>
      <c r="Q30" s="288">
        <v>0</v>
      </c>
      <c r="R30" s="288">
        <v>0</v>
      </c>
      <c r="S30" s="288">
        <v>0</v>
      </c>
      <c r="T30" s="288">
        <v>0</v>
      </c>
      <c r="U30" s="288">
        <v>0</v>
      </c>
      <c r="V30" s="288">
        <v>0</v>
      </c>
      <c r="W30" s="288">
        <v>0</v>
      </c>
      <c r="X30" s="288">
        <v>0</v>
      </c>
      <c r="Y30" s="288">
        <v>0</v>
      </c>
      <c r="Z30" s="288">
        <v>0</v>
      </c>
      <c r="AA30" s="288">
        <v>0</v>
      </c>
      <c r="AB30" s="288">
        <v>0</v>
      </c>
      <c r="AC30" s="288">
        <v>0</v>
      </c>
      <c r="AD30" s="288">
        <v>0</v>
      </c>
      <c r="AE30" s="288">
        <v>0</v>
      </c>
      <c r="AF30" s="880"/>
    </row>
    <row r="31" spans="1:32" s="509" customFormat="1" ht="15.75" x14ac:dyDescent="0.25">
      <c r="A31" s="284" t="s">
        <v>32</v>
      </c>
      <c r="B31" s="382">
        <f>H31+J31+L31+N31+P31+R31+T31+V31+X31+Z31+AB31+AD31</f>
        <v>0</v>
      </c>
      <c r="C31" s="609">
        <f t="shared" ref="C31:C34" si="14">T31+R31+H31+J31+L31+N31+P31</f>
        <v>0</v>
      </c>
      <c r="D31" s="383">
        <f>E31</f>
        <v>0</v>
      </c>
      <c r="E31" s="383">
        <f>I31+K31+M31+O31+Q31+S31+U31+W31+Y31+AA31+AC31+AE31</f>
        <v>0</v>
      </c>
      <c r="F31" s="382">
        <f>IFERROR(E31/B31*100,0)</f>
        <v>0</v>
      </c>
      <c r="G31" s="383">
        <f>IFERROR(E31/C31*100,0)</f>
        <v>0</v>
      </c>
      <c r="H31" s="288">
        <v>0</v>
      </c>
      <c r="I31" s="288">
        <v>0</v>
      </c>
      <c r="J31" s="288">
        <v>0</v>
      </c>
      <c r="K31" s="288">
        <v>0</v>
      </c>
      <c r="L31" s="288">
        <v>0</v>
      </c>
      <c r="M31" s="288">
        <v>0</v>
      </c>
      <c r="N31" s="288">
        <v>0</v>
      </c>
      <c r="O31" s="288">
        <v>0</v>
      </c>
      <c r="P31" s="288">
        <v>0</v>
      </c>
      <c r="Q31" s="288">
        <v>0</v>
      </c>
      <c r="R31" s="288">
        <v>0</v>
      </c>
      <c r="S31" s="288">
        <v>0</v>
      </c>
      <c r="T31" s="288">
        <v>0</v>
      </c>
      <c r="U31" s="288">
        <v>0</v>
      </c>
      <c r="V31" s="288">
        <v>0</v>
      </c>
      <c r="W31" s="288">
        <v>0</v>
      </c>
      <c r="X31" s="288">
        <v>0</v>
      </c>
      <c r="Y31" s="288">
        <v>0</v>
      </c>
      <c r="Z31" s="288">
        <v>0</v>
      </c>
      <c r="AA31" s="288">
        <v>0</v>
      </c>
      <c r="AB31" s="288">
        <v>0</v>
      </c>
      <c r="AC31" s="288">
        <v>0</v>
      </c>
      <c r="AD31" s="288">
        <v>0</v>
      </c>
      <c r="AE31" s="288">
        <v>0</v>
      </c>
      <c r="AF31" s="880"/>
    </row>
    <row r="32" spans="1:32" s="505" customFormat="1" ht="24.75" customHeight="1" x14ac:dyDescent="0.25">
      <c r="A32" s="507" t="s">
        <v>33</v>
      </c>
      <c r="B32" s="605">
        <f>H32+J32+L32+N32+P32+R32+T32+V32+X32+Z32+AB32+AD32</f>
        <v>53594.8</v>
      </c>
      <c r="C32" s="609">
        <f t="shared" si="14"/>
        <v>9826.74</v>
      </c>
      <c r="D32" s="606">
        <f>E32</f>
        <v>9134.4700000000012</v>
      </c>
      <c r="E32" s="605">
        <f>I32+K32+M32+O32+Q32+S32+U32+W32+Y32+AA32+AC32+AE32</f>
        <v>9134.4700000000012</v>
      </c>
      <c r="F32" s="606">
        <f>E32/B32*100</f>
        <v>17.043575122959691</v>
      </c>
      <c r="G32" s="606">
        <f>E32/C32*100</f>
        <v>92.95524253211137</v>
      </c>
      <c r="H32" s="606">
        <f>[2]УКС!H25</f>
        <v>139.28</v>
      </c>
      <c r="I32" s="606">
        <f>[2]УКС!I25</f>
        <v>58.84</v>
      </c>
      <c r="J32" s="606">
        <f>[2]УКС!J25</f>
        <v>95.47</v>
      </c>
      <c r="K32" s="606">
        <f>[2]УКС!K25</f>
        <v>95.47</v>
      </c>
      <c r="L32" s="606">
        <f>[2]УКС!L25</f>
        <v>2083.61</v>
      </c>
      <c r="M32" s="606">
        <f>[2]УКС!M25</f>
        <v>2164.06</v>
      </c>
      <c r="N32" s="606">
        <f>[2]УКС!N25</f>
        <v>620.52</v>
      </c>
      <c r="O32" s="606">
        <f>[2]УКС!O25</f>
        <v>620.46</v>
      </c>
      <c r="P32" s="606">
        <f>[2]УКС!P25</f>
        <v>331.97</v>
      </c>
      <c r="Q32" s="606">
        <f>[2]УКС!Q25</f>
        <v>331.97</v>
      </c>
      <c r="R32" s="606">
        <f>[2]УКС!R25</f>
        <v>819.74</v>
      </c>
      <c r="S32" s="606">
        <f>[2]УКС!S25</f>
        <v>599.91</v>
      </c>
      <c r="T32" s="606">
        <f>[2]УКС!T25</f>
        <v>5736.15</v>
      </c>
      <c r="U32" s="606">
        <f>[2]УКС!U25</f>
        <v>5263.76</v>
      </c>
      <c r="V32" s="606">
        <f>[2]УКС!V25</f>
        <v>2697.29</v>
      </c>
      <c r="W32" s="606">
        <f>[2]УКС!W25</f>
        <v>0</v>
      </c>
      <c r="X32" s="606">
        <f>[2]УКС!X25</f>
        <v>8764.11</v>
      </c>
      <c r="Y32" s="606">
        <f>[2]УКС!Y25</f>
        <v>0</v>
      </c>
      <c r="Z32" s="606">
        <f>[2]УКС!Z25</f>
        <v>27106.13</v>
      </c>
      <c r="AA32" s="606">
        <f>[2]УКС!AA25</f>
        <v>0</v>
      </c>
      <c r="AB32" s="606">
        <f>[2]УКС!AB25</f>
        <v>1562.97</v>
      </c>
      <c r="AC32" s="606">
        <f>[2]УКС!AC25</f>
        <v>0</v>
      </c>
      <c r="AD32" s="606">
        <f>[2]УКС!AD25</f>
        <v>3637.56</v>
      </c>
      <c r="AE32" s="606">
        <f>[2]УКС!AE25</f>
        <v>0</v>
      </c>
      <c r="AF32" s="880"/>
    </row>
    <row r="33" spans="1:32" s="509" customFormat="1" ht="31.5" x14ac:dyDescent="0.25">
      <c r="A33" s="296" t="s">
        <v>174</v>
      </c>
      <c r="B33" s="382">
        <f>H33+J33+L33+N33+P33+R33+T33+V33+X33+Z33+AB33+AD33</f>
        <v>0</v>
      </c>
      <c r="C33" s="609">
        <f t="shared" si="14"/>
        <v>0</v>
      </c>
      <c r="D33" s="383">
        <f>E33</f>
        <v>0</v>
      </c>
      <c r="E33" s="383">
        <f>I33+K33+M33+O33+Q33+S33+U33+W33+Y33+AA33+AC33+AE33</f>
        <v>0</v>
      </c>
      <c r="F33" s="382">
        <f>IFERROR(E33/B33*100,0)</f>
        <v>0</v>
      </c>
      <c r="G33" s="383">
        <f>IFERROR(E33/C33*100,0)</f>
        <v>0</v>
      </c>
      <c r="H33" s="288">
        <v>0</v>
      </c>
      <c r="I33" s="288">
        <v>0</v>
      </c>
      <c r="J33" s="288">
        <v>0</v>
      </c>
      <c r="K33" s="288">
        <v>0</v>
      </c>
      <c r="L33" s="288">
        <v>0</v>
      </c>
      <c r="M33" s="288">
        <v>0</v>
      </c>
      <c r="N33" s="288">
        <v>0</v>
      </c>
      <c r="O33" s="288">
        <v>0</v>
      </c>
      <c r="P33" s="288">
        <v>0</v>
      </c>
      <c r="Q33" s="288">
        <v>0</v>
      </c>
      <c r="R33" s="288">
        <v>0</v>
      </c>
      <c r="S33" s="288">
        <v>0</v>
      </c>
      <c r="T33" s="288">
        <v>0</v>
      </c>
      <c r="U33" s="288">
        <v>0</v>
      </c>
      <c r="V33" s="288">
        <v>0</v>
      </c>
      <c r="W33" s="288">
        <v>0</v>
      </c>
      <c r="X33" s="288">
        <v>0</v>
      </c>
      <c r="Y33" s="288">
        <v>0</v>
      </c>
      <c r="Z33" s="288">
        <v>0</v>
      </c>
      <c r="AA33" s="288">
        <v>0</v>
      </c>
      <c r="AB33" s="288">
        <v>0</v>
      </c>
      <c r="AC33" s="288">
        <v>0</v>
      </c>
      <c r="AD33" s="288">
        <v>0</v>
      </c>
      <c r="AE33" s="288">
        <v>0</v>
      </c>
      <c r="AF33" s="880"/>
    </row>
    <row r="34" spans="1:32" s="509" customFormat="1" ht="15.75" x14ac:dyDescent="0.25">
      <c r="A34" s="284" t="s">
        <v>221</v>
      </c>
      <c r="B34" s="382">
        <f>H34+J34+L34+N34+P34+R34+T34+V34+X34+Z34+AB34+AD34</f>
        <v>0</v>
      </c>
      <c r="C34" s="609">
        <f t="shared" si="14"/>
        <v>0</v>
      </c>
      <c r="D34" s="383">
        <f>E34</f>
        <v>0</v>
      </c>
      <c r="E34" s="383">
        <f>I34+K34+M34+O34+Q34+S34+U34+W34+Y34+AA34+AC34+AE34</f>
        <v>0</v>
      </c>
      <c r="F34" s="382">
        <f>IFERROR(E34/B34*100,0)</f>
        <v>0</v>
      </c>
      <c r="G34" s="383">
        <f>IFERROR(E34/C34*100,0)</f>
        <v>0</v>
      </c>
      <c r="H34" s="288">
        <v>0</v>
      </c>
      <c r="I34" s="288">
        <v>0</v>
      </c>
      <c r="J34" s="288">
        <v>0</v>
      </c>
      <c r="K34" s="288">
        <v>0</v>
      </c>
      <c r="L34" s="288">
        <v>0</v>
      </c>
      <c r="M34" s="288">
        <v>0</v>
      </c>
      <c r="N34" s="288">
        <v>0</v>
      </c>
      <c r="O34" s="288">
        <v>0</v>
      </c>
      <c r="P34" s="288">
        <v>0</v>
      </c>
      <c r="Q34" s="288">
        <v>0</v>
      </c>
      <c r="R34" s="288">
        <v>0</v>
      </c>
      <c r="S34" s="288">
        <v>0</v>
      </c>
      <c r="T34" s="288">
        <v>0</v>
      </c>
      <c r="U34" s="288">
        <v>0</v>
      </c>
      <c r="V34" s="288">
        <v>0</v>
      </c>
      <c r="W34" s="288">
        <v>0</v>
      </c>
      <c r="X34" s="288">
        <v>0</v>
      </c>
      <c r="Y34" s="288">
        <v>0</v>
      </c>
      <c r="Z34" s="288">
        <v>0</v>
      </c>
      <c r="AA34" s="288">
        <v>0</v>
      </c>
      <c r="AB34" s="288">
        <v>0</v>
      </c>
      <c r="AC34" s="288">
        <v>0</v>
      </c>
      <c r="AD34" s="288">
        <v>0</v>
      </c>
      <c r="AE34" s="288">
        <v>0</v>
      </c>
      <c r="AF34" s="881"/>
    </row>
    <row r="35" spans="1:32" s="509" customFormat="1" ht="15.75" x14ac:dyDescent="0.25">
      <c r="A35" s="826" t="s">
        <v>435</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8"/>
      <c r="AF35" s="980"/>
    </row>
    <row r="36" spans="1:32" s="509" customFormat="1" ht="78.75" customHeight="1" x14ac:dyDescent="0.25">
      <c r="A36" s="284" t="s">
        <v>430</v>
      </c>
      <c r="B36" s="382">
        <f>B37+B38+B41+B39</f>
        <v>12504.510000000002</v>
      </c>
      <c r="C36" s="382">
        <f>C37+C38+C41+C39</f>
        <v>576.30999999999995</v>
      </c>
      <c r="D36" s="382">
        <f>D37+D38+D41+D39</f>
        <v>576.30999999999995</v>
      </c>
      <c r="E36" s="609">
        <f>E37+E38+E41+E39</f>
        <v>576.30999999999995</v>
      </c>
      <c r="F36" s="382">
        <f t="shared" ref="F36:F41" si="15">IFERROR(E36/B36*100,0)</f>
        <v>4.6088171387763284</v>
      </c>
      <c r="G36" s="382">
        <f t="shared" ref="G36:G41" si="16">IFERROR(E36/C36*100,0)</f>
        <v>100</v>
      </c>
      <c r="H36" s="285">
        <f t="shared" ref="H36:AE36" si="17">H37+H38+H41+H39</f>
        <v>0</v>
      </c>
      <c r="I36" s="285">
        <f t="shared" si="17"/>
        <v>0</v>
      </c>
      <c r="J36" s="285">
        <f t="shared" si="17"/>
        <v>0</v>
      </c>
      <c r="K36" s="285">
        <f t="shared" si="17"/>
        <v>0</v>
      </c>
      <c r="L36" s="285">
        <f t="shared" si="17"/>
        <v>576.30999999999995</v>
      </c>
      <c r="M36" s="285">
        <f t="shared" si="17"/>
        <v>0</v>
      </c>
      <c r="N36" s="285">
        <f t="shared" si="17"/>
        <v>0</v>
      </c>
      <c r="O36" s="285">
        <f t="shared" si="17"/>
        <v>0</v>
      </c>
      <c r="P36" s="285">
        <f t="shared" si="17"/>
        <v>0</v>
      </c>
      <c r="Q36" s="285">
        <f t="shared" si="17"/>
        <v>0</v>
      </c>
      <c r="R36" s="285">
        <f t="shared" si="17"/>
        <v>0</v>
      </c>
      <c r="S36" s="285">
        <f t="shared" si="17"/>
        <v>576.30999999999995</v>
      </c>
      <c r="T36" s="285">
        <f t="shared" si="17"/>
        <v>0</v>
      </c>
      <c r="U36" s="285">
        <f t="shared" si="17"/>
        <v>0</v>
      </c>
      <c r="V36" s="285">
        <f t="shared" si="17"/>
        <v>0</v>
      </c>
      <c r="W36" s="285">
        <f t="shared" si="17"/>
        <v>0</v>
      </c>
      <c r="X36" s="285">
        <f t="shared" si="17"/>
        <v>0</v>
      </c>
      <c r="Y36" s="285">
        <f t="shared" si="17"/>
        <v>0</v>
      </c>
      <c r="Z36" s="285">
        <f t="shared" si="17"/>
        <v>1199.4000000000001</v>
      </c>
      <c r="AA36" s="285">
        <f t="shared" si="17"/>
        <v>0</v>
      </c>
      <c r="AB36" s="285">
        <f t="shared" si="17"/>
        <v>10728.800000000001</v>
      </c>
      <c r="AC36" s="285">
        <f t="shared" si="17"/>
        <v>0</v>
      </c>
      <c r="AD36" s="285">
        <f t="shared" si="17"/>
        <v>0</v>
      </c>
      <c r="AE36" s="285">
        <f t="shared" si="17"/>
        <v>0</v>
      </c>
      <c r="AF36" s="671" t="s">
        <v>622</v>
      </c>
    </row>
    <row r="37" spans="1:32" s="509" customFormat="1" ht="15.75" x14ac:dyDescent="0.25">
      <c r="A37" s="381" t="s">
        <v>434</v>
      </c>
      <c r="B37" s="382">
        <f>H37+J37+L37+N37+P37+R37+T37+V37+X37+Z37+AB37+AD37</f>
        <v>0</v>
      </c>
      <c r="C37" s="609">
        <f>T37+R37+H37+J37+L37+N37+P37</f>
        <v>0</v>
      </c>
      <c r="D37" s="383">
        <f>E37</f>
        <v>0</v>
      </c>
      <c r="E37" s="383">
        <f>I37+K37+M37+O37+Q37+S37+U37+W37+Y37+AA37+AC37+AE37</f>
        <v>0</v>
      </c>
      <c r="F37" s="382">
        <f t="shared" si="15"/>
        <v>0</v>
      </c>
      <c r="G37" s="383">
        <f t="shared" si="16"/>
        <v>0</v>
      </c>
      <c r="H37" s="288">
        <v>0</v>
      </c>
      <c r="I37" s="288">
        <v>0</v>
      </c>
      <c r="J37" s="288">
        <v>0</v>
      </c>
      <c r="K37" s="288">
        <v>0</v>
      </c>
      <c r="L37" s="288">
        <v>0</v>
      </c>
      <c r="M37" s="288">
        <v>0</v>
      </c>
      <c r="N37" s="288">
        <v>0</v>
      </c>
      <c r="O37" s="288">
        <v>0</v>
      </c>
      <c r="P37" s="288">
        <v>0</v>
      </c>
      <c r="Q37" s="288">
        <v>0</v>
      </c>
      <c r="R37" s="288">
        <v>0</v>
      </c>
      <c r="S37" s="288">
        <v>0</v>
      </c>
      <c r="T37" s="288">
        <v>0</v>
      </c>
      <c r="U37" s="288">
        <v>0</v>
      </c>
      <c r="V37" s="288">
        <v>0</v>
      </c>
      <c r="W37" s="288">
        <v>0</v>
      </c>
      <c r="X37" s="288">
        <v>0</v>
      </c>
      <c r="Y37" s="288">
        <v>0</v>
      </c>
      <c r="Z37" s="288">
        <v>0</v>
      </c>
      <c r="AA37" s="288">
        <v>0</v>
      </c>
      <c r="AB37" s="288">
        <v>0</v>
      </c>
      <c r="AC37" s="288">
        <v>0</v>
      </c>
      <c r="AD37" s="288">
        <v>0</v>
      </c>
      <c r="AE37" s="288">
        <v>0</v>
      </c>
      <c r="AF37" s="671"/>
    </row>
    <row r="38" spans="1:32" s="509" customFormat="1" ht="15.75" x14ac:dyDescent="0.25">
      <c r="A38" s="284" t="s">
        <v>32</v>
      </c>
      <c r="B38" s="382">
        <f>H38+J38+L38+N38+P38+R38+T38+V38+X38+Z38+AB38+AD38</f>
        <v>0</v>
      </c>
      <c r="C38" s="609">
        <f t="shared" ref="C38:C41" si="18">T38+R38+H38+J38+L38+N38+P38</f>
        <v>0</v>
      </c>
      <c r="D38" s="383">
        <f>E38</f>
        <v>0</v>
      </c>
      <c r="E38" s="383">
        <f>I38+K38+M38+O38+Q38+S38+U38+W38+Y38+AA38+AC38+AE38</f>
        <v>0</v>
      </c>
      <c r="F38" s="382">
        <f t="shared" si="15"/>
        <v>0</v>
      </c>
      <c r="G38" s="383">
        <f t="shared" si="16"/>
        <v>0</v>
      </c>
      <c r="H38" s="288">
        <v>0</v>
      </c>
      <c r="I38" s="288">
        <v>0</v>
      </c>
      <c r="J38" s="288">
        <v>0</v>
      </c>
      <c r="K38" s="288">
        <v>0</v>
      </c>
      <c r="L38" s="288">
        <v>0</v>
      </c>
      <c r="M38" s="288">
        <v>0</v>
      </c>
      <c r="N38" s="288">
        <v>0</v>
      </c>
      <c r="O38" s="288">
        <v>0</v>
      </c>
      <c r="P38" s="288">
        <v>0</v>
      </c>
      <c r="Q38" s="288">
        <v>0</v>
      </c>
      <c r="R38" s="288">
        <v>0</v>
      </c>
      <c r="S38" s="288">
        <v>0</v>
      </c>
      <c r="T38" s="288">
        <v>0</v>
      </c>
      <c r="U38" s="288">
        <v>0</v>
      </c>
      <c r="V38" s="288">
        <v>0</v>
      </c>
      <c r="W38" s="288">
        <v>0</v>
      </c>
      <c r="X38" s="288">
        <v>0</v>
      </c>
      <c r="Y38" s="288">
        <v>0</v>
      </c>
      <c r="Z38" s="288">
        <v>0</v>
      </c>
      <c r="AA38" s="288">
        <v>0</v>
      </c>
      <c r="AB38" s="288">
        <v>0</v>
      </c>
      <c r="AC38" s="288">
        <v>0</v>
      </c>
      <c r="AD38" s="288">
        <v>0</v>
      </c>
      <c r="AE38" s="288">
        <v>0</v>
      </c>
      <c r="AF38" s="671"/>
    </row>
    <row r="39" spans="1:32" s="504" customFormat="1" ht="24.75" customHeight="1" x14ac:dyDescent="0.25">
      <c r="A39" s="507" t="s">
        <v>33</v>
      </c>
      <c r="B39" s="605">
        <f>H39+J39+L39+N39+P39+R39+T39+V39+X39+Z39+AB39+AD39</f>
        <v>12504.510000000002</v>
      </c>
      <c r="C39" s="609">
        <f t="shared" si="18"/>
        <v>576.30999999999995</v>
      </c>
      <c r="D39" s="383">
        <f>E39</f>
        <v>576.30999999999995</v>
      </c>
      <c r="E39" s="383">
        <f>I39+K39+M39+O39+Q39+S39+U39+W39+Y39+AA39+AC39+AE39</f>
        <v>576.30999999999995</v>
      </c>
      <c r="F39" s="382">
        <f t="shared" si="15"/>
        <v>4.6088171387763284</v>
      </c>
      <c r="G39" s="383">
        <f t="shared" si="16"/>
        <v>100</v>
      </c>
      <c r="H39" s="288">
        <v>0</v>
      </c>
      <c r="I39" s="288">
        <v>0</v>
      </c>
      <c r="J39" s="288">
        <v>0</v>
      </c>
      <c r="K39" s="288">
        <v>0</v>
      </c>
      <c r="L39" s="606">
        <f>[2]УКС!L31</f>
        <v>576.30999999999995</v>
      </c>
      <c r="M39" s="606">
        <f>[2]УКС!M31</f>
        <v>0</v>
      </c>
      <c r="N39" s="606">
        <f>[2]УКС!N31</f>
        <v>0</v>
      </c>
      <c r="O39" s="606">
        <f>[2]УКС!O31</f>
        <v>0</v>
      </c>
      <c r="P39" s="606">
        <f>[2]УКС!P31</f>
        <v>0</v>
      </c>
      <c r="Q39" s="606">
        <f>[2]УКС!Q31</f>
        <v>0</v>
      </c>
      <c r="R39" s="606">
        <f>[2]УКС!R31</f>
        <v>0</v>
      </c>
      <c r="S39" s="606">
        <f>[2]УКС!S31</f>
        <v>576.30999999999995</v>
      </c>
      <c r="T39" s="606">
        <f>[2]УКС!T31</f>
        <v>0</v>
      </c>
      <c r="U39" s="606">
        <f>[2]УКС!U31</f>
        <v>0</v>
      </c>
      <c r="V39" s="606">
        <f>[2]УКС!V31</f>
        <v>0</v>
      </c>
      <c r="W39" s="606">
        <f>[2]УКС!W31</f>
        <v>0</v>
      </c>
      <c r="X39" s="606">
        <f>[2]УКС!X31</f>
        <v>0</v>
      </c>
      <c r="Y39" s="606">
        <f>[2]УКС!Y31</f>
        <v>0</v>
      </c>
      <c r="Z39" s="606">
        <f>[2]УКС!Z31</f>
        <v>1199.4000000000001</v>
      </c>
      <c r="AA39" s="606">
        <f>[2]УКС!AA31</f>
        <v>0</v>
      </c>
      <c r="AB39" s="606">
        <f>[2]УКС!AB31</f>
        <v>10728.800000000001</v>
      </c>
      <c r="AC39" s="606">
        <f>[2]УКС!AC31</f>
        <v>0</v>
      </c>
      <c r="AD39" s="606">
        <f>[2]УКС!AD31</f>
        <v>0</v>
      </c>
      <c r="AE39" s="606">
        <f>[2]УКС!AE31</f>
        <v>0</v>
      </c>
      <c r="AF39" s="671"/>
    </row>
    <row r="40" spans="1:32" s="509" customFormat="1" ht="31.5" x14ac:dyDescent="0.25">
      <c r="A40" s="296" t="s">
        <v>174</v>
      </c>
      <c r="B40" s="382">
        <f>H40+J40+L40+N40+P40+R40+T40+V40+X40+Z40+AB40+AD40</f>
        <v>0</v>
      </c>
      <c r="C40" s="609">
        <f t="shared" si="18"/>
        <v>0</v>
      </c>
      <c r="D40" s="383">
        <f>E40</f>
        <v>0</v>
      </c>
      <c r="E40" s="383">
        <f>I40+K40+M40+O40+Q40+S40+U40+W40+Y40+AA40+AC40+AE40</f>
        <v>0</v>
      </c>
      <c r="F40" s="382">
        <f t="shared" si="15"/>
        <v>0</v>
      </c>
      <c r="G40" s="383">
        <f t="shared" si="16"/>
        <v>0</v>
      </c>
      <c r="H40" s="288">
        <v>0</v>
      </c>
      <c r="I40" s="288">
        <v>0</v>
      </c>
      <c r="J40" s="288">
        <v>0</v>
      </c>
      <c r="K40" s="288">
        <v>0</v>
      </c>
      <c r="L40" s="288">
        <v>0</v>
      </c>
      <c r="M40" s="288">
        <v>0</v>
      </c>
      <c r="N40" s="288">
        <v>0</v>
      </c>
      <c r="O40" s="288">
        <v>0</v>
      </c>
      <c r="P40" s="288">
        <v>0</v>
      </c>
      <c r="Q40" s="288">
        <v>0</v>
      </c>
      <c r="R40" s="288">
        <v>0</v>
      </c>
      <c r="S40" s="288">
        <v>0</v>
      </c>
      <c r="T40" s="288">
        <v>0</v>
      </c>
      <c r="U40" s="288">
        <v>0</v>
      </c>
      <c r="V40" s="288">
        <v>0</v>
      </c>
      <c r="W40" s="288">
        <v>0</v>
      </c>
      <c r="X40" s="288">
        <v>0</v>
      </c>
      <c r="Y40" s="288">
        <v>0</v>
      </c>
      <c r="Z40" s="288">
        <v>0</v>
      </c>
      <c r="AA40" s="288">
        <v>0</v>
      </c>
      <c r="AB40" s="288">
        <v>0</v>
      </c>
      <c r="AC40" s="288">
        <v>0</v>
      </c>
      <c r="AD40" s="288">
        <v>0</v>
      </c>
      <c r="AE40" s="288">
        <v>0</v>
      </c>
      <c r="AF40" s="671"/>
    </row>
    <row r="41" spans="1:32" s="509" customFormat="1" ht="15.75" x14ac:dyDescent="0.25">
      <c r="A41" s="284" t="s">
        <v>221</v>
      </c>
      <c r="B41" s="382">
        <f>H41+J41+L41+N41+P41+R41+T41+V41+X41+Z41+AB41+AD41</f>
        <v>0</v>
      </c>
      <c r="C41" s="609">
        <f t="shared" si="18"/>
        <v>0</v>
      </c>
      <c r="D41" s="383">
        <f>E41</f>
        <v>0</v>
      </c>
      <c r="E41" s="383">
        <f>I41+K41+M41+O41+Q41+S41+U41+W41+Y41+AA41+AC41+AE41</f>
        <v>0</v>
      </c>
      <c r="F41" s="382">
        <f t="shared" si="15"/>
        <v>0</v>
      </c>
      <c r="G41" s="383">
        <f t="shared" si="16"/>
        <v>0</v>
      </c>
      <c r="H41" s="288">
        <v>0</v>
      </c>
      <c r="I41" s="288">
        <v>0</v>
      </c>
      <c r="J41" s="288">
        <v>0</v>
      </c>
      <c r="K41" s="288">
        <v>0</v>
      </c>
      <c r="L41" s="288">
        <v>0</v>
      </c>
      <c r="M41" s="288">
        <v>0</v>
      </c>
      <c r="N41" s="288">
        <v>0</v>
      </c>
      <c r="O41" s="288">
        <v>0</v>
      </c>
      <c r="P41" s="288">
        <v>0</v>
      </c>
      <c r="Q41" s="288">
        <v>0</v>
      </c>
      <c r="R41" s="288">
        <v>0</v>
      </c>
      <c r="S41" s="288">
        <v>0</v>
      </c>
      <c r="T41" s="288">
        <v>0</v>
      </c>
      <c r="U41" s="288">
        <v>0</v>
      </c>
      <c r="V41" s="288">
        <v>0</v>
      </c>
      <c r="W41" s="288">
        <v>0</v>
      </c>
      <c r="X41" s="288">
        <v>0</v>
      </c>
      <c r="Y41" s="288">
        <v>0</v>
      </c>
      <c r="Z41" s="288">
        <v>0</v>
      </c>
      <c r="AA41" s="288">
        <v>0</v>
      </c>
      <c r="AB41" s="288">
        <v>0</v>
      </c>
      <c r="AC41" s="288">
        <v>0</v>
      </c>
      <c r="AD41" s="288">
        <v>0</v>
      </c>
      <c r="AE41" s="288">
        <v>0</v>
      </c>
      <c r="AF41" s="671"/>
    </row>
    <row r="42" spans="1:32" s="509" customFormat="1" ht="15.75" x14ac:dyDescent="0.25">
      <c r="A42" s="826" t="s">
        <v>436</v>
      </c>
      <c r="B42" s="667"/>
      <c r="C42" s="667"/>
      <c r="D42" s="667"/>
      <c r="E42" s="667"/>
      <c r="F42" s="667"/>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8"/>
      <c r="AF42" s="980"/>
    </row>
    <row r="43" spans="1:32" s="509" customFormat="1" ht="15.75" x14ac:dyDescent="0.25">
      <c r="A43" s="281" t="s">
        <v>31</v>
      </c>
      <c r="B43" s="282">
        <f>B45+B46+B44+B48</f>
        <v>53533.91</v>
      </c>
      <c r="C43" s="282">
        <f>C45+C46+C44+C48</f>
        <v>28059.009999999995</v>
      </c>
      <c r="D43" s="282">
        <f>D45+D46+D44+D48</f>
        <v>26363.63</v>
      </c>
      <c r="E43" s="282">
        <f>E45+E46+E44+E48</f>
        <v>26363.63</v>
      </c>
      <c r="F43" s="282">
        <f>E43/B43*100</f>
        <v>49.246599024805029</v>
      </c>
      <c r="G43" s="282">
        <f>E43/C43*100</f>
        <v>93.957805353788331</v>
      </c>
      <c r="H43" s="282">
        <f t="shared" ref="H43:AE43" si="19">H45+H46+H44+H48</f>
        <v>5142.3099999999995</v>
      </c>
      <c r="I43" s="282">
        <f t="shared" si="19"/>
        <v>3726.31</v>
      </c>
      <c r="J43" s="282">
        <f t="shared" si="19"/>
        <v>5553.46</v>
      </c>
      <c r="K43" s="282">
        <f t="shared" si="19"/>
        <v>6282.34</v>
      </c>
      <c r="L43" s="282">
        <f t="shared" si="19"/>
        <v>4731.79</v>
      </c>
      <c r="M43" s="282">
        <f t="shared" si="19"/>
        <v>4240.28</v>
      </c>
      <c r="N43" s="282">
        <f t="shared" si="19"/>
        <v>3977.92</v>
      </c>
      <c r="O43" s="282">
        <f t="shared" si="19"/>
        <v>3894.59</v>
      </c>
      <c r="P43" s="282">
        <f t="shared" si="19"/>
        <v>2981.2799999999997</v>
      </c>
      <c r="Q43" s="282">
        <f t="shared" si="19"/>
        <v>2326.7800000000002</v>
      </c>
      <c r="R43" s="282">
        <f t="shared" si="19"/>
        <v>2527.65</v>
      </c>
      <c r="S43" s="282">
        <f t="shared" si="19"/>
        <v>2843.9</v>
      </c>
      <c r="T43" s="282">
        <f t="shared" si="19"/>
        <v>3144.6</v>
      </c>
      <c r="U43" s="282">
        <f t="shared" si="19"/>
        <v>3049.43</v>
      </c>
      <c r="V43" s="282">
        <f t="shared" si="19"/>
        <v>4103.8100000000004</v>
      </c>
      <c r="W43" s="282">
        <f t="shared" si="19"/>
        <v>0</v>
      </c>
      <c r="X43" s="282">
        <f t="shared" si="19"/>
        <v>4851.67</v>
      </c>
      <c r="Y43" s="282">
        <f t="shared" si="19"/>
        <v>0</v>
      </c>
      <c r="Z43" s="282">
        <f t="shared" si="19"/>
        <v>6834.7999999999993</v>
      </c>
      <c r="AA43" s="282">
        <f t="shared" si="19"/>
        <v>0</v>
      </c>
      <c r="AB43" s="282">
        <f t="shared" si="19"/>
        <v>4842.46</v>
      </c>
      <c r="AC43" s="282">
        <f t="shared" si="19"/>
        <v>0</v>
      </c>
      <c r="AD43" s="282">
        <f t="shared" si="19"/>
        <v>4842.1600000000008</v>
      </c>
      <c r="AE43" s="282">
        <f t="shared" si="19"/>
        <v>0</v>
      </c>
      <c r="AF43" s="991"/>
    </row>
    <row r="44" spans="1:32" s="509" customFormat="1" ht="15.75" x14ac:dyDescent="0.25">
      <c r="A44" s="381" t="s">
        <v>169</v>
      </c>
      <c r="B44" s="383">
        <f t="shared" ref="B44:C48" si="20">B51+B58</f>
        <v>0</v>
      </c>
      <c r="C44" s="383">
        <f>C51+C58</f>
        <v>0</v>
      </c>
      <c r="D44" s="383">
        <f>E44</f>
        <v>0</v>
      </c>
      <c r="E44" s="383">
        <f>I44+K44+M44+O44+Q44+S44+U44+W44+Y44+AA44+AC44+AE44</f>
        <v>0</v>
      </c>
      <c r="F44" s="382">
        <f>IFERROR(E44/B44*100,0)</f>
        <v>0</v>
      </c>
      <c r="G44" s="382">
        <f>IFERROR(E44/C44*100,0)</f>
        <v>0</v>
      </c>
      <c r="H44" s="288">
        <f t="shared" ref="H44:AE48" si="21">H51+H58</f>
        <v>0</v>
      </c>
      <c r="I44" s="288">
        <f t="shared" si="21"/>
        <v>0</v>
      </c>
      <c r="J44" s="288">
        <f t="shared" si="21"/>
        <v>0</v>
      </c>
      <c r="K44" s="288">
        <f t="shared" si="21"/>
        <v>0</v>
      </c>
      <c r="L44" s="288">
        <f t="shared" si="21"/>
        <v>0</v>
      </c>
      <c r="M44" s="288">
        <f t="shared" si="21"/>
        <v>0</v>
      </c>
      <c r="N44" s="288">
        <f t="shared" si="21"/>
        <v>0</v>
      </c>
      <c r="O44" s="288">
        <f t="shared" si="21"/>
        <v>0</v>
      </c>
      <c r="P44" s="288">
        <f t="shared" si="21"/>
        <v>0</v>
      </c>
      <c r="Q44" s="288">
        <f t="shared" si="21"/>
        <v>0</v>
      </c>
      <c r="R44" s="288">
        <f t="shared" si="21"/>
        <v>0</v>
      </c>
      <c r="S44" s="288">
        <f t="shared" si="21"/>
        <v>0</v>
      </c>
      <c r="T44" s="288">
        <f t="shared" si="21"/>
        <v>0</v>
      </c>
      <c r="U44" s="288">
        <f t="shared" si="21"/>
        <v>0</v>
      </c>
      <c r="V44" s="288">
        <f t="shared" si="21"/>
        <v>0</v>
      </c>
      <c r="W44" s="288">
        <f t="shared" si="21"/>
        <v>0</v>
      </c>
      <c r="X44" s="288">
        <f t="shared" si="21"/>
        <v>0</v>
      </c>
      <c r="Y44" s="288">
        <f t="shared" si="21"/>
        <v>0</v>
      </c>
      <c r="Z44" s="288">
        <f t="shared" si="21"/>
        <v>0</v>
      </c>
      <c r="AA44" s="288">
        <f t="shared" si="21"/>
        <v>0</v>
      </c>
      <c r="AB44" s="288">
        <f t="shared" si="21"/>
        <v>0</v>
      </c>
      <c r="AC44" s="288">
        <f t="shared" si="21"/>
        <v>0</v>
      </c>
      <c r="AD44" s="288">
        <f t="shared" si="21"/>
        <v>0</v>
      </c>
      <c r="AE44" s="288">
        <f t="shared" si="21"/>
        <v>0</v>
      </c>
      <c r="AF44" s="669"/>
    </row>
    <row r="45" spans="1:32" s="509" customFormat="1" ht="15.75" x14ac:dyDescent="0.25">
      <c r="A45" s="284" t="s">
        <v>32</v>
      </c>
      <c r="B45" s="383">
        <f t="shared" si="20"/>
        <v>0</v>
      </c>
      <c r="C45" s="383">
        <f t="shared" si="20"/>
        <v>0</v>
      </c>
      <c r="D45" s="383">
        <f>E45</f>
        <v>0</v>
      </c>
      <c r="E45" s="383">
        <f>I45+K45+M45+O45+Q45+S45+U45+W45+Y45+AA45+AC45+AE45</f>
        <v>0</v>
      </c>
      <c r="F45" s="382">
        <f>IFERROR(E45/B45*100,0)</f>
        <v>0</v>
      </c>
      <c r="G45" s="382">
        <f>IFERROR(E45/C45*100,0)</f>
        <v>0</v>
      </c>
      <c r="H45" s="288">
        <f t="shared" si="21"/>
        <v>0</v>
      </c>
      <c r="I45" s="288">
        <f t="shared" si="21"/>
        <v>0</v>
      </c>
      <c r="J45" s="288">
        <f t="shared" si="21"/>
        <v>0</v>
      </c>
      <c r="K45" s="288">
        <f t="shared" si="21"/>
        <v>0</v>
      </c>
      <c r="L45" s="288">
        <f t="shared" si="21"/>
        <v>0</v>
      </c>
      <c r="M45" s="288">
        <f t="shared" si="21"/>
        <v>0</v>
      </c>
      <c r="N45" s="288">
        <f t="shared" si="21"/>
        <v>0</v>
      </c>
      <c r="O45" s="288">
        <f t="shared" si="21"/>
        <v>0</v>
      </c>
      <c r="P45" s="288">
        <f t="shared" si="21"/>
        <v>0</v>
      </c>
      <c r="Q45" s="288">
        <f t="shared" si="21"/>
        <v>0</v>
      </c>
      <c r="R45" s="288">
        <f t="shared" si="21"/>
        <v>0</v>
      </c>
      <c r="S45" s="288">
        <f t="shared" si="21"/>
        <v>0</v>
      </c>
      <c r="T45" s="288">
        <f t="shared" si="21"/>
        <v>0</v>
      </c>
      <c r="U45" s="288">
        <f t="shared" si="21"/>
        <v>0</v>
      </c>
      <c r="V45" s="288">
        <f t="shared" si="21"/>
        <v>0</v>
      </c>
      <c r="W45" s="288">
        <f t="shared" si="21"/>
        <v>0</v>
      </c>
      <c r="X45" s="288">
        <f t="shared" si="21"/>
        <v>0</v>
      </c>
      <c r="Y45" s="288">
        <f t="shared" si="21"/>
        <v>0</v>
      </c>
      <c r="Z45" s="288">
        <f t="shared" si="21"/>
        <v>0</v>
      </c>
      <c r="AA45" s="288">
        <f t="shared" si="21"/>
        <v>0</v>
      </c>
      <c r="AB45" s="288">
        <f t="shared" si="21"/>
        <v>0</v>
      </c>
      <c r="AC45" s="288">
        <f t="shared" si="21"/>
        <v>0</v>
      </c>
      <c r="AD45" s="288">
        <f t="shared" si="21"/>
        <v>0</v>
      </c>
      <c r="AE45" s="288">
        <f t="shared" si="21"/>
        <v>0</v>
      </c>
      <c r="AF45" s="669"/>
    </row>
    <row r="46" spans="1:32" s="509" customFormat="1" ht="15.75" x14ac:dyDescent="0.25">
      <c r="A46" s="284" t="s">
        <v>33</v>
      </c>
      <c r="B46" s="383">
        <f t="shared" si="20"/>
        <v>53533.91</v>
      </c>
      <c r="C46" s="383">
        <f t="shared" si="20"/>
        <v>28059.009999999995</v>
      </c>
      <c r="D46" s="383">
        <f>E46</f>
        <v>26363.63</v>
      </c>
      <c r="E46" s="383">
        <f>I46+K46+M46+O46+Q46+S46+U46+W46+Y46+AA46+AC46+AE46</f>
        <v>26363.63</v>
      </c>
      <c r="F46" s="382">
        <f>IFERROR(E46/B46*100,0)</f>
        <v>49.246599024805029</v>
      </c>
      <c r="G46" s="382">
        <f>IFERROR(E46/C46*100,0)</f>
        <v>93.957805353788331</v>
      </c>
      <c r="H46" s="288">
        <f t="shared" si="21"/>
        <v>5142.3099999999995</v>
      </c>
      <c r="I46" s="288">
        <f t="shared" si="21"/>
        <v>3726.31</v>
      </c>
      <c r="J46" s="288">
        <f t="shared" si="21"/>
        <v>5553.46</v>
      </c>
      <c r="K46" s="288">
        <f t="shared" si="21"/>
        <v>6282.34</v>
      </c>
      <c r="L46" s="288">
        <f t="shared" si="21"/>
        <v>4731.79</v>
      </c>
      <c r="M46" s="288">
        <f t="shared" si="21"/>
        <v>4240.28</v>
      </c>
      <c r="N46" s="288">
        <f t="shared" si="21"/>
        <v>3977.92</v>
      </c>
      <c r="O46" s="288">
        <f t="shared" si="21"/>
        <v>3894.59</v>
      </c>
      <c r="P46" s="288">
        <f t="shared" si="21"/>
        <v>2981.2799999999997</v>
      </c>
      <c r="Q46" s="288">
        <f t="shared" si="21"/>
        <v>2326.7800000000002</v>
      </c>
      <c r="R46" s="288">
        <f t="shared" si="21"/>
        <v>2527.65</v>
      </c>
      <c r="S46" s="288">
        <f t="shared" si="21"/>
        <v>2843.9</v>
      </c>
      <c r="T46" s="288">
        <f t="shared" si="21"/>
        <v>3144.6</v>
      </c>
      <c r="U46" s="288">
        <f t="shared" si="21"/>
        <v>3049.43</v>
      </c>
      <c r="V46" s="288">
        <f t="shared" si="21"/>
        <v>4103.8100000000004</v>
      </c>
      <c r="W46" s="288">
        <f t="shared" si="21"/>
        <v>0</v>
      </c>
      <c r="X46" s="288">
        <f t="shared" si="21"/>
        <v>4851.67</v>
      </c>
      <c r="Y46" s="288">
        <f t="shared" si="21"/>
        <v>0</v>
      </c>
      <c r="Z46" s="288">
        <f t="shared" si="21"/>
        <v>6834.7999999999993</v>
      </c>
      <c r="AA46" s="288">
        <f t="shared" si="21"/>
        <v>0</v>
      </c>
      <c r="AB46" s="288">
        <f t="shared" si="21"/>
        <v>4842.46</v>
      </c>
      <c r="AC46" s="288">
        <f t="shared" si="21"/>
        <v>0</v>
      </c>
      <c r="AD46" s="288">
        <f t="shared" si="21"/>
        <v>4842.1600000000008</v>
      </c>
      <c r="AE46" s="288">
        <f t="shared" si="21"/>
        <v>0</v>
      </c>
      <c r="AF46" s="669"/>
    </row>
    <row r="47" spans="1:32" s="509" customFormat="1" ht="31.5" x14ac:dyDescent="0.25">
      <c r="A47" s="296" t="s">
        <v>174</v>
      </c>
      <c r="B47" s="383">
        <f t="shared" si="20"/>
        <v>0</v>
      </c>
      <c r="C47" s="383">
        <f t="shared" si="20"/>
        <v>0</v>
      </c>
      <c r="D47" s="383">
        <f>E47</f>
        <v>0</v>
      </c>
      <c r="E47" s="383">
        <f>I47+K47+M47+O47+Q47+S47+U47+W47+Y47+AA47+AC47+AE47</f>
        <v>0</v>
      </c>
      <c r="F47" s="382">
        <f>IFERROR(E47/B47*100,0)</f>
        <v>0</v>
      </c>
      <c r="G47" s="382">
        <f>IFERROR(E47/C47*100,0)</f>
        <v>0</v>
      </c>
      <c r="H47" s="288">
        <f t="shared" si="21"/>
        <v>0</v>
      </c>
      <c r="I47" s="288">
        <f t="shared" si="21"/>
        <v>0</v>
      </c>
      <c r="J47" s="288">
        <f t="shared" si="21"/>
        <v>0</v>
      </c>
      <c r="K47" s="288">
        <f t="shared" si="21"/>
        <v>0</v>
      </c>
      <c r="L47" s="288">
        <f t="shared" si="21"/>
        <v>0</v>
      </c>
      <c r="M47" s="288">
        <f t="shared" si="21"/>
        <v>0</v>
      </c>
      <c r="N47" s="288">
        <f t="shared" si="21"/>
        <v>0</v>
      </c>
      <c r="O47" s="288">
        <f t="shared" si="21"/>
        <v>0</v>
      </c>
      <c r="P47" s="288">
        <f t="shared" si="21"/>
        <v>0</v>
      </c>
      <c r="Q47" s="288">
        <f t="shared" si="21"/>
        <v>0</v>
      </c>
      <c r="R47" s="288">
        <f t="shared" si="21"/>
        <v>0</v>
      </c>
      <c r="S47" s="288">
        <f t="shared" si="21"/>
        <v>0</v>
      </c>
      <c r="T47" s="288">
        <f t="shared" si="21"/>
        <v>0</v>
      </c>
      <c r="U47" s="288">
        <f t="shared" si="21"/>
        <v>0</v>
      </c>
      <c r="V47" s="288">
        <f t="shared" si="21"/>
        <v>0</v>
      </c>
      <c r="W47" s="288">
        <f t="shared" si="21"/>
        <v>0</v>
      </c>
      <c r="X47" s="288">
        <f t="shared" si="21"/>
        <v>0</v>
      </c>
      <c r="Y47" s="288">
        <f t="shared" si="21"/>
        <v>0</v>
      </c>
      <c r="Z47" s="288">
        <f t="shared" si="21"/>
        <v>0</v>
      </c>
      <c r="AA47" s="288">
        <f t="shared" si="21"/>
        <v>0</v>
      </c>
      <c r="AB47" s="288">
        <f t="shared" si="21"/>
        <v>0</v>
      </c>
      <c r="AC47" s="288">
        <f t="shared" si="21"/>
        <v>0</v>
      </c>
      <c r="AD47" s="288">
        <f t="shared" si="21"/>
        <v>0</v>
      </c>
      <c r="AE47" s="288">
        <f t="shared" si="21"/>
        <v>0</v>
      </c>
      <c r="AF47" s="669"/>
    </row>
    <row r="48" spans="1:32" s="509" customFormat="1" ht="15.75" x14ac:dyDescent="0.25">
      <c r="A48" s="284" t="s">
        <v>221</v>
      </c>
      <c r="B48" s="383">
        <f t="shared" si="20"/>
        <v>0</v>
      </c>
      <c r="C48" s="383">
        <f t="shared" si="20"/>
        <v>0</v>
      </c>
      <c r="D48" s="383">
        <f>E48</f>
        <v>0</v>
      </c>
      <c r="E48" s="383">
        <f>I48+K48+M48+O48+Q48+S48+U48+W48+Y48+AA48+AC48+AE48</f>
        <v>0</v>
      </c>
      <c r="F48" s="382">
        <f>IFERROR(E48/B48*100,0)</f>
        <v>0</v>
      </c>
      <c r="G48" s="382">
        <f>IFERROR(E48/C48*100,0)</f>
        <v>0</v>
      </c>
      <c r="H48" s="288">
        <f t="shared" si="21"/>
        <v>0</v>
      </c>
      <c r="I48" s="288">
        <f t="shared" si="21"/>
        <v>0</v>
      </c>
      <c r="J48" s="288">
        <f t="shared" si="21"/>
        <v>0</v>
      </c>
      <c r="K48" s="288">
        <f t="shared" si="21"/>
        <v>0</v>
      </c>
      <c r="L48" s="288">
        <f t="shared" si="21"/>
        <v>0</v>
      </c>
      <c r="M48" s="288">
        <f t="shared" si="21"/>
        <v>0</v>
      </c>
      <c r="N48" s="288">
        <f t="shared" si="21"/>
        <v>0</v>
      </c>
      <c r="O48" s="288">
        <f t="shared" si="21"/>
        <v>0</v>
      </c>
      <c r="P48" s="288">
        <f t="shared" si="21"/>
        <v>0</v>
      </c>
      <c r="Q48" s="288">
        <f t="shared" si="21"/>
        <v>0</v>
      </c>
      <c r="R48" s="288">
        <f t="shared" si="21"/>
        <v>0</v>
      </c>
      <c r="S48" s="288">
        <f t="shared" si="21"/>
        <v>0</v>
      </c>
      <c r="T48" s="288">
        <f t="shared" si="21"/>
        <v>0</v>
      </c>
      <c r="U48" s="288">
        <f t="shared" si="21"/>
        <v>0</v>
      </c>
      <c r="V48" s="288">
        <f t="shared" si="21"/>
        <v>0</v>
      </c>
      <c r="W48" s="288">
        <f t="shared" si="21"/>
        <v>0</v>
      </c>
      <c r="X48" s="288">
        <f t="shared" si="21"/>
        <v>0</v>
      </c>
      <c r="Y48" s="288">
        <f t="shared" si="21"/>
        <v>0</v>
      </c>
      <c r="Z48" s="288">
        <f t="shared" si="21"/>
        <v>0</v>
      </c>
      <c r="AA48" s="288">
        <f t="shared" si="21"/>
        <v>0</v>
      </c>
      <c r="AB48" s="288">
        <f t="shared" si="21"/>
        <v>0</v>
      </c>
      <c r="AC48" s="288">
        <f t="shared" si="21"/>
        <v>0</v>
      </c>
      <c r="AD48" s="288">
        <f t="shared" si="21"/>
        <v>0</v>
      </c>
      <c r="AE48" s="288">
        <f t="shared" si="21"/>
        <v>0</v>
      </c>
      <c r="AF48" s="669"/>
    </row>
    <row r="49" spans="1:32" s="509" customFormat="1" ht="15.75" x14ac:dyDescent="0.25">
      <c r="A49" s="826" t="s">
        <v>437</v>
      </c>
      <c r="B49" s="667"/>
      <c r="C49" s="667"/>
      <c r="D49" s="667"/>
      <c r="E49" s="667"/>
      <c r="F49" s="667"/>
      <c r="G49" s="667"/>
      <c r="H49" s="667"/>
      <c r="I49" s="667"/>
      <c r="J49" s="667"/>
      <c r="K49" s="667"/>
      <c r="L49" s="667"/>
      <c r="M49" s="667"/>
      <c r="N49" s="667"/>
      <c r="O49" s="667"/>
      <c r="P49" s="667"/>
      <c r="Q49" s="667"/>
      <c r="R49" s="667"/>
      <c r="S49" s="667"/>
      <c r="T49" s="667"/>
      <c r="U49" s="667"/>
      <c r="V49" s="667"/>
      <c r="W49" s="667"/>
      <c r="X49" s="667"/>
      <c r="Y49" s="667"/>
      <c r="Z49" s="667"/>
      <c r="AA49" s="667"/>
      <c r="AB49" s="667"/>
      <c r="AC49" s="667"/>
      <c r="AD49" s="667"/>
      <c r="AE49" s="668"/>
      <c r="AF49" s="669"/>
    </row>
    <row r="50" spans="1:32" s="509" customFormat="1" ht="110.25" x14ac:dyDescent="0.25">
      <c r="A50" s="284" t="s">
        <v>31</v>
      </c>
      <c r="B50" s="285">
        <f>B52+B53+B51+B55</f>
        <v>8644.3100000000013</v>
      </c>
      <c r="C50" s="285">
        <f>C52+C53+C51+C55</f>
        <v>4685.74</v>
      </c>
      <c r="D50" s="285">
        <f>D52+D53+D51+D55</f>
        <v>3854.6700000000005</v>
      </c>
      <c r="E50" s="610">
        <f>E52+E53+E51+E55</f>
        <v>3854.6700000000005</v>
      </c>
      <c r="F50" s="382">
        <f>IFERROR(E50/B50*100,0)</f>
        <v>44.59199172634947</v>
      </c>
      <c r="G50" s="382">
        <f>IFERROR(E50/C50*100,0)</f>
        <v>82.26384733254514</v>
      </c>
      <c r="H50" s="285">
        <f t="shared" ref="H50:AE50" si="22">H52+H53+H51+H55</f>
        <v>1391.87</v>
      </c>
      <c r="I50" s="285">
        <f t="shared" si="22"/>
        <v>0</v>
      </c>
      <c r="J50" s="285">
        <f t="shared" si="22"/>
        <v>1136.68</v>
      </c>
      <c r="K50" s="285">
        <f t="shared" si="22"/>
        <v>2528.5500000000002</v>
      </c>
      <c r="L50" s="285">
        <f t="shared" si="22"/>
        <v>817.05</v>
      </c>
      <c r="M50" s="285">
        <f t="shared" si="22"/>
        <v>817.05</v>
      </c>
      <c r="N50" s="285">
        <f t="shared" si="22"/>
        <v>509.07</v>
      </c>
      <c r="O50" s="285">
        <f t="shared" si="22"/>
        <v>509.07</v>
      </c>
      <c r="P50" s="285">
        <f t="shared" si="22"/>
        <v>14.54</v>
      </c>
      <c r="Q50" s="285">
        <f t="shared" si="22"/>
        <v>0</v>
      </c>
      <c r="R50" s="285">
        <f t="shared" si="22"/>
        <v>109.61</v>
      </c>
      <c r="S50" s="285">
        <f t="shared" si="22"/>
        <v>0</v>
      </c>
      <c r="T50" s="285">
        <f t="shared" si="22"/>
        <v>706.92</v>
      </c>
      <c r="U50" s="285">
        <f t="shared" si="22"/>
        <v>0</v>
      </c>
      <c r="V50" s="285">
        <f t="shared" si="22"/>
        <v>1073.97</v>
      </c>
      <c r="W50" s="285">
        <f t="shared" si="22"/>
        <v>0</v>
      </c>
      <c r="X50" s="285">
        <f t="shared" si="22"/>
        <v>1386.93</v>
      </c>
      <c r="Y50" s="285">
        <f t="shared" si="22"/>
        <v>0</v>
      </c>
      <c r="Z50" s="285">
        <f t="shared" si="22"/>
        <v>1379.96</v>
      </c>
      <c r="AA50" s="285">
        <f t="shared" si="22"/>
        <v>0</v>
      </c>
      <c r="AB50" s="285">
        <f t="shared" si="22"/>
        <v>117.71</v>
      </c>
      <c r="AC50" s="285">
        <f t="shared" si="22"/>
        <v>0</v>
      </c>
      <c r="AD50" s="285">
        <f t="shared" si="22"/>
        <v>0</v>
      </c>
      <c r="AE50" s="285">
        <f t="shared" si="22"/>
        <v>0</v>
      </c>
      <c r="AF50" s="988" t="s">
        <v>623</v>
      </c>
    </row>
    <row r="51" spans="1:32" s="509" customFormat="1" ht="15.75" x14ac:dyDescent="0.25">
      <c r="A51" s="381" t="s">
        <v>169</v>
      </c>
      <c r="B51" s="382">
        <f>H51+J51+L51+N51+P51+R51+T51+V51+X51+Z51+AB51+AD51</f>
        <v>0</v>
      </c>
      <c r="C51" s="609">
        <f>T51+R51+H51+J51+L51+N51+P51</f>
        <v>0</v>
      </c>
      <c r="D51" s="382">
        <f>E51</f>
        <v>0</v>
      </c>
      <c r="E51" s="382">
        <f>I51+K51+M51+O51+Q51+S51+U51+W51+Y51+AA51+AC51+AE51</f>
        <v>0</v>
      </c>
      <c r="F51" s="382">
        <f>IFERROR(E51/B51*100,0)</f>
        <v>0</v>
      </c>
      <c r="G51" s="382">
        <f>IFERROR(E51/C51*100,0)</f>
        <v>0</v>
      </c>
      <c r="H51" s="288">
        <v>0</v>
      </c>
      <c r="I51" s="288">
        <v>0</v>
      </c>
      <c r="J51" s="288">
        <v>0</v>
      </c>
      <c r="K51" s="288">
        <v>0</v>
      </c>
      <c r="L51" s="288">
        <v>0</v>
      </c>
      <c r="M51" s="288">
        <v>0</v>
      </c>
      <c r="N51" s="288">
        <v>0</v>
      </c>
      <c r="O51" s="288">
        <v>0</v>
      </c>
      <c r="P51" s="288">
        <v>0</v>
      </c>
      <c r="Q51" s="288">
        <v>0</v>
      </c>
      <c r="R51" s="288">
        <v>0</v>
      </c>
      <c r="S51" s="288">
        <v>0</v>
      </c>
      <c r="T51" s="288">
        <v>0</v>
      </c>
      <c r="U51" s="288">
        <v>0</v>
      </c>
      <c r="V51" s="288">
        <v>0</v>
      </c>
      <c r="W51" s="288">
        <v>0</v>
      </c>
      <c r="X51" s="288">
        <v>0</v>
      </c>
      <c r="Y51" s="288">
        <v>0</v>
      </c>
      <c r="Z51" s="288">
        <v>0</v>
      </c>
      <c r="AA51" s="288">
        <v>0</v>
      </c>
      <c r="AB51" s="288">
        <v>0</v>
      </c>
      <c r="AC51" s="288">
        <v>0</v>
      </c>
      <c r="AD51" s="288">
        <v>0</v>
      </c>
      <c r="AE51" s="288">
        <v>0</v>
      </c>
      <c r="AF51" s="989"/>
    </row>
    <row r="52" spans="1:32" s="509" customFormat="1" ht="15.75" x14ac:dyDescent="0.25">
      <c r="A52" s="284" t="s">
        <v>32</v>
      </c>
      <c r="B52" s="382">
        <f>H52+J52+L52+N52+P52+R52+T52+V52+X52+Z52+AB52+AD52</f>
        <v>0</v>
      </c>
      <c r="C52" s="609">
        <f t="shared" ref="C52:C55" si="23">T52+R52+H52+J52+L52+N52+P52</f>
        <v>0</v>
      </c>
      <c r="D52" s="382">
        <f>E52</f>
        <v>0</v>
      </c>
      <c r="E52" s="382">
        <f>I52+K52+M52+O52+Q52+S52+U52+W52+Y52+AA52+AC52+AE52</f>
        <v>0</v>
      </c>
      <c r="F52" s="382">
        <f>IFERROR(E52/B52*100,0)</f>
        <v>0</v>
      </c>
      <c r="G52" s="382">
        <f>IFERROR(E52/C52*100,0)</f>
        <v>0</v>
      </c>
      <c r="H52" s="288">
        <v>0</v>
      </c>
      <c r="I52" s="288">
        <v>0</v>
      </c>
      <c r="J52" s="288">
        <v>0</v>
      </c>
      <c r="K52" s="288">
        <v>0</v>
      </c>
      <c r="L52" s="288">
        <v>0</v>
      </c>
      <c r="M52" s="288">
        <v>0</v>
      </c>
      <c r="N52" s="288">
        <v>0</v>
      </c>
      <c r="O52" s="288">
        <v>0</v>
      </c>
      <c r="P52" s="288">
        <v>0</v>
      </c>
      <c r="Q52" s="288">
        <v>0</v>
      </c>
      <c r="R52" s="288">
        <v>0</v>
      </c>
      <c r="S52" s="288">
        <v>0</v>
      </c>
      <c r="T52" s="288">
        <v>0</v>
      </c>
      <c r="U52" s="288">
        <v>0</v>
      </c>
      <c r="V52" s="288">
        <v>0</v>
      </c>
      <c r="W52" s="288">
        <v>0</v>
      </c>
      <c r="X52" s="288">
        <v>0</v>
      </c>
      <c r="Y52" s="288">
        <v>0</v>
      </c>
      <c r="Z52" s="288">
        <v>0</v>
      </c>
      <c r="AA52" s="288">
        <v>0</v>
      </c>
      <c r="AB52" s="288">
        <v>0</v>
      </c>
      <c r="AC52" s="288">
        <v>0</v>
      </c>
      <c r="AD52" s="288">
        <v>0</v>
      </c>
      <c r="AE52" s="288">
        <v>0</v>
      </c>
      <c r="AF52" s="989"/>
    </row>
    <row r="53" spans="1:32" s="506" customFormat="1" ht="15.75" x14ac:dyDescent="0.25">
      <c r="A53" s="507" t="s">
        <v>33</v>
      </c>
      <c r="B53" s="605">
        <f>H53+J53+L53+N53+P53+R53+T53+V53+X53+Z53+AB53+AD53</f>
        <v>8644.3100000000013</v>
      </c>
      <c r="C53" s="609">
        <f t="shared" si="23"/>
        <v>4685.74</v>
      </c>
      <c r="D53" s="606">
        <f>E53</f>
        <v>3854.6700000000005</v>
      </c>
      <c r="E53" s="605">
        <f>I53+K53+M53+O53+Q53+S53+U53+W53+Y53+AA53+AC53+AE53</f>
        <v>3854.6700000000005</v>
      </c>
      <c r="F53" s="606">
        <f>E53/B53*100</f>
        <v>44.59199172634947</v>
      </c>
      <c r="G53" s="606">
        <f>E53/C53*100</f>
        <v>82.26384733254514</v>
      </c>
      <c r="H53" s="606">
        <v>1391.87</v>
      </c>
      <c r="I53" s="603"/>
      <c r="J53" s="606">
        <f>[2]УКС!J43</f>
        <v>1136.68</v>
      </c>
      <c r="K53" s="606">
        <f>[2]УКС!K43</f>
        <v>2528.5500000000002</v>
      </c>
      <c r="L53" s="606">
        <f>[2]УКС!L43</f>
        <v>817.05</v>
      </c>
      <c r="M53" s="606">
        <f>[2]УКС!M43</f>
        <v>817.05</v>
      </c>
      <c r="N53" s="606">
        <f>[2]УКС!N43</f>
        <v>509.07</v>
      </c>
      <c r="O53" s="606">
        <f>[2]УКС!O43</f>
        <v>509.07</v>
      </c>
      <c r="P53" s="606">
        <f>[2]УКС!P43</f>
        <v>14.54</v>
      </c>
      <c r="Q53" s="606">
        <f>[2]УКС!Q43</f>
        <v>0</v>
      </c>
      <c r="R53" s="606">
        <f>[2]УКС!R43</f>
        <v>109.61</v>
      </c>
      <c r="S53" s="606">
        <f>[2]УКС!S43</f>
        <v>0</v>
      </c>
      <c r="T53" s="606">
        <f>[2]УКС!T43</f>
        <v>706.92</v>
      </c>
      <c r="U53" s="606">
        <f>[2]УКС!U43</f>
        <v>0</v>
      </c>
      <c r="V53" s="606">
        <f>[2]УКС!V43</f>
        <v>1073.97</v>
      </c>
      <c r="W53" s="606">
        <f>[2]УКС!W43</f>
        <v>0</v>
      </c>
      <c r="X53" s="606">
        <f>[2]УКС!X43</f>
        <v>1386.93</v>
      </c>
      <c r="Y53" s="606">
        <f>[2]УКС!Y43</f>
        <v>0</v>
      </c>
      <c r="Z53" s="606">
        <f>[2]УКС!Z43</f>
        <v>1379.96</v>
      </c>
      <c r="AA53" s="606">
        <f>[2]УКС!AA43</f>
        <v>0</v>
      </c>
      <c r="AB53" s="606">
        <f>[2]УКС!AB43</f>
        <v>117.71</v>
      </c>
      <c r="AC53" s="606">
        <f>[2]УКС!AC43</f>
        <v>0</v>
      </c>
      <c r="AD53" s="606">
        <f>[2]УКС!AD43</f>
        <v>0</v>
      </c>
      <c r="AE53" s="606">
        <f>[2]УКС!AE43</f>
        <v>0</v>
      </c>
      <c r="AF53" s="989"/>
    </row>
    <row r="54" spans="1:32" s="509" customFormat="1" ht="31.5" x14ac:dyDescent="0.25">
      <c r="A54" s="296" t="s">
        <v>174</v>
      </c>
      <c r="B54" s="382">
        <f>H54+J54+L54+N54+P54+R54+T54+V54+X54+Z54+AB54+AD54</f>
        <v>0</v>
      </c>
      <c r="C54" s="609">
        <f t="shared" si="23"/>
        <v>0</v>
      </c>
      <c r="D54" s="382">
        <f>E54</f>
        <v>0</v>
      </c>
      <c r="E54" s="382">
        <f>I54+K54+M54+O54+Q54+S54+U54+W54+Y54+AA54+AC54+AE54</f>
        <v>0</v>
      </c>
      <c r="F54" s="382">
        <f>IFERROR(E54/B54*100,0)</f>
        <v>0</v>
      </c>
      <c r="G54" s="382">
        <f>IFERROR(E54/C54*100,0)</f>
        <v>0</v>
      </c>
      <c r="H54" s="288">
        <v>0</v>
      </c>
      <c r="I54" s="288">
        <v>0</v>
      </c>
      <c r="J54" s="288">
        <v>0</v>
      </c>
      <c r="K54" s="288">
        <v>0</v>
      </c>
      <c r="L54" s="288">
        <v>0</v>
      </c>
      <c r="M54" s="288">
        <v>0</v>
      </c>
      <c r="N54" s="288">
        <v>0</v>
      </c>
      <c r="O54" s="288">
        <v>0</v>
      </c>
      <c r="P54" s="288">
        <v>0</v>
      </c>
      <c r="Q54" s="288">
        <v>0</v>
      </c>
      <c r="R54" s="288">
        <v>0</v>
      </c>
      <c r="S54" s="288">
        <v>0</v>
      </c>
      <c r="T54" s="288">
        <v>0</v>
      </c>
      <c r="U54" s="288">
        <v>0</v>
      </c>
      <c r="V54" s="288">
        <v>0</v>
      </c>
      <c r="W54" s="288">
        <v>0</v>
      </c>
      <c r="X54" s="288">
        <v>0</v>
      </c>
      <c r="Y54" s="288">
        <v>0</v>
      </c>
      <c r="Z54" s="288">
        <v>0</v>
      </c>
      <c r="AA54" s="288">
        <v>0</v>
      </c>
      <c r="AB54" s="288">
        <v>0</v>
      </c>
      <c r="AC54" s="288">
        <v>0</v>
      </c>
      <c r="AD54" s="288">
        <v>0</v>
      </c>
      <c r="AE54" s="288">
        <v>0</v>
      </c>
      <c r="AF54" s="989"/>
    </row>
    <row r="55" spans="1:32" s="509" customFormat="1" ht="15.75" x14ac:dyDescent="0.25">
      <c r="A55" s="284" t="s">
        <v>221</v>
      </c>
      <c r="B55" s="382">
        <f>H55+J55+L55+N55+P55+R55+T55+V55+X55+Z55+AB55+AD55</f>
        <v>0</v>
      </c>
      <c r="C55" s="609">
        <f t="shared" si="23"/>
        <v>0</v>
      </c>
      <c r="D55" s="382">
        <f>E55</f>
        <v>0</v>
      </c>
      <c r="E55" s="382">
        <f>I55+K55+M55+O55+Q55+S55+U55+W55+Y55+AA55+AC55+AE55</f>
        <v>0</v>
      </c>
      <c r="F55" s="382">
        <f>IFERROR(E55/B55*100,0)</f>
        <v>0</v>
      </c>
      <c r="G55" s="382">
        <f>IFERROR(E55/C55*100,0)</f>
        <v>0</v>
      </c>
      <c r="H55" s="288">
        <v>0</v>
      </c>
      <c r="I55" s="288">
        <v>0</v>
      </c>
      <c r="J55" s="288">
        <v>0</v>
      </c>
      <c r="K55" s="288">
        <v>0</v>
      </c>
      <c r="L55" s="288">
        <v>0</v>
      </c>
      <c r="M55" s="288">
        <v>0</v>
      </c>
      <c r="N55" s="288">
        <v>0</v>
      </c>
      <c r="O55" s="288">
        <v>0</v>
      </c>
      <c r="P55" s="288">
        <v>0</v>
      </c>
      <c r="Q55" s="288">
        <v>0</v>
      </c>
      <c r="R55" s="288">
        <v>0</v>
      </c>
      <c r="S55" s="288">
        <v>0</v>
      </c>
      <c r="T55" s="288">
        <v>0</v>
      </c>
      <c r="U55" s="288">
        <v>0</v>
      </c>
      <c r="V55" s="288">
        <v>0</v>
      </c>
      <c r="W55" s="288">
        <v>0</v>
      </c>
      <c r="X55" s="288">
        <v>0</v>
      </c>
      <c r="Y55" s="288">
        <v>0</v>
      </c>
      <c r="Z55" s="288">
        <v>0</v>
      </c>
      <c r="AA55" s="288">
        <v>0</v>
      </c>
      <c r="AB55" s="288">
        <v>0</v>
      </c>
      <c r="AC55" s="288">
        <v>0</v>
      </c>
      <c r="AD55" s="288">
        <v>0</v>
      </c>
      <c r="AE55" s="288">
        <v>0</v>
      </c>
      <c r="AF55" s="989"/>
    </row>
    <row r="56" spans="1:32" s="509" customFormat="1" ht="15.75" x14ac:dyDescent="0.25">
      <c r="A56" s="826" t="s">
        <v>438</v>
      </c>
      <c r="B56" s="667"/>
      <c r="C56" s="667"/>
      <c r="D56" s="667"/>
      <c r="E56" s="667"/>
      <c r="F56" s="667"/>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8"/>
      <c r="AF56" s="990"/>
    </row>
    <row r="57" spans="1:32" s="509" customFormat="1" ht="378" x14ac:dyDescent="0.25">
      <c r="A57" s="284" t="s">
        <v>31</v>
      </c>
      <c r="B57" s="285">
        <f>B59+B60+B58+B62</f>
        <v>44889.599999999999</v>
      </c>
      <c r="C57" s="285">
        <f>C59+C60+C58+C62</f>
        <v>23373.269999999997</v>
      </c>
      <c r="D57" s="285">
        <f>D59+D60+D58+D62</f>
        <v>22508.960000000003</v>
      </c>
      <c r="E57" s="610">
        <f>E59+E60+E58+E62</f>
        <v>22508.960000000003</v>
      </c>
      <c r="F57" s="382">
        <f>IFERROR(E57/B57*100,0)</f>
        <v>50.142928428856578</v>
      </c>
      <c r="G57" s="382">
        <f>IFERROR(E57/C57*100,0)</f>
        <v>96.302143431364144</v>
      </c>
      <c r="H57" s="285">
        <f t="shared" ref="H57:AE57" si="24">H59+H60+H58+H62</f>
        <v>3750.44</v>
      </c>
      <c r="I57" s="285">
        <f t="shared" si="24"/>
        <v>3726.31</v>
      </c>
      <c r="J57" s="285">
        <f t="shared" si="24"/>
        <v>4416.78</v>
      </c>
      <c r="K57" s="285">
        <f t="shared" si="24"/>
        <v>3753.79</v>
      </c>
      <c r="L57" s="285">
        <f t="shared" si="24"/>
        <v>3914.74</v>
      </c>
      <c r="M57" s="285">
        <f t="shared" si="24"/>
        <v>3423.23</v>
      </c>
      <c r="N57" s="285">
        <f t="shared" si="24"/>
        <v>3468.85</v>
      </c>
      <c r="O57" s="285">
        <f t="shared" si="24"/>
        <v>3385.52</v>
      </c>
      <c r="P57" s="285">
        <f t="shared" si="24"/>
        <v>2966.74</v>
      </c>
      <c r="Q57" s="285">
        <f t="shared" si="24"/>
        <v>2326.7800000000002</v>
      </c>
      <c r="R57" s="285">
        <f t="shared" si="24"/>
        <v>2418.04</v>
      </c>
      <c r="S57" s="285">
        <f t="shared" si="24"/>
        <v>2843.9</v>
      </c>
      <c r="T57" s="285">
        <f t="shared" si="24"/>
        <v>2437.6799999999998</v>
      </c>
      <c r="U57" s="285">
        <f t="shared" si="24"/>
        <v>3049.43</v>
      </c>
      <c r="V57" s="285">
        <f t="shared" si="24"/>
        <v>3029.84</v>
      </c>
      <c r="W57" s="285">
        <f t="shared" si="24"/>
        <v>0</v>
      </c>
      <c r="X57" s="285">
        <f t="shared" si="24"/>
        <v>3464.74</v>
      </c>
      <c r="Y57" s="285">
        <f t="shared" si="24"/>
        <v>0</v>
      </c>
      <c r="Z57" s="285">
        <f t="shared" si="24"/>
        <v>5454.8399999999992</v>
      </c>
      <c r="AA57" s="285">
        <f t="shared" si="24"/>
        <v>0</v>
      </c>
      <c r="AB57" s="285">
        <f t="shared" si="24"/>
        <v>4724.75</v>
      </c>
      <c r="AC57" s="285">
        <f t="shared" si="24"/>
        <v>0</v>
      </c>
      <c r="AD57" s="285">
        <f t="shared" si="24"/>
        <v>4842.1600000000008</v>
      </c>
      <c r="AE57" s="285">
        <f t="shared" si="24"/>
        <v>0</v>
      </c>
      <c r="AF57" s="666" t="s">
        <v>624</v>
      </c>
    </row>
    <row r="58" spans="1:32" s="509" customFormat="1" ht="15.75" x14ac:dyDescent="0.25">
      <c r="A58" s="384" t="s">
        <v>169</v>
      </c>
      <c r="B58" s="383">
        <f>H58+J58+L58+N58+P58+R58+T58+V58+X58+Z58+AB58+AD58</f>
        <v>0</v>
      </c>
      <c r="C58" s="609">
        <f>T58+R58+H58+J58+L58+N58+P58</f>
        <v>0</v>
      </c>
      <c r="D58" s="383">
        <f>E58</f>
        <v>0</v>
      </c>
      <c r="E58" s="383">
        <f>I58+K58+M58+O58+Q58+S58+U58+W58+Y58+AA58+AC58+AE58</f>
        <v>0</v>
      </c>
      <c r="F58" s="383">
        <f>IFERROR(E58/B58*100,0)</f>
        <v>0</v>
      </c>
      <c r="G58" s="383">
        <f>IFERROR(E58/C58*100,0)</f>
        <v>0</v>
      </c>
      <c r="H58" s="288">
        <v>0</v>
      </c>
      <c r="I58" s="288">
        <v>0</v>
      </c>
      <c r="J58" s="288">
        <v>0</v>
      </c>
      <c r="K58" s="288">
        <v>0</v>
      </c>
      <c r="L58" s="288">
        <v>0</v>
      </c>
      <c r="M58" s="288">
        <v>0</v>
      </c>
      <c r="N58" s="288">
        <v>0</v>
      </c>
      <c r="O58" s="288">
        <v>0</v>
      </c>
      <c r="P58" s="288">
        <v>0</v>
      </c>
      <c r="Q58" s="288">
        <v>0</v>
      </c>
      <c r="R58" s="288">
        <v>0</v>
      </c>
      <c r="S58" s="288">
        <v>0</v>
      </c>
      <c r="T58" s="288">
        <v>0</v>
      </c>
      <c r="U58" s="288">
        <v>0</v>
      </c>
      <c r="V58" s="288">
        <v>0</v>
      </c>
      <c r="W58" s="288">
        <v>0</v>
      </c>
      <c r="X58" s="288">
        <v>0</v>
      </c>
      <c r="Y58" s="288">
        <v>0</v>
      </c>
      <c r="Z58" s="288">
        <v>0</v>
      </c>
      <c r="AA58" s="288">
        <v>0</v>
      </c>
      <c r="AB58" s="288">
        <v>0</v>
      </c>
      <c r="AC58" s="288">
        <v>0</v>
      </c>
      <c r="AD58" s="288">
        <v>0</v>
      </c>
      <c r="AE58" s="288">
        <v>0</v>
      </c>
      <c r="AF58" s="661"/>
    </row>
    <row r="59" spans="1:32" s="509" customFormat="1" ht="15.75" x14ac:dyDescent="0.25">
      <c r="A59" s="291" t="s">
        <v>32</v>
      </c>
      <c r="B59" s="383">
        <f>H59+J59+L59+N59+P59+R59+T59+V59+X59+Z59+AB59+AD59</f>
        <v>0</v>
      </c>
      <c r="C59" s="609">
        <f t="shared" ref="C59:C62" si="25">T59+R59+H59+J59+L59+N59+P59</f>
        <v>0</v>
      </c>
      <c r="D59" s="383">
        <f>E59</f>
        <v>0</v>
      </c>
      <c r="E59" s="383">
        <f>I59+K59+M59+O59+Q59+S59+U59+W59+Y59+AA59+AC59+AE59</f>
        <v>0</v>
      </c>
      <c r="F59" s="383">
        <f>IFERROR(E59/B59*100,0)</f>
        <v>0</v>
      </c>
      <c r="G59" s="383">
        <f>IFERROR(E59/C59*100,0)</f>
        <v>0</v>
      </c>
      <c r="H59" s="288">
        <v>0</v>
      </c>
      <c r="I59" s="288">
        <v>0</v>
      </c>
      <c r="J59" s="288">
        <v>0</v>
      </c>
      <c r="K59" s="288">
        <v>0</v>
      </c>
      <c r="L59" s="288">
        <v>0</v>
      </c>
      <c r="M59" s="288">
        <v>0</v>
      </c>
      <c r="N59" s="288">
        <v>0</v>
      </c>
      <c r="O59" s="288">
        <v>0</v>
      </c>
      <c r="P59" s="288">
        <v>0</v>
      </c>
      <c r="Q59" s="288">
        <v>0</v>
      </c>
      <c r="R59" s="288">
        <v>0</v>
      </c>
      <c r="S59" s="288">
        <v>0</v>
      </c>
      <c r="T59" s="288">
        <v>0</v>
      </c>
      <c r="U59" s="288">
        <v>0</v>
      </c>
      <c r="V59" s="288">
        <v>0</v>
      </c>
      <c r="W59" s="288">
        <v>0</v>
      </c>
      <c r="X59" s="288">
        <v>0</v>
      </c>
      <c r="Y59" s="288">
        <v>0</v>
      </c>
      <c r="Z59" s="288">
        <v>0</v>
      </c>
      <c r="AA59" s="288">
        <v>0</v>
      </c>
      <c r="AB59" s="288">
        <v>0</v>
      </c>
      <c r="AC59" s="288">
        <v>0</v>
      </c>
      <c r="AD59" s="288">
        <v>0</v>
      </c>
      <c r="AE59" s="288">
        <v>0</v>
      </c>
      <c r="AF59" s="661"/>
    </row>
    <row r="60" spans="1:32" s="506" customFormat="1" ht="15.75" x14ac:dyDescent="0.25">
      <c r="A60" s="507" t="s">
        <v>33</v>
      </c>
      <c r="B60" s="605">
        <f>H60+J60+L60+N60+P60+R60+T60+V60+X60+Z60+AB60+AD60</f>
        <v>44889.599999999999</v>
      </c>
      <c r="C60" s="609">
        <f t="shared" si="25"/>
        <v>23373.269999999997</v>
      </c>
      <c r="D60" s="606">
        <f>E60</f>
        <v>22508.960000000003</v>
      </c>
      <c r="E60" s="605">
        <f>I60+K60+M60+O60+Q60+S60+U60+W60+Y60+AA60+AC60+AE60</f>
        <v>22508.960000000003</v>
      </c>
      <c r="F60" s="606">
        <f>E60/B60*100</f>
        <v>50.142928428856578</v>
      </c>
      <c r="G60" s="606">
        <f>E60/C60*100</f>
        <v>96.302143431364144</v>
      </c>
      <c r="H60" s="606">
        <v>3750.44</v>
      </c>
      <c r="I60" s="606">
        <v>3726.31</v>
      </c>
      <c r="J60" s="606">
        <f>[2]УКС!J49</f>
        <v>4416.78</v>
      </c>
      <c r="K60" s="606">
        <f>[2]УКС!K49</f>
        <v>3753.79</v>
      </c>
      <c r="L60" s="606">
        <f>[2]УКС!L49</f>
        <v>3914.74</v>
      </c>
      <c r="M60" s="606">
        <f>[2]УКС!M49</f>
        <v>3423.23</v>
      </c>
      <c r="N60" s="606">
        <f>[2]УКС!N49</f>
        <v>3468.85</v>
      </c>
      <c r="O60" s="606">
        <f>[2]УКС!O49</f>
        <v>3385.52</v>
      </c>
      <c r="P60" s="606">
        <f>[2]УКС!P49</f>
        <v>2966.74</v>
      </c>
      <c r="Q60" s="606">
        <f>[2]УКС!Q49</f>
        <v>2326.7800000000002</v>
      </c>
      <c r="R60" s="606">
        <f>[2]УКС!R49</f>
        <v>2418.04</v>
      </c>
      <c r="S60" s="606">
        <f>[2]УКС!S49</f>
        <v>2843.9</v>
      </c>
      <c r="T60" s="606">
        <f>[2]УКС!T49</f>
        <v>2437.6799999999998</v>
      </c>
      <c r="U60" s="606">
        <f>[2]УКС!U49</f>
        <v>3049.43</v>
      </c>
      <c r="V60" s="606">
        <f>[2]УКС!V49</f>
        <v>3029.84</v>
      </c>
      <c r="W60" s="606">
        <f>[2]УКС!W49</f>
        <v>0</v>
      </c>
      <c r="X60" s="606">
        <f>[2]УКС!X49</f>
        <v>3464.74</v>
      </c>
      <c r="Y60" s="606">
        <f>[2]УКС!Y49</f>
        <v>0</v>
      </c>
      <c r="Z60" s="606">
        <f>[2]УКС!Z49</f>
        <v>5454.8399999999992</v>
      </c>
      <c r="AA60" s="606">
        <f>[2]УКС!AA49</f>
        <v>0</v>
      </c>
      <c r="AB60" s="606">
        <f>[2]УКС!AB49</f>
        <v>4724.75</v>
      </c>
      <c r="AC60" s="606">
        <f>[2]УКС!AC49</f>
        <v>0</v>
      </c>
      <c r="AD60" s="606">
        <f>[2]УКС!AD49</f>
        <v>4842.1600000000008</v>
      </c>
      <c r="AE60" s="606">
        <f>[2]УКС!AE49</f>
        <v>0</v>
      </c>
      <c r="AF60" s="661"/>
    </row>
    <row r="61" spans="1:32" s="509" customFormat="1" ht="31.5" x14ac:dyDescent="0.25">
      <c r="A61" s="296" t="s">
        <v>174</v>
      </c>
      <c r="B61" s="383">
        <f>H61+J61+L61+N61+P61+R61+T61+V61+X61+Z61+AB61+AD61</f>
        <v>0</v>
      </c>
      <c r="C61" s="609">
        <f t="shared" si="25"/>
        <v>0</v>
      </c>
      <c r="D61" s="383">
        <f>E61</f>
        <v>0</v>
      </c>
      <c r="E61" s="383">
        <f>I61+K61+M61+O61+Q61+S61+U61+W61+Y61+AA61+AC61+AE61</f>
        <v>0</v>
      </c>
      <c r="F61" s="383">
        <f>IFERROR(E61/B61*100,0)</f>
        <v>0</v>
      </c>
      <c r="G61" s="383">
        <f>IFERROR(E61/C61*100,0)</f>
        <v>0</v>
      </c>
      <c r="H61" s="288">
        <v>0</v>
      </c>
      <c r="I61" s="288">
        <v>0</v>
      </c>
      <c r="J61" s="288">
        <v>0</v>
      </c>
      <c r="K61" s="288">
        <v>0</v>
      </c>
      <c r="L61" s="288">
        <v>0</v>
      </c>
      <c r="M61" s="288">
        <v>0</v>
      </c>
      <c r="N61" s="288">
        <v>0</v>
      </c>
      <c r="O61" s="288">
        <v>0</v>
      </c>
      <c r="P61" s="288">
        <v>0</v>
      </c>
      <c r="Q61" s="288">
        <v>0</v>
      </c>
      <c r="R61" s="288">
        <v>0</v>
      </c>
      <c r="S61" s="288">
        <v>0</v>
      </c>
      <c r="T61" s="288">
        <v>0</v>
      </c>
      <c r="U61" s="288">
        <v>0</v>
      </c>
      <c r="V61" s="288">
        <v>0</v>
      </c>
      <c r="W61" s="288">
        <v>0</v>
      </c>
      <c r="X61" s="288">
        <v>0</v>
      </c>
      <c r="Y61" s="288">
        <v>0</v>
      </c>
      <c r="Z61" s="288">
        <v>0</v>
      </c>
      <c r="AA61" s="288">
        <v>0</v>
      </c>
      <c r="AB61" s="288">
        <v>0</v>
      </c>
      <c r="AC61" s="288">
        <v>0</v>
      </c>
      <c r="AD61" s="288">
        <v>0</v>
      </c>
      <c r="AE61" s="288">
        <v>0</v>
      </c>
      <c r="AF61" s="661"/>
    </row>
    <row r="62" spans="1:32" s="509" customFormat="1" ht="15.75" x14ac:dyDescent="0.25">
      <c r="A62" s="291" t="s">
        <v>221</v>
      </c>
      <c r="B62" s="383">
        <f>H62+J62+L62+N62+P62+R62+T62+V62+X62+Z62+AB62+AD62</f>
        <v>0</v>
      </c>
      <c r="C62" s="609">
        <f t="shared" si="25"/>
        <v>0</v>
      </c>
      <c r="D62" s="383">
        <f>E62</f>
        <v>0</v>
      </c>
      <c r="E62" s="383">
        <f>I62+K62+M62+O62+Q62+S62+U62+W62+Y62+AA62+AC62+AE62</f>
        <v>0</v>
      </c>
      <c r="F62" s="383">
        <f>IFERROR(E62/B62*100,0)</f>
        <v>0</v>
      </c>
      <c r="G62" s="383">
        <f>IFERROR(E62/C62*100,0)</f>
        <v>0</v>
      </c>
      <c r="H62" s="288">
        <v>0</v>
      </c>
      <c r="I62" s="288">
        <v>0</v>
      </c>
      <c r="J62" s="288">
        <v>0</v>
      </c>
      <c r="K62" s="288">
        <v>0</v>
      </c>
      <c r="L62" s="288">
        <v>0</v>
      </c>
      <c r="M62" s="288">
        <v>0</v>
      </c>
      <c r="N62" s="288">
        <v>0</v>
      </c>
      <c r="O62" s="288">
        <v>0</v>
      </c>
      <c r="P62" s="288">
        <v>0</v>
      </c>
      <c r="Q62" s="288">
        <v>0</v>
      </c>
      <c r="R62" s="288">
        <v>0</v>
      </c>
      <c r="S62" s="288">
        <v>0</v>
      </c>
      <c r="T62" s="288">
        <v>0</v>
      </c>
      <c r="U62" s="288">
        <v>0</v>
      </c>
      <c r="V62" s="288">
        <v>0</v>
      </c>
      <c r="W62" s="288">
        <v>0</v>
      </c>
      <c r="X62" s="288">
        <v>0</v>
      </c>
      <c r="Y62" s="288">
        <v>0</v>
      </c>
      <c r="Z62" s="288">
        <v>0</v>
      </c>
      <c r="AA62" s="288">
        <v>0</v>
      </c>
      <c r="AB62" s="288">
        <v>0</v>
      </c>
      <c r="AC62" s="288">
        <v>0</v>
      </c>
      <c r="AD62" s="288">
        <v>0</v>
      </c>
      <c r="AE62" s="288">
        <v>0</v>
      </c>
      <c r="AF62" s="662"/>
    </row>
    <row r="63" spans="1:32" s="509" customFormat="1" ht="15.75" x14ac:dyDescent="0.25">
      <c r="A63" s="826" t="s">
        <v>439</v>
      </c>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8"/>
      <c r="AF63" s="661"/>
    </row>
    <row r="64" spans="1:32" s="509" customFormat="1" ht="56.25" customHeight="1" x14ac:dyDescent="0.25">
      <c r="A64" s="284" t="s">
        <v>31</v>
      </c>
      <c r="B64" s="285">
        <f>B66+B67+B65+B69</f>
        <v>6032.0999999999995</v>
      </c>
      <c r="C64" s="285">
        <f>C66+C67+C65+C69</f>
        <v>3356.98</v>
      </c>
      <c r="D64" s="285">
        <f>D66+D67+D65+D69</f>
        <v>3316.66</v>
      </c>
      <c r="E64" s="610">
        <f>E66+E67+E65+E69</f>
        <v>3316.66</v>
      </c>
      <c r="F64" s="382">
        <f>IFERROR(E64/B64*100,0)</f>
        <v>54.983504915369444</v>
      </c>
      <c r="G64" s="382">
        <f>IFERROR(E64/C64*100,0)</f>
        <v>98.798920458269038</v>
      </c>
      <c r="H64" s="285">
        <f t="shared" ref="H64:AE64" si="26">H66+H67+H65+H69</f>
        <v>372.66</v>
      </c>
      <c r="I64" s="285">
        <f t="shared" si="26"/>
        <v>257.2</v>
      </c>
      <c r="J64" s="285">
        <f t="shared" si="26"/>
        <v>650.46</v>
      </c>
      <c r="K64" s="285">
        <f t="shared" si="26"/>
        <v>673.76</v>
      </c>
      <c r="L64" s="285">
        <f t="shared" si="26"/>
        <v>453.21</v>
      </c>
      <c r="M64" s="285">
        <f t="shared" si="26"/>
        <v>470</v>
      </c>
      <c r="N64" s="285">
        <f t="shared" si="26"/>
        <v>501.52000000000004</v>
      </c>
      <c r="O64" s="285">
        <f t="shared" si="26"/>
        <v>540.30999999999995</v>
      </c>
      <c r="P64" s="285">
        <f t="shared" si="26"/>
        <v>474.94</v>
      </c>
      <c r="Q64" s="285">
        <f t="shared" si="26"/>
        <v>414.16</v>
      </c>
      <c r="R64" s="285">
        <f t="shared" si="26"/>
        <v>427.2</v>
      </c>
      <c r="S64" s="285">
        <f t="shared" si="26"/>
        <v>453.33</v>
      </c>
      <c r="T64" s="285">
        <f t="shared" si="26"/>
        <v>476.99</v>
      </c>
      <c r="U64" s="285">
        <f t="shared" si="26"/>
        <v>507.9</v>
      </c>
      <c r="V64" s="285">
        <f t="shared" si="26"/>
        <v>518.82000000000005</v>
      </c>
      <c r="W64" s="285">
        <f t="shared" si="26"/>
        <v>0</v>
      </c>
      <c r="X64" s="285">
        <f t="shared" si="26"/>
        <v>466.76</v>
      </c>
      <c r="Y64" s="285">
        <f t="shared" si="26"/>
        <v>0</v>
      </c>
      <c r="Z64" s="285">
        <f t="shared" si="26"/>
        <v>518.83000000000004</v>
      </c>
      <c r="AA64" s="285">
        <f t="shared" si="26"/>
        <v>0</v>
      </c>
      <c r="AB64" s="285">
        <f t="shared" si="26"/>
        <v>847.31999999999994</v>
      </c>
      <c r="AC64" s="285">
        <f t="shared" si="26"/>
        <v>0</v>
      </c>
      <c r="AD64" s="285">
        <f t="shared" si="26"/>
        <v>323.39</v>
      </c>
      <c r="AE64" s="285">
        <f t="shared" si="26"/>
        <v>0</v>
      </c>
      <c r="AF64" s="659" t="s">
        <v>625</v>
      </c>
    </row>
    <row r="65" spans="1:32" s="509" customFormat="1" ht="15.75" x14ac:dyDescent="0.25">
      <c r="A65" s="381" t="s">
        <v>169</v>
      </c>
      <c r="B65" s="382">
        <f>H65+J65+L65+N65+P65+R65+T65+V65+X65+Z65+AB65+AD65</f>
        <v>0</v>
      </c>
      <c r="C65" s="609">
        <f>T65+R65+H65+J65+L65+N65+P65</f>
        <v>0</v>
      </c>
      <c r="D65" s="383">
        <f>E65</f>
        <v>0</v>
      </c>
      <c r="E65" s="609">
        <f>I65+K65+M65+O65+Q65+S65+U65+W65+Y65+AA65+AC65+AE65</f>
        <v>0</v>
      </c>
      <c r="F65" s="382">
        <f>IFERROR(E65/B65*100,0)</f>
        <v>0</v>
      </c>
      <c r="G65" s="382">
        <f>IFERROR(E65/C65*100,0)</f>
        <v>0</v>
      </c>
      <c r="H65" s="288">
        <v>0</v>
      </c>
      <c r="I65" s="288">
        <v>0</v>
      </c>
      <c r="J65" s="288">
        <v>0</v>
      </c>
      <c r="K65" s="288">
        <v>0</v>
      </c>
      <c r="L65" s="288">
        <v>0</v>
      </c>
      <c r="M65" s="288">
        <v>0</v>
      </c>
      <c r="N65" s="288">
        <v>0</v>
      </c>
      <c r="O65" s="288">
        <v>0</v>
      </c>
      <c r="P65" s="288">
        <v>0</v>
      </c>
      <c r="Q65" s="288">
        <v>0</v>
      </c>
      <c r="R65" s="288">
        <v>0</v>
      </c>
      <c r="S65" s="288">
        <v>0</v>
      </c>
      <c r="T65" s="288">
        <v>0</v>
      </c>
      <c r="U65" s="288">
        <v>0</v>
      </c>
      <c r="V65" s="288">
        <v>0</v>
      </c>
      <c r="W65" s="288">
        <v>0</v>
      </c>
      <c r="X65" s="288">
        <v>0</v>
      </c>
      <c r="Y65" s="288">
        <v>0</v>
      </c>
      <c r="Z65" s="288">
        <v>0</v>
      </c>
      <c r="AA65" s="288">
        <v>0</v>
      </c>
      <c r="AB65" s="288">
        <v>0</v>
      </c>
      <c r="AC65" s="288">
        <v>0</v>
      </c>
      <c r="AD65" s="288">
        <v>0</v>
      </c>
      <c r="AE65" s="288">
        <v>0</v>
      </c>
      <c r="AF65" s="670"/>
    </row>
    <row r="66" spans="1:32" s="509" customFormat="1" ht="15.75" x14ac:dyDescent="0.25">
      <c r="A66" s="284" t="s">
        <v>32</v>
      </c>
      <c r="B66" s="382">
        <f>H66+J66+L66+N66+P66+R66+T66+V66+X66+Z66+AB66+AD66</f>
        <v>0</v>
      </c>
      <c r="C66" s="609">
        <f t="shared" ref="C66:C69" si="27">T66+R66+H66+J66+L66+N66+P66</f>
        <v>0</v>
      </c>
      <c r="D66" s="383">
        <f>E66</f>
        <v>0</v>
      </c>
      <c r="E66" s="609">
        <f>I66+K66+M66+O66+Q66+S66+U66+W66+Y66+AA66+AC66+AE66</f>
        <v>0</v>
      </c>
      <c r="F66" s="382">
        <f>IFERROR(E66/B66*100,0)</f>
        <v>0</v>
      </c>
      <c r="G66" s="382">
        <f>IFERROR(E66/C66*100,0)</f>
        <v>0</v>
      </c>
      <c r="H66" s="288">
        <v>0</v>
      </c>
      <c r="I66" s="288">
        <v>0</v>
      </c>
      <c r="J66" s="288">
        <v>0</v>
      </c>
      <c r="K66" s="288">
        <v>0</v>
      </c>
      <c r="L66" s="288">
        <v>0</v>
      </c>
      <c r="M66" s="288">
        <v>0</v>
      </c>
      <c r="N66" s="288">
        <v>0</v>
      </c>
      <c r="O66" s="288">
        <v>0</v>
      </c>
      <c r="P66" s="288">
        <v>0</v>
      </c>
      <c r="Q66" s="288">
        <v>0</v>
      </c>
      <c r="R66" s="288">
        <v>0</v>
      </c>
      <c r="S66" s="288">
        <v>0</v>
      </c>
      <c r="T66" s="288">
        <v>0</v>
      </c>
      <c r="U66" s="288">
        <v>0</v>
      </c>
      <c r="V66" s="288">
        <v>0</v>
      </c>
      <c r="W66" s="288">
        <v>0</v>
      </c>
      <c r="X66" s="288">
        <v>0</v>
      </c>
      <c r="Y66" s="288">
        <v>0</v>
      </c>
      <c r="Z66" s="288">
        <v>0</v>
      </c>
      <c r="AA66" s="288">
        <v>0</v>
      </c>
      <c r="AB66" s="288">
        <v>0</v>
      </c>
      <c r="AC66" s="288">
        <v>0</v>
      </c>
      <c r="AD66" s="288">
        <v>0</v>
      </c>
      <c r="AE66" s="288">
        <v>0</v>
      </c>
      <c r="AF66" s="670"/>
    </row>
    <row r="67" spans="1:32" s="506" customFormat="1" ht="15.75" x14ac:dyDescent="0.25">
      <c r="A67" s="507" t="s">
        <v>33</v>
      </c>
      <c r="B67" s="605">
        <f>H67+J67+L67+N67+P67+R67+T67+V67+X67+Z67+AB67+AD67</f>
        <v>6032.0999999999995</v>
      </c>
      <c r="C67" s="609">
        <f t="shared" si="27"/>
        <v>3356.98</v>
      </c>
      <c r="D67" s="606">
        <f>E67</f>
        <v>3316.66</v>
      </c>
      <c r="E67" s="605">
        <f>I67+K67+M67+O67+Q67+S67+U67+W67+Y67+AA67+AC67+AE67</f>
        <v>3316.66</v>
      </c>
      <c r="F67" s="606">
        <f>E67/B67*100</f>
        <v>54.983504915369444</v>
      </c>
      <c r="G67" s="606">
        <f>E67/C67*100</f>
        <v>98.798920458269038</v>
      </c>
      <c r="H67" s="606">
        <v>372.66</v>
      </c>
      <c r="I67" s="606">
        <v>257.2</v>
      </c>
      <c r="J67" s="606">
        <f>481.29+169.17</f>
        <v>650.46</v>
      </c>
      <c r="K67" s="606">
        <v>673.76</v>
      </c>
      <c r="L67" s="606">
        <f>[2]УКС!L55</f>
        <v>453.21</v>
      </c>
      <c r="M67" s="606">
        <f>[2]УКС!M55</f>
        <v>470</v>
      </c>
      <c r="N67" s="606">
        <f>[2]УКС!N55</f>
        <v>501.52000000000004</v>
      </c>
      <c r="O67" s="606">
        <f>[2]УКС!O55</f>
        <v>540.30999999999995</v>
      </c>
      <c r="P67" s="606">
        <f>[2]УКС!P55</f>
        <v>474.94</v>
      </c>
      <c r="Q67" s="606">
        <f>[2]УКС!Q55</f>
        <v>414.16</v>
      </c>
      <c r="R67" s="606">
        <f>[2]УКС!R55</f>
        <v>427.2</v>
      </c>
      <c r="S67" s="606">
        <f>[2]УКС!S55</f>
        <v>453.33</v>
      </c>
      <c r="T67" s="606">
        <f>[2]УКС!T55</f>
        <v>476.99</v>
      </c>
      <c r="U67" s="606">
        <f>[2]УКС!U55</f>
        <v>507.9</v>
      </c>
      <c r="V67" s="606">
        <f>[2]УКС!V55</f>
        <v>518.82000000000005</v>
      </c>
      <c r="W67" s="606">
        <f>[2]УКС!W55</f>
        <v>0</v>
      </c>
      <c r="X67" s="606">
        <f>[2]УКС!X55</f>
        <v>466.76</v>
      </c>
      <c r="Y67" s="606">
        <f>[2]УКС!Y55</f>
        <v>0</v>
      </c>
      <c r="Z67" s="606">
        <f>[2]УКС!Z55</f>
        <v>518.83000000000004</v>
      </c>
      <c r="AA67" s="606">
        <f>[2]УКС!AA55</f>
        <v>0</v>
      </c>
      <c r="AB67" s="606">
        <f>[2]УКС!AB55</f>
        <v>847.31999999999994</v>
      </c>
      <c r="AC67" s="606">
        <f>[2]УКС!AC55</f>
        <v>0</v>
      </c>
      <c r="AD67" s="606">
        <f>[2]УКС!AD55</f>
        <v>323.39</v>
      </c>
      <c r="AE67" s="606">
        <f>[2]УКС!AE55</f>
        <v>0</v>
      </c>
      <c r="AF67" s="670"/>
    </row>
    <row r="68" spans="1:32" s="509" customFormat="1" ht="31.5" x14ac:dyDescent="0.25">
      <c r="A68" s="296" t="s">
        <v>174</v>
      </c>
      <c r="B68" s="382">
        <f>H68+J68+L68+N68+P68+R68+T68+V68+X68+Z68+AB68+AD68</f>
        <v>0</v>
      </c>
      <c r="C68" s="609">
        <f t="shared" si="27"/>
        <v>0</v>
      </c>
      <c r="D68" s="383">
        <f>E68</f>
        <v>0</v>
      </c>
      <c r="E68" s="609">
        <f>I68+K68+M68+O68+Q68+S68+U68+W68+Y68+AA68+AC68+AE68</f>
        <v>0</v>
      </c>
      <c r="F68" s="382">
        <f>IFERROR(E68/B68*100,0)</f>
        <v>0</v>
      </c>
      <c r="G68" s="382">
        <f>IFERROR(E68/C68*100,0)</f>
        <v>0</v>
      </c>
      <c r="H68" s="288">
        <v>0</v>
      </c>
      <c r="I68" s="288">
        <v>0</v>
      </c>
      <c r="J68" s="288">
        <v>0</v>
      </c>
      <c r="K68" s="288">
        <v>0</v>
      </c>
      <c r="L68" s="288">
        <v>0</v>
      </c>
      <c r="M68" s="288">
        <v>0</v>
      </c>
      <c r="N68" s="288">
        <v>0</v>
      </c>
      <c r="O68" s="288">
        <v>0</v>
      </c>
      <c r="P68" s="288">
        <v>0</v>
      </c>
      <c r="Q68" s="288">
        <v>0</v>
      </c>
      <c r="R68" s="288">
        <v>0</v>
      </c>
      <c r="S68" s="288">
        <v>0</v>
      </c>
      <c r="T68" s="288">
        <v>0</v>
      </c>
      <c r="U68" s="288">
        <v>0</v>
      </c>
      <c r="V68" s="288">
        <v>0</v>
      </c>
      <c r="W68" s="288">
        <v>0</v>
      </c>
      <c r="X68" s="288">
        <v>0</v>
      </c>
      <c r="Y68" s="288">
        <v>0</v>
      </c>
      <c r="Z68" s="288">
        <v>0</v>
      </c>
      <c r="AA68" s="288">
        <v>0</v>
      </c>
      <c r="AB68" s="288">
        <v>0</v>
      </c>
      <c r="AC68" s="288">
        <v>0</v>
      </c>
      <c r="AD68" s="288">
        <v>0</v>
      </c>
      <c r="AE68" s="288">
        <v>0</v>
      </c>
      <c r="AF68" s="670"/>
    </row>
    <row r="69" spans="1:32" s="509" customFormat="1" ht="15.75" x14ac:dyDescent="0.25">
      <c r="A69" s="284" t="s">
        <v>221</v>
      </c>
      <c r="B69" s="382">
        <f>H69+J69+L69+N69+P69+R69+T69+V69+X69+Z69+AB69+AD69</f>
        <v>0</v>
      </c>
      <c r="C69" s="609">
        <f t="shared" si="27"/>
        <v>0</v>
      </c>
      <c r="D69" s="383">
        <f>E69</f>
        <v>0</v>
      </c>
      <c r="E69" s="609">
        <f>I69+K69+M69+O69+Q69+S69+U69+W69+Y69+AA69+AC69+AE69</f>
        <v>0</v>
      </c>
      <c r="F69" s="382">
        <f>IFERROR(E69/B69*100,0)</f>
        <v>0</v>
      </c>
      <c r="G69" s="382">
        <f>IFERROR(E69/C69*100,0)</f>
        <v>0</v>
      </c>
      <c r="H69" s="288">
        <v>0</v>
      </c>
      <c r="I69" s="288">
        <v>0</v>
      </c>
      <c r="J69" s="288">
        <v>0</v>
      </c>
      <c r="K69" s="288">
        <v>0</v>
      </c>
      <c r="L69" s="288">
        <v>0</v>
      </c>
      <c r="M69" s="288">
        <v>0</v>
      </c>
      <c r="N69" s="288">
        <v>0</v>
      </c>
      <c r="O69" s="288">
        <v>0</v>
      </c>
      <c r="P69" s="288">
        <v>0</v>
      </c>
      <c r="Q69" s="288">
        <v>0</v>
      </c>
      <c r="R69" s="288">
        <v>0</v>
      </c>
      <c r="S69" s="288">
        <v>0</v>
      </c>
      <c r="T69" s="288">
        <v>0</v>
      </c>
      <c r="U69" s="288">
        <v>0</v>
      </c>
      <c r="V69" s="288">
        <v>0</v>
      </c>
      <c r="W69" s="288">
        <v>0</v>
      </c>
      <c r="X69" s="288">
        <v>0</v>
      </c>
      <c r="Y69" s="288">
        <v>0</v>
      </c>
      <c r="Z69" s="288">
        <v>0</v>
      </c>
      <c r="AA69" s="288">
        <v>0</v>
      </c>
      <c r="AB69" s="288">
        <v>0</v>
      </c>
      <c r="AC69" s="288">
        <v>0</v>
      </c>
      <c r="AD69" s="288">
        <v>0</v>
      </c>
      <c r="AE69" s="288">
        <v>0</v>
      </c>
      <c r="AF69" s="825"/>
    </row>
    <row r="70" spans="1:32" s="509" customFormat="1" ht="15.75" x14ac:dyDescent="0.25">
      <c r="A70" s="826" t="s">
        <v>440</v>
      </c>
      <c r="B70" s="657"/>
      <c r="C70" s="657"/>
      <c r="D70" s="657"/>
      <c r="E70" s="657"/>
      <c r="F70" s="657"/>
      <c r="G70" s="657"/>
      <c r="H70" s="657"/>
      <c r="I70" s="657"/>
      <c r="J70" s="657"/>
      <c r="K70" s="657"/>
      <c r="L70" s="657"/>
      <c r="M70" s="657"/>
      <c r="N70" s="657"/>
      <c r="O70" s="657"/>
      <c r="P70" s="657"/>
      <c r="Q70" s="657"/>
      <c r="R70" s="657"/>
      <c r="S70" s="657"/>
      <c r="T70" s="657"/>
      <c r="U70" s="657"/>
      <c r="V70" s="657"/>
      <c r="W70" s="657"/>
      <c r="X70" s="657"/>
      <c r="Y70" s="657"/>
      <c r="Z70" s="657"/>
      <c r="AA70" s="657"/>
      <c r="AB70" s="657"/>
      <c r="AC70" s="657"/>
      <c r="AD70" s="657"/>
      <c r="AE70" s="658"/>
      <c r="AF70" s="670"/>
    </row>
    <row r="71" spans="1:32" s="509" customFormat="1" ht="45.75" customHeight="1" x14ac:dyDescent="0.25">
      <c r="A71" s="284" t="s">
        <v>31</v>
      </c>
      <c r="B71" s="285">
        <f>B73+B74+B72+B76</f>
        <v>992.2</v>
      </c>
      <c r="C71" s="285">
        <f>C73+C74+C72+C76</f>
        <v>0</v>
      </c>
      <c r="D71" s="285">
        <f>D73+D74+D72+D76</f>
        <v>0</v>
      </c>
      <c r="E71" s="610">
        <f>E73+E74+E72+E76</f>
        <v>0</v>
      </c>
      <c r="F71" s="285">
        <f t="shared" ref="F71:F76" si="28">IFERROR(E71/B71%,0)</f>
        <v>0</v>
      </c>
      <c r="G71" s="285">
        <f t="shared" ref="G71:G76" si="29">IFERROR(E71/C71%,0)</f>
        <v>0</v>
      </c>
      <c r="H71" s="285">
        <f t="shared" ref="H71:AE71" si="30">H73+H74+H72+H76</f>
        <v>0</v>
      </c>
      <c r="I71" s="285">
        <f t="shared" si="30"/>
        <v>0</v>
      </c>
      <c r="J71" s="285">
        <f t="shared" si="30"/>
        <v>0</v>
      </c>
      <c r="K71" s="285">
        <f t="shared" si="30"/>
        <v>0</v>
      </c>
      <c r="L71" s="285">
        <f t="shared" si="30"/>
        <v>0</v>
      </c>
      <c r="M71" s="285">
        <f t="shared" si="30"/>
        <v>0</v>
      </c>
      <c r="N71" s="285">
        <f t="shared" si="30"/>
        <v>0</v>
      </c>
      <c r="O71" s="285">
        <f t="shared" si="30"/>
        <v>0</v>
      </c>
      <c r="P71" s="285">
        <f t="shared" si="30"/>
        <v>0</v>
      </c>
      <c r="Q71" s="285">
        <f t="shared" si="30"/>
        <v>0</v>
      </c>
      <c r="R71" s="285">
        <f t="shared" si="30"/>
        <v>0</v>
      </c>
      <c r="S71" s="285">
        <f t="shared" si="30"/>
        <v>0</v>
      </c>
      <c r="T71" s="285">
        <f t="shared" si="30"/>
        <v>0</v>
      </c>
      <c r="U71" s="285">
        <f t="shared" si="30"/>
        <v>0</v>
      </c>
      <c r="V71" s="285">
        <f t="shared" si="30"/>
        <v>0</v>
      </c>
      <c r="W71" s="285">
        <f t="shared" si="30"/>
        <v>0</v>
      </c>
      <c r="X71" s="285">
        <f t="shared" si="30"/>
        <v>0</v>
      </c>
      <c r="Y71" s="285">
        <f t="shared" si="30"/>
        <v>0</v>
      </c>
      <c r="Z71" s="285">
        <f t="shared" si="30"/>
        <v>992.2</v>
      </c>
      <c r="AA71" s="285">
        <f t="shared" si="30"/>
        <v>0</v>
      </c>
      <c r="AB71" s="285">
        <f t="shared" si="30"/>
        <v>0</v>
      </c>
      <c r="AC71" s="285">
        <f t="shared" si="30"/>
        <v>0</v>
      </c>
      <c r="AD71" s="285">
        <f t="shared" si="30"/>
        <v>0</v>
      </c>
      <c r="AE71" s="285">
        <f t="shared" si="30"/>
        <v>0</v>
      </c>
      <c r="AF71" s="659" t="s">
        <v>491</v>
      </c>
    </row>
    <row r="72" spans="1:32" s="509" customFormat="1" ht="15.75" x14ac:dyDescent="0.25">
      <c r="A72" s="381" t="s">
        <v>169</v>
      </c>
      <c r="B72" s="382">
        <f>H72+J72+L72+N72+P72+R72+T72+V72+X72+Z72+AB72+AD72</f>
        <v>0</v>
      </c>
      <c r="C72" s="609">
        <f>T72+R72+H72+J72+L72+N72+P72</f>
        <v>0</v>
      </c>
      <c r="D72" s="382">
        <f>E72</f>
        <v>0</v>
      </c>
      <c r="E72" s="382">
        <f>I72+K72+M72+O72+Q72+S72+U72+W72+Y72+AA72+AC72+AE72</f>
        <v>0</v>
      </c>
      <c r="F72" s="336">
        <f t="shared" si="28"/>
        <v>0</v>
      </c>
      <c r="G72" s="336">
        <f t="shared" si="29"/>
        <v>0</v>
      </c>
      <c r="H72" s="288">
        <v>0</v>
      </c>
      <c r="I72" s="288">
        <v>0</v>
      </c>
      <c r="J72" s="288">
        <v>0</v>
      </c>
      <c r="K72" s="288">
        <v>0</v>
      </c>
      <c r="L72" s="288">
        <v>0</v>
      </c>
      <c r="M72" s="288">
        <v>0</v>
      </c>
      <c r="N72" s="288">
        <v>0</v>
      </c>
      <c r="O72" s="288">
        <v>0</v>
      </c>
      <c r="P72" s="288">
        <v>0</v>
      </c>
      <c r="Q72" s="288">
        <v>0</v>
      </c>
      <c r="R72" s="288">
        <v>0</v>
      </c>
      <c r="S72" s="288">
        <v>0</v>
      </c>
      <c r="T72" s="288">
        <v>0</v>
      </c>
      <c r="U72" s="288">
        <v>0</v>
      </c>
      <c r="V72" s="288">
        <v>0</v>
      </c>
      <c r="W72" s="288">
        <v>0</v>
      </c>
      <c r="X72" s="288">
        <v>0</v>
      </c>
      <c r="Y72" s="288">
        <v>0</v>
      </c>
      <c r="Z72" s="288">
        <v>0</v>
      </c>
      <c r="AA72" s="288">
        <v>0</v>
      </c>
      <c r="AB72" s="288">
        <v>0</v>
      </c>
      <c r="AC72" s="288">
        <v>0</v>
      </c>
      <c r="AD72" s="288">
        <v>0</v>
      </c>
      <c r="AE72" s="288">
        <v>0</v>
      </c>
      <c r="AF72" s="664"/>
    </row>
    <row r="73" spans="1:32" s="506" customFormat="1" ht="15.75" x14ac:dyDescent="0.25">
      <c r="A73" s="507" t="s">
        <v>32</v>
      </c>
      <c r="B73" s="605">
        <f>H73+J73+L73+N73+P73+R73+T73+V73+X73+Z73+AB73+AD73</f>
        <v>992.2</v>
      </c>
      <c r="C73" s="609">
        <f t="shared" ref="C73:C76" si="31">T73+R73+H73+J73+L73+N73+P73</f>
        <v>0</v>
      </c>
      <c r="D73" s="382">
        <f>E73</f>
        <v>0</v>
      </c>
      <c r="E73" s="382">
        <f>I73+K73+M73+O73+Q73+S73+U73+W73+Y73+AA73+AC73+AE73</f>
        <v>0</v>
      </c>
      <c r="F73" s="336">
        <f t="shared" si="28"/>
        <v>0</v>
      </c>
      <c r="G73" s="336">
        <f t="shared" si="29"/>
        <v>0</v>
      </c>
      <c r="H73" s="288">
        <v>0</v>
      </c>
      <c r="I73" s="288">
        <v>0</v>
      </c>
      <c r="J73" s="288">
        <v>0</v>
      </c>
      <c r="K73" s="288">
        <v>0</v>
      </c>
      <c r="L73" s="288">
        <v>0</v>
      </c>
      <c r="M73" s="288">
        <v>0</v>
      </c>
      <c r="N73" s="288">
        <v>0</v>
      </c>
      <c r="O73" s="288">
        <v>0</v>
      </c>
      <c r="P73" s="288">
        <v>0</v>
      </c>
      <c r="Q73" s="288">
        <v>0</v>
      </c>
      <c r="R73" s="288">
        <v>0</v>
      </c>
      <c r="S73" s="288">
        <v>0</v>
      </c>
      <c r="T73" s="288">
        <v>0</v>
      </c>
      <c r="U73" s="288">
        <v>0</v>
      </c>
      <c r="V73" s="288">
        <v>0</v>
      </c>
      <c r="W73" s="288">
        <v>0</v>
      </c>
      <c r="X73" s="288">
        <v>0</v>
      </c>
      <c r="Y73" s="288">
        <v>0</v>
      </c>
      <c r="Z73" s="606">
        <f>[2]УКС!Z61</f>
        <v>992.2</v>
      </c>
      <c r="AA73" s="508">
        <f>[2]УКС!AA61</f>
        <v>0</v>
      </c>
      <c r="AB73" s="508">
        <f>[2]УКС!AB61</f>
        <v>0</v>
      </c>
      <c r="AC73" s="508">
        <f>[2]УКС!AC61</f>
        <v>0</v>
      </c>
      <c r="AD73" s="508">
        <f>[2]УКС!AD61</f>
        <v>0</v>
      </c>
      <c r="AE73" s="508">
        <f>[2]УКС!AE61</f>
        <v>0</v>
      </c>
      <c r="AF73" s="664"/>
    </row>
    <row r="74" spans="1:32" s="509" customFormat="1" ht="15.75" x14ac:dyDescent="0.25">
      <c r="A74" s="284" t="s">
        <v>33</v>
      </c>
      <c r="B74" s="382">
        <f>H74+J74+L74+N74+P74+R74+T74+V74+X74+Z74+AB74+AD74</f>
        <v>0</v>
      </c>
      <c r="C74" s="609">
        <f t="shared" si="31"/>
        <v>0</v>
      </c>
      <c r="D74" s="382">
        <f>E74</f>
        <v>0</v>
      </c>
      <c r="E74" s="382">
        <f>I74+K74+M74+O74+Q74+S74+U74+W74+Y74+AA74+AC74+AE74</f>
        <v>0</v>
      </c>
      <c r="F74" s="336">
        <f t="shared" si="28"/>
        <v>0</v>
      </c>
      <c r="G74" s="336">
        <f t="shared" si="29"/>
        <v>0</v>
      </c>
      <c r="H74" s="288">
        <v>0</v>
      </c>
      <c r="I74" s="288">
        <v>0</v>
      </c>
      <c r="J74" s="288">
        <v>0</v>
      </c>
      <c r="K74" s="288">
        <v>0</v>
      </c>
      <c r="L74" s="288">
        <v>0</v>
      </c>
      <c r="M74" s="288">
        <v>0</v>
      </c>
      <c r="N74" s="288">
        <v>0</v>
      </c>
      <c r="O74" s="288">
        <v>0</v>
      </c>
      <c r="P74" s="288">
        <v>0</v>
      </c>
      <c r="Q74" s="288">
        <v>0</v>
      </c>
      <c r="R74" s="288">
        <v>0</v>
      </c>
      <c r="S74" s="288">
        <v>0</v>
      </c>
      <c r="T74" s="288">
        <v>0</v>
      </c>
      <c r="U74" s="288">
        <v>0</v>
      </c>
      <c r="V74" s="288">
        <v>0</v>
      </c>
      <c r="W74" s="288">
        <v>0</v>
      </c>
      <c r="X74" s="288">
        <v>0</v>
      </c>
      <c r="Y74" s="288">
        <v>0</v>
      </c>
      <c r="Z74" s="288">
        <v>0</v>
      </c>
      <c r="AA74" s="288">
        <v>0</v>
      </c>
      <c r="AB74" s="288">
        <v>0</v>
      </c>
      <c r="AC74" s="288">
        <v>0</v>
      </c>
      <c r="AD74" s="288">
        <v>0</v>
      </c>
      <c r="AE74" s="288">
        <v>0</v>
      </c>
      <c r="AF74" s="664"/>
    </row>
    <row r="75" spans="1:32" s="509" customFormat="1" ht="31.5" x14ac:dyDescent="0.25">
      <c r="A75" s="296" t="s">
        <v>174</v>
      </c>
      <c r="B75" s="382">
        <f>H75+J75+L75+N75+P75+R75+T75+V75+X75+Z75+AB75+AD75</f>
        <v>0</v>
      </c>
      <c r="C75" s="609">
        <f t="shared" si="31"/>
        <v>0</v>
      </c>
      <c r="D75" s="382">
        <f>E75</f>
        <v>0</v>
      </c>
      <c r="E75" s="382">
        <f>I75+K75+M75+O75+Q75+S75+U75+W75+Y75+AA75+AC75+AE75</f>
        <v>0</v>
      </c>
      <c r="F75" s="336">
        <f t="shared" si="28"/>
        <v>0</v>
      </c>
      <c r="G75" s="336">
        <f t="shared" si="29"/>
        <v>0</v>
      </c>
      <c r="H75" s="288">
        <v>0</v>
      </c>
      <c r="I75" s="288">
        <v>0</v>
      </c>
      <c r="J75" s="288">
        <v>0</v>
      </c>
      <c r="K75" s="288">
        <v>0</v>
      </c>
      <c r="L75" s="288">
        <v>0</v>
      </c>
      <c r="M75" s="288">
        <v>0</v>
      </c>
      <c r="N75" s="288">
        <v>0</v>
      </c>
      <c r="O75" s="288">
        <v>0</v>
      </c>
      <c r="P75" s="288">
        <v>0</v>
      </c>
      <c r="Q75" s="288">
        <v>0</v>
      </c>
      <c r="R75" s="288">
        <v>0</v>
      </c>
      <c r="S75" s="288">
        <v>0</v>
      </c>
      <c r="T75" s="288">
        <v>0</v>
      </c>
      <c r="U75" s="288">
        <v>0</v>
      </c>
      <c r="V75" s="288">
        <v>0</v>
      </c>
      <c r="W75" s="288">
        <v>0</v>
      </c>
      <c r="X75" s="288">
        <v>0</v>
      </c>
      <c r="Y75" s="288">
        <v>0</v>
      </c>
      <c r="Z75" s="288">
        <v>0</v>
      </c>
      <c r="AA75" s="288">
        <v>0</v>
      </c>
      <c r="AB75" s="288">
        <v>0</v>
      </c>
      <c r="AC75" s="288">
        <v>0</v>
      </c>
      <c r="AD75" s="288">
        <v>0</v>
      </c>
      <c r="AE75" s="288">
        <v>0</v>
      </c>
      <c r="AF75" s="664"/>
    </row>
    <row r="76" spans="1:32" s="509" customFormat="1" ht="15.75" x14ac:dyDescent="0.25">
      <c r="A76" s="284" t="s">
        <v>221</v>
      </c>
      <c r="B76" s="382">
        <f>H76+J76+L76+N76+P76+R76+T76+V76+X76+Z76+AB76+AD76</f>
        <v>0</v>
      </c>
      <c r="C76" s="609">
        <f t="shared" si="31"/>
        <v>0</v>
      </c>
      <c r="D76" s="382">
        <f>E76</f>
        <v>0</v>
      </c>
      <c r="E76" s="382">
        <f>I76+K76+M76+O76+Q76+S76+U76+W76+Y76+AA76+AC76+AE76</f>
        <v>0</v>
      </c>
      <c r="F76" s="336">
        <f t="shared" si="28"/>
        <v>0</v>
      </c>
      <c r="G76" s="336">
        <f t="shared" si="29"/>
        <v>0</v>
      </c>
      <c r="H76" s="288">
        <v>0</v>
      </c>
      <c r="I76" s="288">
        <v>0</v>
      </c>
      <c r="J76" s="288">
        <v>0</v>
      </c>
      <c r="K76" s="288">
        <v>0</v>
      </c>
      <c r="L76" s="288">
        <v>0</v>
      </c>
      <c r="M76" s="288">
        <v>0</v>
      </c>
      <c r="N76" s="288">
        <v>0</v>
      </c>
      <c r="O76" s="288">
        <v>0</v>
      </c>
      <c r="P76" s="288">
        <v>0</v>
      </c>
      <c r="Q76" s="288">
        <v>0</v>
      </c>
      <c r="R76" s="288">
        <v>0</v>
      </c>
      <c r="S76" s="288">
        <v>0</v>
      </c>
      <c r="T76" s="288">
        <v>0</v>
      </c>
      <c r="U76" s="288">
        <v>0</v>
      </c>
      <c r="V76" s="288">
        <v>0</v>
      </c>
      <c r="W76" s="288">
        <v>0</v>
      </c>
      <c r="X76" s="288">
        <v>0</v>
      </c>
      <c r="Y76" s="288">
        <v>0</v>
      </c>
      <c r="Z76" s="288">
        <v>0</v>
      </c>
      <c r="AA76" s="288">
        <v>0</v>
      </c>
      <c r="AB76" s="288">
        <v>0</v>
      </c>
      <c r="AC76" s="288">
        <v>0</v>
      </c>
      <c r="AD76" s="288">
        <v>0</v>
      </c>
      <c r="AE76" s="288">
        <v>0</v>
      </c>
      <c r="AF76" s="665"/>
    </row>
    <row r="77" spans="1:32" s="509" customFormat="1" ht="15.75" x14ac:dyDescent="0.25">
      <c r="A77" s="826" t="s">
        <v>617</v>
      </c>
      <c r="B77" s="657"/>
      <c r="C77" s="657"/>
      <c r="D77" s="657"/>
      <c r="E77" s="657"/>
      <c r="F77" s="657"/>
      <c r="G77" s="657"/>
      <c r="H77" s="657"/>
      <c r="I77" s="657"/>
      <c r="J77" s="657"/>
      <c r="K77" s="657"/>
      <c r="L77" s="657"/>
      <c r="M77" s="657"/>
      <c r="N77" s="657"/>
      <c r="O77" s="657"/>
      <c r="P77" s="657"/>
      <c r="Q77" s="657"/>
      <c r="R77" s="657"/>
      <c r="S77" s="657"/>
      <c r="T77" s="657"/>
      <c r="U77" s="657"/>
      <c r="V77" s="657"/>
      <c r="W77" s="657"/>
      <c r="X77" s="657"/>
      <c r="Y77" s="657"/>
      <c r="Z77" s="657"/>
      <c r="AA77" s="657"/>
      <c r="AB77" s="657"/>
      <c r="AC77" s="657"/>
      <c r="AD77" s="657"/>
      <c r="AE77" s="658"/>
      <c r="AF77" s="664"/>
    </row>
    <row r="78" spans="1:32" s="509" customFormat="1" ht="54.75" customHeight="1" x14ac:dyDescent="0.25">
      <c r="A78" s="284" t="s">
        <v>31</v>
      </c>
      <c r="B78" s="285">
        <f>B80+B81+B79+B83</f>
        <v>9852.6</v>
      </c>
      <c r="C78" s="285">
        <f>C80+C81+C79+C83</f>
        <v>5812.43</v>
      </c>
      <c r="D78" s="285">
        <f>D80+D81+D79+D83</f>
        <v>3211.17</v>
      </c>
      <c r="E78" s="610">
        <f>E80+E81+E79+E83</f>
        <v>3211.17</v>
      </c>
      <c r="F78" s="285">
        <f>IFERROR(E78/B78%,0)</f>
        <v>32.592107667011753</v>
      </c>
      <c r="G78" s="285">
        <f>IFERROR(E78/C78%,0)</f>
        <v>55.246600819278683</v>
      </c>
      <c r="H78" s="285">
        <f t="shared" ref="H78:AE78" si="32">H80+H81+H79+H83</f>
        <v>526.79999999999995</v>
      </c>
      <c r="I78" s="285">
        <f t="shared" si="32"/>
        <v>248.69</v>
      </c>
      <c r="J78" s="285">
        <f t="shared" si="32"/>
        <v>956.85</v>
      </c>
      <c r="K78" s="285">
        <f t="shared" si="32"/>
        <v>457.34000000000003</v>
      </c>
      <c r="L78" s="285">
        <f t="shared" si="32"/>
        <v>1234.31</v>
      </c>
      <c r="M78" s="285">
        <f t="shared" si="32"/>
        <v>544.57999999999993</v>
      </c>
      <c r="N78" s="285">
        <f t="shared" si="32"/>
        <v>774.46999999999991</v>
      </c>
      <c r="O78" s="285">
        <f t="shared" si="32"/>
        <v>699.64</v>
      </c>
      <c r="P78" s="285">
        <f t="shared" si="32"/>
        <v>510.59</v>
      </c>
      <c r="Q78" s="285">
        <f t="shared" si="32"/>
        <v>56.55</v>
      </c>
      <c r="R78" s="285">
        <f t="shared" si="32"/>
        <v>603.70000000000005</v>
      </c>
      <c r="S78" s="285">
        <f t="shared" si="32"/>
        <v>104.65</v>
      </c>
      <c r="T78" s="285">
        <f t="shared" si="32"/>
        <v>1205.71</v>
      </c>
      <c r="U78" s="285">
        <f t="shared" si="32"/>
        <v>1099.72</v>
      </c>
      <c r="V78" s="285">
        <f t="shared" si="32"/>
        <v>576.46</v>
      </c>
      <c r="W78" s="285">
        <f t="shared" si="32"/>
        <v>0</v>
      </c>
      <c r="X78" s="285">
        <f t="shared" si="32"/>
        <v>576.45000000000005</v>
      </c>
      <c r="Y78" s="285">
        <f t="shared" si="32"/>
        <v>0</v>
      </c>
      <c r="Z78" s="285">
        <f t="shared" si="32"/>
        <v>576.46</v>
      </c>
      <c r="AA78" s="285">
        <f t="shared" si="32"/>
        <v>0</v>
      </c>
      <c r="AB78" s="285">
        <f t="shared" si="32"/>
        <v>570.6</v>
      </c>
      <c r="AC78" s="285">
        <f t="shared" si="32"/>
        <v>0</v>
      </c>
      <c r="AD78" s="285">
        <f t="shared" si="32"/>
        <v>1740.2</v>
      </c>
      <c r="AE78" s="285">
        <f t="shared" si="32"/>
        <v>0</v>
      </c>
      <c r="AF78" s="659" t="s">
        <v>626</v>
      </c>
    </row>
    <row r="79" spans="1:32" s="509" customFormat="1" ht="15.75" x14ac:dyDescent="0.25">
      <c r="A79" s="381" t="s">
        <v>169</v>
      </c>
      <c r="B79" s="382">
        <f>H79+J79+L79+N79+P79+R79+T79+V79+X79+Z79+AB79+AD79</f>
        <v>0</v>
      </c>
      <c r="C79" s="609">
        <f>T79+R79+H79+J79+L79+N79+P79</f>
        <v>0</v>
      </c>
      <c r="D79" s="383">
        <f>E79</f>
        <v>0</v>
      </c>
      <c r="E79" s="383">
        <f>I79+K79+M79+O79+Q79+S79+U79+W79+Y79+AA79+AC79+AE79</f>
        <v>0</v>
      </c>
      <c r="F79" s="336">
        <f>IFERROR(E79/B79%,0)</f>
        <v>0</v>
      </c>
      <c r="G79" s="336">
        <f>IFERROR(E79/C79%,0)</f>
        <v>0</v>
      </c>
      <c r="H79" s="288">
        <v>0</v>
      </c>
      <c r="I79" s="288">
        <v>0</v>
      </c>
      <c r="J79" s="288">
        <v>0</v>
      </c>
      <c r="K79" s="288">
        <v>0</v>
      </c>
      <c r="L79" s="288">
        <v>0</v>
      </c>
      <c r="M79" s="288">
        <v>0</v>
      </c>
      <c r="N79" s="288">
        <v>0</v>
      </c>
      <c r="O79" s="288">
        <v>0</v>
      </c>
      <c r="P79" s="288">
        <v>0</v>
      </c>
      <c r="Q79" s="288">
        <v>0</v>
      </c>
      <c r="R79" s="288">
        <v>0</v>
      </c>
      <c r="S79" s="288">
        <v>0</v>
      </c>
      <c r="T79" s="288">
        <v>0</v>
      </c>
      <c r="U79" s="288">
        <v>0</v>
      </c>
      <c r="V79" s="288">
        <v>0</v>
      </c>
      <c r="W79" s="288">
        <v>0</v>
      </c>
      <c r="X79" s="288">
        <v>0</v>
      </c>
      <c r="Y79" s="288">
        <v>0</v>
      </c>
      <c r="Z79" s="288">
        <v>0</v>
      </c>
      <c r="AA79" s="288">
        <v>0</v>
      </c>
      <c r="AB79" s="288">
        <v>0</v>
      </c>
      <c r="AC79" s="288">
        <v>0</v>
      </c>
      <c r="AD79" s="288">
        <v>0</v>
      </c>
      <c r="AE79" s="288">
        <v>0</v>
      </c>
      <c r="AF79" s="660"/>
    </row>
    <row r="80" spans="1:32" s="506" customFormat="1" ht="15.75" x14ac:dyDescent="0.25">
      <c r="A80" s="507" t="s">
        <v>32</v>
      </c>
      <c r="B80" s="605">
        <f>H80+J80+L80+N80+P80+R80+T80+V80+X80+Z80+AB80+AD80</f>
        <v>595.29999999999995</v>
      </c>
      <c r="C80" s="609">
        <f t="shared" ref="C80:C83" si="33">T80+R80+H80+J80+L80+N80+P80</f>
        <v>595.29999999999995</v>
      </c>
      <c r="D80" s="606">
        <f>E80</f>
        <v>595.29999999999995</v>
      </c>
      <c r="E80" s="605">
        <f>I80+K80+M80+O80+Q80+S80+U80+W80+Y80+AA80+AC80+AE80</f>
        <v>595.29999999999995</v>
      </c>
      <c r="F80" s="606">
        <f>E80/B80*100</f>
        <v>100</v>
      </c>
      <c r="G80" s="606">
        <f>E80/C80*100</f>
        <v>100</v>
      </c>
      <c r="H80" s="606">
        <f>[2]УКС!H66</f>
        <v>526.79999999999995</v>
      </c>
      <c r="I80" s="606">
        <f>[2]УКС!I66</f>
        <v>248.69</v>
      </c>
      <c r="J80" s="606">
        <f>[2]УКС!J66</f>
        <v>68.5</v>
      </c>
      <c r="K80" s="606">
        <f>[2]УКС!K66</f>
        <v>129.43</v>
      </c>
      <c r="L80" s="606">
        <f>[2]УКС!L66</f>
        <v>0</v>
      </c>
      <c r="M80" s="606">
        <f>[2]УКС!M66</f>
        <v>217.18</v>
      </c>
      <c r="N80" s="606">
        <f>[2]УКС!N66</f>
        <v>0</v>
      </c>
      <c r="O80" s="606">
        <f>[2]УКС!O66</f>
        <v>0</v>
      </c>
      <c r="P80" s="606">
        <f>[2]УКС!P66</f>
        <v>0</v>
      </c>
      <c r="Q80" s="606">
        <f>[2]УКС!Q66</f>
        <v>0</v>
      </c>
      <c r="R80" s="606">
        <f>[2]УКС!R66</f>
        <v>0</v>
      </c>
      <c r="S80" s="606">
        <f>[2]УКС!S66</f>
        <v>0</v>
      </c>
      <c r="T80" s="606">
        <f>[2]УКС!T66</f>
        <v>0</v>
      </c>
      <c r="U80" s="606">
        <f>[2]УКС!U66</f>
        <v>0</v>
      </c>
      <c r="V80" s="606">
        <f>[2]УКС!V66</f>
        <v>0</v>
      </c>
      <c r="W80" s="606">
        <f>[2]УКС!W66</f>
        <v>0</v>
      </c>
      <c r="X80" s="606">
        <f>[2]УКС!X66</f>
        <v>0</v>
      </c>
      <c r="Y80" s="606">
        <f>[2]УКС!Y66</f>
        <v>0</v>
      </c>
      <c r="Z80" s="606">
        <f>[2]УКС!Z66</f>
        <v>0</v>
      </c>
      <c r="AA80" s="606">
        <f>[2]УКС!AA66</f>
        <v>0</v>
      </c>
      <c r="AB80" s="606">
        <f>[2]УКС!AB66</f>
        <v>0</v>
      </c>
      <c r="AC80" s="606">
        <f>[2]УКС!AC66</f>
        <v>0</v>
      </c>
      <c r="AD80" s="606">
        <f>[2]УКС!AD66</f>
        <v>0</v>
      </c>
      <c r="AE80" s="606">
        <f>[2]УКС!AE66</f>
        <v>0</v>
      </c>
      <c r="AF80" s="660"/>
    </row>
    <row r="81" spans="1:32" s="506" customFormat="1" ht="15.75" x14ac:dyDescent="0.25">
      <c r="A81" s="507" t="s">
        <v>33</v>
      </c>
      <c r="B81" s="605">
        <f>H81+J81+L81+N81+P81+R81+T81+V81+X81+Z81+AB81+AD81</f>
        <v>9257.3000000000011</v>
      </c>
      <c r="C81" s="609">
        <f t="shared" si="33"/>
        <v>5217.13</v>
      </c>
      <c r="D81" s="606">
        <f>E81</f>
        <v>2615.87</v>
      </c>
      <c r="E81" s="605">
        <f>I81+K81+M81+O81+Q81+S81+U81+W81+Y81+AA81+AC81+AE81</f>
        <v>2615.87</v>
      </c>
      <c r="F81" s="606">
        <f>E81/B81*100</f>
        <v>28.257375260605137</v>
      </c>
      <c r="G81" s="606"/>
      <c r="H81" s="606">
        <f>[2]УКС!H67</f>
        <v>0</v>
      </c>
      <c r="I81" s="606">
        <f>[2]УКС!I67</f>
        <v>0</v>
      </c>
      <c r="J81" s="606">
        <f>[2]УКС!J67</f>
        <v>888.35</v>
      </c>
      <c r="K81" s="606">
        <f>[2]УКС!K67</f>
        <v>327.91</v>
      </c>
      <c r="L81" s="606">
        <f>[2]УКС!L67</f>
        <v>1234.31</v>
      </c>
      <c r="M81" s="606">
        <f>[2]УКС!M67</f>
        <v>327.39999999999998</v>
      </c>
      <c r="N81" s="606">
        <f>[2]УКС!N67</f>
        <v>774.46999999999991</v>
      </c>
      <c r="O81" s="606">
        <f>[2]УКС!O67</f>
        <v>699.64</v>
      </c>
      <c r="P81" s="606">
        <f>[2]УКС!P67</f>
        <v>510.59</v>
      </c>
      <c r="Q81" s="606">
        <f>[2]УКС!Q67</f>
        <v>56.55</v>
      </c>
      <c r="R81" s="606">
        <f>[2]УКС!R67</f>
        <v>603.70000000000005</v>
      </c>
      <c r="S81" s="606">
        <f>[2]УКС!S67</f>
        <v>104.65</v>
      </c>
      <c r="T81" s="606">
        <f>[2]УКС!T67</f>
        <v>1205.71</v>
      </c>
      <c r="U81" s="606">
        <f>[2]УКС!U67</f>
        <v>1099.72</v>
      </c>
      <c r="V81" s="606">
        <f>[2]УКС!V67</f>
        <v>576.46</v>
      </c>
      <c r="W81" s="606">
        <f>[2]УКС!W67</f>
        <v>0</v>
      </c>
      <c r="X81" s="606">
        <f>[2]УКС!X67</f>
        <v>576.45000000000005</v>
      </c>
      <c r="Y81" s="606">
        <f>[2]УКС!Y67</f>
        <v>0</v>
      </c>
      <c r="Z81" s="606">
        <f>[2]УКС!Z67</f>
        <v>576.46</v>
      </c>
      <c r="AA81" s="606">
        <f>[2]УКС!AA67</f>
        <v>0</v>
      </c>
      <c r="AB81" s="606">
        <f>[2]УКС!AB67</f>
        <v>570.6</v>
      </c>
      <c r="AC81" s="606">
        <f>[2]УКС!AC67</f>
        <v>0</v>
      </c>
      <c r="AD81" s="606">
        <f>[2]УКС!AD67</f>
        <v>1740.2</v>
      </c>
      <c r="AE81" s="606">
        <f>[2]УКС!AE67</f>
        <v>0</v>
      </c>
      <c r="AF81" s="660"/>
    </row>
    <row r="82" spans="1:32" s="509" customFormat="1" ht="31.5" x14ac:dyDescent="0.25">
      <c r="A82" s="296" t="s">
        <v>174</v>
      </c>
      <c r="B82" s="382">
        <f>H82+J82+L82+N82+P82+R82+T82+V82+X82+Z82+AB82+AD82</f>
        <v>0</v>
      </c>
      <c r="C82" s="609">
        <f t="shared" si="33"/>
        <v>0</v>
      </c>
      <c r="D82" s="383">
        <f>E82</f>
        <v>0</v>
      </c>
      <c r="E82" s="383">
        <f>I82+K82+M82+O82+Q82+S82+U82+W82+Y82+AA82+AC82+AE82</f>
        <v>0</v>
      </c>
      <c r="F82" s="336">
        <f>IFERROR(E82/B82%,0)</f>
        <v>0</v>
      </c>
      <c r="G82" s="336">
        <f>IFERROR(E82/C82%,0)</f>
        <v>0</v>
      </c>
      <c r="H82" s="288">
        <v>0</v>
      </c>
      <c r="I82" s="288">
        <v>0</v>
      </c>
      <c r="J82" s="288">
        <v>0</v>
      </c>
      <c r="K82" s="288">
        <v>0</v>
      </c>
      <c r="L82" s="288">
        <v>0</v>
      </c>
      <c r="M82" s="288">
        <v>0</v>
      </c>
      <c r="N82" s="288">
        <v>0</v>
      </c>
      <c r="O82" s="288">
        <v>0</v>
      </c>
      <c r="P82" s="288">
        <v>0</v>
      </c>
      <c r="Q82" s="288">
        <v>0</v>
      </c>
      <c r="R82" s="288">
        <v>0</v>
      </c>
      <c r="S82" s="288">
        <v>0</v>
      </c>
      <c r="T82" s="288">
        <v>0</v>
      </c>
      <c r="U82" s="288">
        <v>0</v>
      </c>
      <c r="V82" s="288">
        <v>0</v>
      </c>
      <c r="W82" s="288">
        <v>0</v>
      </c>
      <c r="X82" s="288">
        <v>0</v>
      </c>
      <c r="Y82" s="288">
        <v>0</v>
      </c>
      <c r="Z82" s="288">
        <v>0</v>
      </c>
      <c r="AA82" s="288">
        <v>0</v>
      </c>
      <c r="AB82" s="288">
        <v>0</v>
      </c>
      <c r="AC82" s="288">
        <v>0</v>
      </c>
      <c r="AD82" s="288">
        <v>0</v>
      </c>
      <c r="AE82" s="288">
        <v>0</v>
      </c>
      <c r="AF82" s="660"/>
    </row>
    <row r="83" spans="1:32" s="509" customFormat="1" ht="15.75" x14ac:dyDescent="0.25">
      <c r="A83" s="284" t="s">
        <v>221</v>
      </c>
      <c r="B83" s="382">
        <f>H83+J83+L83+N83+P83+R83+T83+V83+X83+Z83+AB83+AD83</f>
        <v>0</v>
      </c>
      <c r="C83" s="609">
        <f t="shared" si="33"/>
        <v>0</v>
      </c>
      <c r="D83" s="383">
        <f>E83</f>
        <v>0</v>
      </c>
      <c r="E83" s="383">
        <f>I83+K83+M83+O83+Q83+S83+U83+W83+Y83+AA83+AC83+AE83</f>
        <v>0</v>
      </c>
      <c r="F83" s="336">
        <f>IFERROR(E83/B83%,0)</f>
        <v>0</v>
      </c>
      <c r="G83" s="336">
        <f>IFERROR(E83/C83%,0)</f>
        <v>0</v>
      </c>
      <c r="H83" s="288">
        <v>0</v>
      </c>
      <c r="I83" s="288">
        <v>0</v>
      </c>
      <c r="J83" s="288">
        <v>0</v>
      </c>
      <c r="K83" s="288">
        <v>0</v>
      </c>
      <c r="L83" s="288">
        <v>0</v>
      </c>
      <c r="M83" s="288">
        <v>0</v>
      </c>
      <c r="N83" s="288">
        <v>0</v>
      </c>
      <c r="O83" s="288">
        <v>0</v>
      </c>
      <c r="P83" s="288">
        <v>0</v>
      </c>
      <c r="Q83" s="288">
        <v>0</v>
      </c>
      <c r="R83" s="288">
        <v>0</v>
      </c>
      <c r="S83" s="288">
        <v>0</v>
      </c>
      <c r="T83" s="288">
        <v>0</v>
      </c>
      <c r="U83" s="288">
        <v>0</v>
      </c>
      <c r="V83" s="288">
        <v>0</v>
      </c>
      <c r="W83" s="288">
        <v>0</v>
      </c>
      <c r="X83" s="288">
        <v>0</v>
      </c>
      <c r="Y83" s="288">
        <v>0</v>
      </c>
      <c r="Z83" s="288">
        <v>0</v>
      </c>
      <c r="AA83" s="288">
        <v>0</v>
      </c>
      <c r="AB83" s="288">
        <v>0</v>
      </c>
      <c r="AC83" s="288">
        <v>0</v>
      </c>
      <c r="AD83" s="288">
        <v>0</v>
      </c>
      <c r="AE83" s="288">
        <v>0</v>
      </c>
      <c r="AF83" s="822"/>
    </row>
    <row r="84" spans="1:32" s="509" customFormat="1" ht="15.75" x14ac:dyDescent="0.25">
      <c r="A84" s="826" t="s">
        <v>441</v>
      </c>
      <c r="B84" s="657"/>
      <c r="C84" s="657"/>
      <c r="D84" s="657"/>
      <c r="E84" s="657"/>
      <c r="F84" s="657"/>
      <c r="G84" s="657"/>
      <c r="H84" s="657"/>
      <c r="I84" s="657"/>
      <c r="J84" s="657"/>
      <c r="K84" s="657"/>
      <c r="L84" s="657"/>
      <c r="M84" s="657"/>
      <c r="N84" s="657"/>
      <c r="O84" s="657"/>
      <c r="P84" s="657"/>
      <c r="Q84" s="657"/>
      <c r="R84" s="657"/>
      <c r="S84" s="657"/>
      <c r="T84" s="657"/>
      <c r="U84" s="657"/>
      <c r="V84" s="657"/>
      <c r="W84" s="657"/>
      <c r="X84" s="657"/>
      <c r="Y84" s="657"/>
      <c r="Z84" s="657"/>
      <c r="AA84" s="657"/>
      <c r="AB84" s="657"/>
      <c r="AC84" s="657"/>
      <c r="AD84" s="657"/>
      <c r="AE84" s="658"/>
      <c r="AF84" s="660"/>
    </row>
    <row r="85" spans="1:32" s="509" customFormat="1" ht="78.75" customHeight="1" x14ac:dyDescent="0.25">
      <c r="A85" s="284" t="s">
        <v>31</v>
      </c>
      <c r="B85" s="285">
        <f>B87+B88+B86+B90</f>
        <v>4528.87</v>
      </c>
      <c r="C85" s="285">
        <f>C87+C88+C86+C90</f>
        <v>4528.87</v>
      </c>
      <c r="D85" s="285">
        <f>D87+D88+D86+D90</f>
        <v>4520.87</v>
      </c>
      <c r="E85" s="610">
        <f>E87+E88+E86+E90</f>
        <v>4520.87</v>
      </c>
      <c r="F85" s="285">
        <f>IFERROR(E85/B85%,0)</f>
        <v>99.823355494858546</v>
      </c>
      <c r="G85" s="285">
        <f>IFERROR(E85/C85%,0)</f>
        <v>99.823355494858546</v>
      </c>
      <c r="H85" s="285">
        <f t="shared" ref="H85:AE85" si="34">H87+H88+H86+H90</f>
        <v>0</v>
      </c>
      <c r="I85" s="285">
        <f t="shared" si="34"/>
        <v>0</v>
      </c>
      <c r="J85" s="285">
        <f t="shared" si="34"/>
        <v>3592.47</v>
      </c>
      <c r="K85" s="285">
        <f t="shared" si="34"/>
        <v>3460.92</v>
      </c>
      <c r="L85" s="285">
        <f t="shared" si="34"/>
        <v>0</v>
      </c>
      <c r="M85" s="285">
        <f t="shared" si="34"/>
        <v>0</v>
      </c>
      <c r="N85" s="285">
        <f t="shared" si="34"/>
        <v>330.3</v>
      </c>
      <c r="O85" s="285">
        <f t="shared" si="34"/>
        <v>461.81</v>
      </c>
      <c r="P85" s="285">
        <f t="shared" si="34"/>
        <v>0</v>
      </c>
      <c r="Q85" s="285">
        <f t="shared" si="34"/>
        <v>0</v>
      </c>
      <c r="R85" s="285">
        <f t="shared" si="34"/>
        <v>0</v>
      </c>
      <c r="S85" s="285">
        <f t="shared" si="34"/>
        <v>0</v>
      </c>
      <c r="T85" s="285">
        <f t="shared" si="34"/>
        <v>606.1</v>
      </c>
      <c r="U85" s="285">
        <f t="shared" si="34"/>
        <v>598.14</v>
      </c>
      <c r="V85" s="285">
        <f t="shared" si="34"/>
        <v>0</v>
      </c>
      <c r="W85" s="285">
        <f t="shared" si="34"/>
        <v>0</v>
      </c>
      <c r="X85" s="285">
        <f t="shared" si="34"/>
        <v>0</v>
      </c>
      <c r="Y85" s="285">
        <f t="shared" si="34"/>
        <v>0</v>
      </c>
      <c r="Z85" s="285">
        <f t="shared" si="34"/>
        <v>0</v>
      </c>
      <c r="AA85" s="285">
        <f t="shared" si="34"/>
        <v>0</v>
      </c>
      <c r="AB85" s="285">
        <f t="shared" si="34"/>
        <v>0</v>
      </c>
      <c r="AC85" s="285">
        <f t="shared" si="34"/>
        <v>0</v>
      </c>
      <c r="AD85" s="285">
        <f t="shared" si="34"/>
        <v>0</v>
      </c>
      <c r="AE85" s="285">
        <f t="shared" si="34"/>
        <v>0</v>
      </c>
      <c r="AF85" s="659" t="s">
        <v>627</v>
      </c>
    </row>
    <row r="86" spans="1:32" s="509" customFormat="1" ht="15.75" x14ac:dyDescent="0.25">
      <c r="A86" s="381" t="s">
        <v>169</v>
      </c>
      <c r="B86" s="382">
        <f>H86+J86+L86+N86+P86+R86+T86+V86+X86+Z86+AB86+AD86</f>
        <v>0</v>
      </c>
      <c r="C86" s="609">
        <f>T86+R86+H86+J86+L86+N86+P86</f>
        <v>0</v>
      </c>
      <c r="D86" s="382">
        <f>E86</f>
        <v>0</v>
      </c>
      <c r="E86" s="382">
        <f>I86+K86+M86+O86+Q86+S86+U86+W86+Y86+AA86+AC86+AE86</f>
        <v>0</v>
      </c>
      <c r="F86" s="336">
        <f>IFERROR(E86/B86%,0)</f>
        <v>0</v>
      </c>
      <c r="G86" s="336">
        <f>IFERROR(E86/C86%,0)</f>
        <v>0</v>
      </c>
      <c r="H86" s="288">
        <v>0</v>
      </c>
      <c r="I86" s="288">
        <v>0</v>
      </c>
      <c r="J86" s="288">
        <v>0</v>
      </c>
      <c r="K86" s="288">
        <v>0</v>
      </c>
      <c r="L86" s="288">
        <v>0</v>
      </c>
      <c r="M86" s="288">
        <v>0</v>
      </c>
      <c r="N86" s="288">
        <v>0</v>
      </c>
      <c r="O86" s="288">
        <v>0</v>
      </c>
      <c r="P86" s="288">
        <v>0</v>
      </c>
      <c r="Q86" s="288">
        <v>0</v>
      </c>
      <c r="R86" s="288">
        <v>0</v>
      </c>
      <c r="S86" s="288">
        <v>0</v>
      </c>
      <c r="T86" s="288">
        <v>0</v>
      </c>
      <c r="U86" s="288">
        <v>0</v>
      </c>
      <c r="V86" s="288">
        <v>0</v>
      </c>
      <c r="W86" s="288">
        <v>0</v>
      </c>
      <c r="X86" s="288">
        <v>0</v>
      </c>
      <c r="Y86" s="288">
        <v>0</v>
      </c>
      <c r="Z86" s="288">
        <v>0</v>
      </c>
      <c r="AA86" s="288">
        <v>0</v>
      </c>
      <c r="AB86" s="288">
        <v>0</v>
      </c>
      <c r="AC86" s="288">
        <v>0</v>
      </c>
      <c r="AD86" s="288">
        <v>0</v>
      </c>
      <c r="AE86" s="288">
        <v>0</v>
      </c>
      <c r="AF86" s="660"/>
    </row>
    <row r="87" spans="1:32" s="509" customFormat="1" ht="15.75" x14ac:dyDescent="0.25">
      <c r="A87" s="284" t="s">
        <v>32</v>
      </c>
      <c r="B87" s="382">
        <f>H87+J87+L87+N87+P87+R87+T87+V87+X87+Z87+AB87+AD87</f>
        <v>0</v>
      </c>
      <c r="C87" s="609">
        <f t="shared" ref="C87:C90" si="35">T87+R87+H87+J87+L87+N87+P87</f>
        <v>0</v>
      </c>
      <c r="D87" s="382">
        <f>E87</f>
        <v>0</v>
      </c>
      <c r="E87" s="382">
        <f>I87+K87+M87+O87+Q87+S87+U87+W87+Y87+AA87+AC87+AE87</f>
        <v>0</v>
      </c>
      <c r="F87" s="336">
        <f>IFERROR(E87/B87%,0)</f>
        <v>0</v>
      </c>
      <c r="G87" s="336">
        <f>IFERROR(E87/C87%,0)</f>
        <v>0</v>
      </c>
      <c r="H87" s="288">
        <v>0</v>
      </c>
      <c r="I87" s="288">
        <v>0</v>
      </c>
      <c r="J87" s="288">
        <v>0</v>
      </c>
      <c r="K87" s="288">
        <v>0</v>
      </c>
      <c r="L87" s="288">
        <v>0</v>
      </c>
      <c r="M87" s="288">
        <v>0</v>
      </c>
      <c r="N87" s="288">
        <v>0</v>
      </c>
      <c r="O87" s="288">
        <v>0</v>
      </c>
      <c r="P87" s="288">
        <v>0</v>
      </c>
      <c r="Q87" s="288">
        <v>0</v>
      </c>
      <c r="R87" s="288">
        <v>0</v>
      </c>
      <c r="S87" s="288">
        <v>0</v>
      </c>
      <c r="T87" s="288">
        <v>0</v>
      </c>
      <c r="U87" s="288">
        <v>0</v>
      </c>
      <c r="V87" s="288">
        <v>0</v>
      </c>
      <c r="W87" s="288">
        <v>0</v>
      </c>
      <c r="X87" s="288">
        <v>0</v>
      </c>
      <c r="Y87" s="288">
        <v>0</v>
      </c>
      <c r="Z87" s="288">
        <v>0</v>
      </c>
      <c r="AA87" s="288">
        <v>0</v>
      </c>
      <c r="AB87" s="288">
        <v>0</v>
      </c>
      <c r="AC87" s="288">
        <v>0</v>
      </c>
      <c r="AD87" s="288">
        <v>0</v>
      </c>
      <c r="AE87" s="288">
        <v>0</v>
      </c>
      <c r="AF87" s="660"/>
    </row>
    <row r="88" spans="1:32" s="506" customFormat="1" ht="15.75" x14ac:dyDescent="0.25">
      <c r="A88" s="507" t="s">
        <v>33</v>
      </c>
      <c r="B88" s="605">
        <f>H88+J88+L88+N88+P88+R88+T88+V88+X88+Z88+AB88+AD88</f>
        <v>4528.87</v>
      </c>
      <c r="C88" s="609">
        <f t="shared" si="35"/>
        <v>4528.87</v>
      </c>
      <c r="D88" s="603">
        <f>E88</f>
        <v>4520.87</v>
      </c>
      <c r="E88" s="603">
        <f>I88+K88+M88+O88+Q88+S88+U88+W88+Y88+AA88+AC88+AE88</f>
        <v>4520.87</v>
      </c>
      <c r="F88" s="998">
        <f>E88/B88*100</f>
        <v>99.823355494858546</v>
      </c>
      <c r="G88" s="998">
        <f>E88/C88*100</f>
        <v>99.823355494858546</v>
      </c>
      <c r="H88" s="288">
        <v>0</v>
      </c>
      <c r="I88" s="288">
        <v>0</v>
      </c>
      <c r="J88" s="606">
        <v>3592.47</v>
      </c>
      <c r="K88" s="603">
        <v>3460.92</v>
      </c>
      <c r="L88" s="603">
        <f>[2]УКС!L73</f>
        <v>0</v>
      </c>
      <c r="M88" s="603">
        <f>[2]УКС!M73</f>
        <v>0</v>
      </c>
      <c r="N88" s="603">
        <f>[2]УКС!N73</f>
        <v>330.3</v>
      </c>
      <c r="O88" s="603">
        <f>[2]УКС!O73</f>
        <v>461.81</v>
      </c>
      <c r="P88" s="603">
        <f>[2]УКС!P73</f>
        <v>0</v>
      </c>
      <c r="Q88" s="603">
        <f>[2]УКС!Q73</f>
        <v>0</v>
      </c>
      <c r="R88" s="603">
        <f>[2]УКС!R73</f>
        <v>0</v>
      </c>
      <c r="S88" s="603">
        <f>[2]УКС!S73</f>
        <v>0</v>
      </c>
      <c r="T88" s="603">
        <f>[2]УКС!T73</f>
        <v>606.1</v>
      </c>
      <c r="U88" s="603">
        <f>[2]УКС!U73</f>
        <v>598.14</v>
      </c>
      <c r="V88" s="603">
        <f>[2]УКС!V73</f>
        <v>0</v>
      </c>
      <c r="W88" s="603">
        <f>[2]УКС!W73</f>
        <v>0</v>
      </c>
      <c r="X88" s="603">
        <f>[2]УКС!X73</f>
        <v>0</v>
      </c>
      <c r="Y88" s="603">
        <f>[2]УКС!Y73</f>
        <v>0</v>
      </c>
      <c r="Z88" s="603">
        <f>[2]УКС!Z73</f>
        <v>0</v>
      </c>
      <c r="AA88" s="603">
        <f>[2]УКС!AA73</f>
        <v>0</v>
      </c>
      <c r="AB88" s="603">
        <f>[2]УКС!AB73</f>
        <v>0</v>
      </c>
      <c r="AC88" s="603">
        <f>[2]УКС!AC73</f>
        <v>0</v>
      </c>
      <c r="AD88" s="603">
        <f>[2]УКС!AD73</f>
        <v>0</v>
      </c>
      <c r="AE88" s="603">
        <f>[2]УКС!AE73</f>
        <v>0</v>
      </c>
      <c r="AF88" s="660"/>
    </row>
    <row r="89" spans="1:32" s="509" customFormat="1" ht="31.5" x14ac:dyDescent="0.25">
      <c r="A89" s="296" t="s">
        <v>174</v>
      </c>
      <c r="B89" s="382">
        <f>H89+J89+L89+N89+P89+R89+T89+V89+X89+Z89+AB89+AD89</f>
        <v>0</v>
      </c>
      <c r="C89" s="609">
        <f t="shared" si="35"/>
        <v>0</v>
      </c>
      <c r="D89" s="382">
        <f>E89</f>
        <v>0</v>
      </c>
      <c r="E89" s="382">
        <f>I89+K89+M89+O89+Q89+S89+U89+W89+Y89+AA89+AC89+AE89</f>
        <v>0</v>
      </c>
      <c r="F89" s="336">
        <f>IFERROR(E89/B89%,0)</f>
        <v>0</v>
      </c>
      <c r="G89" s="336">
        <f>IFERROR(E89/C89%,0)</f>
        <v>0</v>
      </c>
      <c r="H89" s="288">
        <v>0</v>
      </c>
      <c r="I89" s="288">
        <v>0</v>
      </c>
      <c r="J89" s="288">
        <v>0</v>
      </c>
      <c r="K89" s="288">
        <v>0</v>
      </c>
      <c r="L89" s="288">
        <v>0</v>
      </c>
      <c r="M89" s="288">
        <v>0</v>
      </c>
      <c r="N89" s="288">
        <v>0</v>
      </c>
      <c r="O89" s="288">
        <v>0</v>
      </c>
      <c r="P89" s="288">
        <v>0</v>
      </c>
      <c r="Q89" s="288">
        <v>0</v>
      </c>
      <c r="R89" s="288">
        <v>0</v>
      </c>
      <c r="S89" s="288">
        <v>0</v>
      </c>
      <c r="T89" s="288">
        <v>0</v>
      </c>
      <c r="U89" s="288">
        <v>0</v>
      </c>
      <c r="V89" s="288">
        <v>0</v>
      </c>
      <c r="W89" s="288">
        <v>0</v>
      </c>
      <c r="X89" s="288">
        <v>0</v>
      </c>
      <c r="Y89" s="288">
        <v>0</v>
      </c>
      <c r="Z89" s="288">
        <v>0</v>
      </c>
      <c r="AA89" s="288">
        <v>0</v>
      </c>
      <c r="AB89" s="288">
        <v>0</v>
      </c>
      <c r="AC89" s="288">
        <v>0</v>
      </c>
      <c r="AD89" s="288">
        <v>0</v>
      </c>
      <c r="AE89" s="288">
        <v>0</v>
      </c>
      <c r="AF89" s="660"/>
    </row>
    <row r="90" spans="1:32" s="509" customFormat="1" ht="15.75" x14ac:dyDescent="0.25">
      <c r="A90" s="284" t="s">
        <v>221</v>
      </c>
      <c r="B90" s="382">
        <f>H90+J90+L90+N90+P90+R90+T90+V90+X90+Z90+AB90+AD90</f>
        <v>0</v>
      </c>
      <c r="C90" s="609">
        <f t="shared" si="35"/>
        <v>0</v>
      </c>
      <c r="D90" s="382">
        <f>E90</f>
        <v>0</v>
      </c>
      <c r="E90" s="382">
        <f>I90+K90+M90+O90+Q90+S90+U90+W90+Y90+AA90+AC90+AE90</f>
        <v>0</v>
      </c>
      <c r="F90" s="336">
        <f>IFERROR(E90/B90%,0)</f>
        <v>0</v>
      </c>
      <c r="G90" s="336">
        <f>IFERROR(E90/C90%,0)</f>
        <v>0</v>
      </c>
      <c r="H90" s="288">
        <v>0</v>
      </c>
      <c r="I90" s="288">
        <v>0</v>
      </c>
      <c r="J90" s="288">
        <v>0</v>
      </c>
      <c r="K90" s="288">
        <v>0</v>
      </c>
      <c r="L90" s="288">
        <v>0</v>
      </c>
      <c r="M90" s="288">
        <v>0</v>
      </c>
      <c r="N90" s="288">
        <v>0</v>
      </c>
      <c r="O90" s="288">
        <v>0</v>
      </c>
      <c r="P90" s="288">
        <v>0</v>
      </c>
      <c r="Q90" s="288">
        <v>0</v>
      </c>
      <c r="R90" s="288">
        <v>0</v>
      </c>
      <c r="S90" s="288">
        <v>0</v>
      </c>
      <c r="T90" s="288">
        <v>0</v>
      </c>
      <c r="U90" s="288">
        <v>0</v>
      </c>
      <c r="V90" s="288">
        <v>0</v>
      </c>
      <c r="W90" s="288">
        <v>0</v>
      </c>
      <c r="X90" s="288">
        <v>0</v>
      </c>
      <c r="Y90" s="288">
        <v>0</v>
      </c>
      <c r="Z90" s="288">
        <v>0</v>
      </c>
      <c r="AA90" s="288">
        <v>0</v>
      </c>
      <c r="AB90" s="288">
        <v>0</v>
      </c>
      <c r="AC90" s="288">
        <v>0</v>
      </c>
      <c r="AD90" s="288">
        <v>0</v>
      </c>
      <c r="AE90" s="288">
        <v>0</v>
      </c>
      <c r="AF90" s="822"/>
    </row>
    <row r="91" spans="1:32" s="509" customFormat="1" ht="15.75" x14ac:dyDescent="0.25">
      <c r="A91" s="826" t="s">
        <v>442</v>
      </c>
      <c r="B91" s="657"/>
      <c r="C91" s="657"/>
      <c r="D91" s="657"/>
      <c r="E91" s="657"/>
      <c r="F91" s="657"/>
      <c r="G91" s="657"/>
      <c r="H91" s="657"/>
      <c r="I91" s="657"/>
      <c r="J91" s="657"/>
      <c r="K91" s="657"/>
      <c r="L91" s="657"/>
      <c r="M91" s="657"/>
      <c r="N91" s="657"/>
      <c r="O91" s="657"/>
      <c r="P91" s="657"/>
      <c r="Q91" s="657"/>
      <c r="R91" s="657"/>
      <c r="S91" s="657"/>
      <c r="T91" s="657"/>
      <c r="U91" s="657"/>
      <c r="V91" s="657"/>
      <c r="W91" s="657"/>
      <c r="X91" s="657"/>
      <c r="Y91" s="657"/>
      <c r="Z91" s="657"/>
      <c r="AA91" s="657"/>
      <c r="AB91" s="657"/>
      <c r="AC91" s="657"/>
      <c r="AD91" s="657"/>
      <c r="AE91" s="658"/>
      <c r="AF91" s="385"/>
    </row>
    <row r="92" spans="1:32" s="509" customFormat="1" ht="43.5" customHeight="1" x14ac:dyDescent="0.25">
      <c r="A92" s="386" t="s">
        <v>443</v>
      </c>
      <c r="B92" s="382">
        <f>B93+B94+B95+B96+B97</f>
        <v>3884</v>
      </c>
      <c r="C92" s="382">
        <f>C93+C94+C95+C96+C97</f>
        <v>0</v>
      </c>
      <c r="D92" s="382">
        <f>D93+D94+D95+D96+D97</f>
        <v>0</v>
      </c>
      <c r="E92" s="382">
        <f>E93+E94+E95+E96+E97</f>
        <v>0</v>
      </c>
      <c r="F92" s="285">
        <f>IFERROR(E92/B92%,0)</f>
        <v>0</v>
      </c>
      <c r="G92" s="285">
        <f>IFERROR(E92/C92%,0)</f>
        <v>0</v>
      </c>
      <c r="H92" s="387">
        <f>H95</f>
        <v>0</v>
      </c>
      <c r="I92" s="387">
        <f>I95</f>
        <v>0</v>
      </c>
      <c r="J92" s="387">
        <f t="shared" ref="J92:AE92" si="36">J95</f>
        <v>0</v>
      </c>
      <c r="K92" s="387">
        <f t="shared" si="36"/>
        <v>0</v>
      </c>
      <c r="L92" s="387">
        <f t="shared" si="36"/>
        <v>0</v>
      </c>
      <c r="M92" s="387">
        <f t="shared" si="36"/>
        <v>0</v>
      </c>
      <c r="N92" s="387">
        <f>N95</f>
        <v>0</v>
      </c>
      <c r="O92" s="387">
        <f t="shared" si="36"/>
        <v>0</v>
      </c>
      <c r="P92" s="387">
        <f t="shared" si="36"/>
        <v>0</v>
      </c>
      <c r="Q92" s="387">
        <f t="shared" si="36"/>
        <v>0</v>
      </c>
      <c r="R92" s="387">
        <f t="shared" si="36"/>
        <v>0</v>
      </c>
      <c r="S92" s="387">
        <f t="shared" si="36"/>
        <v>0</v>
      </c>
      <c r="T92" s="387">
        <f t="shared" si="36"/>
        <v>0</v>
      </c>
      <c r="U92" s="387">
        <f t="shared" si="36"/>
        <v>0</v>
      </c>
      <c r="V92" s="387">
        <f t="shared" si="36"/>
        <v>0</v>
      </c>
      <c r="W92" s="387">
        <f t="shared" si="36"/>
        <v>0</v>
      </c>
      <c r="X92" s="387">
        <f t="shared" si="36"/>
        <v>0</v>
      </c>
      <c r="Y92" s="387">
        <f t="shared" si="36"/>
        <v>0</v>
      </c>
      <c r="Z92" s="387">
        <f t="shared" si="36"/>
        <v>3884</v>
      </c>
      <c r="AA92" s="387">
        <f t="shared" si="36"/>
        <v>0</v>
      </c>
      <c r="AB92" s="387">
        <f t="shared" si="36"/>
        <v>0</v>
      </c>
      <c r="AC92" s="387">
        <f t="shared" si="36"/>
        <v>0</v>
      </c>
      <c r="AD92" s="387">
        <f t="shared" si="36"/>
        <v>0</v>
      </c>
      <c r="AE92" s="387">
        <f t="shared" si="36"/>
        <v>0</v>
      </c>
      <c r="AF92" s="666" t="s">
        <v>628</v>
      </c>
    </row>
    <row r="93" spans="1:32" s="509" customFormat="1" ht="15.75" x14ac:dyDescent="0.25">
      <c r="A93" s="381" t="s">
        <v>169</v>
      </c>
      <c r="B93" s="382">
        <f>H93+J93+L93+N93+P93+R93+T93+V93+X93+Z93+AB93+AD93</f>
        <v>0</v>
      </c>
      <c r="C93" s="609">
        <f>T93+R93+H93+J93+L93+N93+P93</f>
        <v>0</v>
      </c>
      <c r="D93" s="383">
        <f>E93</f>
        <v>0</v>
      </c>
      <c r="E93" s="383">
        <f>I93+K93+M93+O93+Q93+S93+U93+W93+Y93+AA93+AC93+AE93</f>
        <v>0</v>
      </c>
      <c r="F93" s="336">
        <f>IFERROR(E93/B93%,0)</f>
        <v>0</v>
      </c>
      <c r="G93" s="336">
        <f>IFERROR(E93/C93%,0)</f>
        <v>0</v>
      </c>
      <c r="H93" s="288">
        <v>0</v>
      </c>
      <c r="I93" s="288">
        <v>0</v>
      </c>
      <c r="J93" s="288">
        <v>0</v>
      </c>
      <c r="K93" s="288">
        <v>0</v>
      </c>
      <c r="L93" s="288">
        <v>0</v>
      </c>
      <c r="M93" s="288">
        <v>0</v>
      </c>
      <c r="N93" s="288">
        <v>0</v>
      </c>
      <c r="O93" s="288">
        <v>0</v>
      </c>
      <c r="P93" s="288">
        <v>0</v>
      </c>
      <c r="Q93" s="288">
        <v>0</v>
      </c>
      <c r="R93" s="288">
        <v>0</v>
      </c>
      <c r="S93" s="288">
        <v>0</v>
      </c>
      <c r="T93" s="288">
        <v>0</v>
      </c>
      <c r="U93" s="288">
        <v>0</v>
      </c>
      <c r="V93" s="288">
        <v>0</v>
      </c>
      <c r="W93" s="288">
        <v>0</v>
      </c>
      <c r="X93" s="288">
        <v>0</v>
      </c>
      <c r="Y93" s="288">
        <v>0</v>
      </c>
      <c r="Z93" s="288">
        <v>0</v>
      </c>
      <c r="AA93" s="288">
        <v>0</v>
      </c>
      <c r="AB93" s="288">
        <v>0</v>
      </c>
      <c r="AC93" s="288">
        <v>0</v>
      </c>
      <c r="AD93" s="288">
        <v>0</v>
      </c>
      <c r="AE93" s="288">
        <v>0</v>
      </c>
      <c r="AF93" s="661"/>
    </row>
    <row r="94" spans="1:32" s="509" customFormat="1" ht="15.75" x14ac:dyDescent="0.25">
      <c r="A94" s="284" t="s">
        <v>32</v>
      </c>
      <c r="B94" s="382">
        <f>H94+J94+L94+N94+P94+R94+T94+V94+X94+Z94+AB94+AD94</f>
        <v>0</v>
      </c>
      <c r="C94" s="609">
        <f t="shared" ref="C94:C97" si="37">T94+R94+H94+J94+L94+N94+P94</f>
        <v>0</v>
      </c>
      <c r="D94" s="383">
        <f>E94</f>
        <v>0</v>
      </c>
      <c r="E94" s="383">
        <f>I94+K94+M94+O94+Q94+S94+U94+W94+Y94+AA94+AC94+AE94</f>
        <v>0</v>
      </c>
      <c r="F94" s="336">
        <f>IFERROR(E94/B94%,0)</f>
        <v>0</v>
      </c>
      <c r="G94" s="336">
        <f>IFERROR(E94/C94%,0)</f>
        <v>0</v>
      </c>
      <c r="H94" s="288">
        <v>0</v>
      </c>
      <c r="I94" s="288">
        <v>0</v>
      </c>
      <c r="J94" s="288">
        <v>0</v>
      </c>
      <c r="K94" s="288">
        <v>0</v>
      </c>
      <c r="L94" s="288">
        <v>0</v>
      </c>
      <c r="M94" s="288">
        <v>0</v>
      </c>
      <c r="N94" s="288">
        <v>0</v>
      </c>
      <c r="O94" s="288">
        <v>0</v>
      </c>
      <c r="P94" s="288">
        <v>0</v>
      </c>
      <c r="Q94" s="288">
        <v>0</v>
      </c>
      <c r="R94" s="288">
        <v>0</v>
      </c>
      <c r="S94" s="288">
        <v>0</v>
      </c>
      <c r="T94" s="288">
        <v>0</v>
      </c>
      <c r="U94" s="288">
        <v>0</v>
      </c>
      <c r="V94" s="288">
        <v>0</v>
      </c>
      <c r="W94" s="288">
        <v>0</v>
      </c>
      <c r="X94" s="288">
        <v>0</v>
      </c>
      <c r="Y94" s="288">
        <v>0</v>
      </c>
      <c r="Z94" s="288">
        <v>0</v>
      </c>
      <c r="AA94" s="288">
        <v>0</v>
      </c>
      <c r="AB94" s="288">
        <v>0</v>
      </c>
      <c r="AC94" s="288">
        <v>0</v>
      </c>
      <c r="AD94" s="288">
        <v>0</v>
      </c>
      <c r="AE94" s="288">
        <v>0</v>
      </c>
      <c r="AF94" s="661"/>
    </row>
    <row r="95" spans="1:32" s="506" customFormat="1" ht="15.75" x14ac:dyDescent="0.25">
      <c r="A95" s="507" t="s">
        <v>33</v>
      </c>
      <c r="B95" s="605">
        <f>H95+J95+L95+N95+P95+R95+T95+V95+X95+Z95+AB95+AD95</f>
        <v>3884</v>
      </c>
      <c r="C95" s="609">
        <f t="shared" si="37"/>
        <v>0</v>
      </c>
      <c r="D95" s="604">
        <f>E95</f>
        <v>0</v>
      </c>
      <c r="E95" s="604">
        <f>I95+K95+M95+O95+Q95+S95+U95+W95+Y95+AA95+AC95+AE95</f>
        <v>0</v>
      </c>
      <c r="F95" s="607">
        <f>E95/B95*100</f>
        <v>0</v>
      </c>
      <c r="G95" s="999" t="e">
        <f>E95/C95*100</f>
        <v>#DIV/0!</v>
      </c>
      <c r="H95" s="603"/>
      <c r="I95" s="603"/>
      <c r="J95" s="603"/>
      <c r="K95" s="603"/>
      <c r="L95" s="603">
        <f>[2]УКС!L79</f>
        <v>0</v>
      </c>
      <c r="M95" s="603">
        <f>[2]УКС!M79</f>
        <v>0</v>
      </c>
      <c r="N95" s="603">
        <f>[2]УКС!N79</f>
        <v>0</v>
      </c>
      <c r="O95" s="603">
        <f>[2]УКС!O79</f>
        <v>0</v>
      </c>
      <c r="P95" s="603">
        <f>[2]УКС!P79</f>
        <v>0</v>
      </c>
      <c r="Q95" s="603">
        <f>[2]УКС!Q79</f>
        <v>0</v>
      </c>
      <c r="R95" s="603">
        <f>[2]УКС!R79</f>
        <v>0</v>
      </c>
      <c r="S95" s="603">
        <f>[2]УКС!S79</f>
        <v>0</v>
      </c>
      <c r="T95" s="603">
        <f>[2]УКС!T79</f>
        <v>0</v>
      </c>
      <c r="U95" s="603">
        <f>[2]УКС!U79</f>
        <v>0</v>
      </c>
      <c r="V95" s="603">
        <f>[2]УКС!V79</f>
        <v>0</v>
      </c>
      <c r="W95" s="603">
        <f>[2]УКС!W79</f>
        <v>0</v>
      </c>
      <c r="X95" s="603">
        <f>[2]УКС!X79</f>
        <v>0</v>
      </c>
      <c r="Y95" s="603">
        <f>[2]УКС!Y79</f>
        <v>0</v>
      </c>
      <c r="Z95" s="603">
        <f>[2]УКС!Z79</f>
        <v>3884</v>
      </c>
      <c r="AA95" s="603">
        <f>[2]УКС!AA79</f>
        <v>0</v>
      </c>
      <c r="AB95" s="603">
        <f>[2]УКС!AB79</f>
        <v>0</v>
      </c>
      <c r="AC95" s="603">
        <f>[2]УКС!AC79</f>
        <v>0</v>
      </c>
      <c r="AD95" s="603">
        <f>[2]УКС!AD79</f>
        <v>0</v>
      </c>
      <c r="AE95" s="603">
        <f>[2]УКС!AE79</f>
        <v>0</v>
      </c>
      <c r="AF95" s="661"/>
    </row>
    <row r="96" spans="1:32" s="509" customFormat="1" ht="31.5" x14ac:dyDescent="0.25">
      <c r="A96" s="296" t="s">
        <v>174</v>
      </c>
      <c r="B96" s="382">
        <f>H96+J96+L96+N96+P96+R96+T96+V96+X96+Z96+AB96+AD96</f>
        <v>0</v>
      </c>
      <c r="C96" s="609">
        <f t="shared" si="37"/>
        <v>0</v>
      </c>
      <c r="D96" s="383">
        <f>E96</f>
        <v>0</v>
      </c>
      <c r="E96" s="383">
        <f>I96+K96+M96+O96+Q96+S96+U96+W96+Y96+AA96+AC96+AE96</f>
        <v>0</v>
      </c>
      <c r="F96" s="336">
        <f>IFERROR(E96/B96%,0)</f>
        <v>0</v>
      </c>
      <c r="G96" s="336">
        <f>IFERROR(E96/C96%,0)</f>
        <v>0</v>
      </c>
      <c r="H96" s="288">
        <v>0</v>
      </c>
      <c r="I96" s="288">
        <v>0</v>
      </c>
      <c r="J96" s="288">
        <v>0</v>
      </c>
      <c r="K96" s="288">
        <v>0</v>
      </c>
      <c r="L96" s="288">
        <v>0</v>
      </c>
      <c r="M96" s="288">
        <v>0</v>
      </c>
      <c r="N96" s="288">
        <v>0</v>
      </c>
      <c r="O96" s="288">
        <v>0</v>
      </c>
      <c r="P96" s="288">
        <v>0</v>
      </c>
      <c r="Q96" s="288">
        <v>0</v>
      </c>
      <c r="R96" s="288">
        <v>0</v>
      </c>
      <c r="S96" s="288">
        <v>0</v>
      </c>
      <c r="T96" s="288">
        <v>0</v>
      </c>
      <c r="U96" s="288">
        <v>0</v>
      </c>
      <c r="V96" s="288">
        <v>0</v>
      </c>
      <c r="W96" s="288">
        <v>0</v>
      </c>
      <c r="X96" s="288">
        <v>0</v>
      </c>
      <c r="Y96" s="288">
        <v>0</v>
      </c>
      <c r="Z96" s="288">
        <v>0</v>
      </c>
      <c r="AA96" s="288">
        <v>0</v>
      </c>
      <c r="AB96" s="288">
        <v>0</v>
      </c>
      <c r="AC96" s="288">
        <v>0</v>
      </c>
      <c r="AD96" s="288">
        <v>0</v>
      </c>
      <c r="AE96" s="288">
        <v>0</v>
      </c>
      <c r="AF96" s="661"/>
    </row>
    <row r="97" spans="1:32" s="509" customFormat="1" ht="15.75" x14ac:dyDescent="0.25">
      <c r="A97" s="284" t="s">
        <v>221</v>
      </c>
      <c r="B97" s="382">
        <f>H97+J97+L97+N97+P97+R97+T97+V97+X97+Z97+AB97+AD97</f>
        <v>0</v>
      </c>
      <c r="C97" s="609">
        <f t="shared" si="37"/>
        <v>0</v>
      </c>
      <c r="D97" s="383">
        <f>E97</f>
        <v>0</v>
      </c>
      <c r="E97" s="383">
        <f>I97+K97+M97+O97+Q97+S97+U97+W97+Y97+AA97+AC97+AE97</f>
        <v>0</v>
      </c>
      <c r="F97" s="336">
        <f>IFERROR(E97/B97%,0)</f>
        <v>0</v>
      </c>
      <c r="G97" s="336">
        <f>IFERROR(E97/C97%,0)</f>
        <v>0</v>
      </c>
      <c r="H97" s="288">
        <v>0</v>
      </c>
      <c r="I97" s="288">
        <v>0</v>
      </c>
      <c r="J97" s="288">
        <v>0</v>
      </c>
      <c r="K97" s="288">
        <v>0</v>
      </c>
      <c r="L97" s="288">
        <v>0</v>
      </c>
      <c r="M97" s="288">
        <v>0</v>
      </c>
      <c r="N97" s="288">
        <v>0</v>
      </c>
      <c r="O97" s="288">
        <v>0</v>
      </c>
      <c r="P97" s="288">
        <v>0</v>
      </c>
      <c r="Q97" s="288">
        <v>0</v>
      </c>
      <c r="R97" s="288">
        <v>0</v>
      </c>
      <c r="S97" s="288">
        <v>0</v>
      </c>
      <c r="T97" s="288">
        <v>0</v>
      </c>
      <c r="U97" s="288">
        <v>0</v>
      </c>
      <c r="V97" s="288">
        <v>0</v>
      </c>
      <c r="W97" s="288">
        <v>0</v>
      </c>
      <c r="X97" s="288">
        <v>0</v>
      </c>
      <c r="Y97" s="288">
        <v>0</v>
      </c>
      <c r="Z97" s="288">
        <v>0</v>
      </c>
      <c r="AA97" s="288">
        <v>0</v>
      </c>
      <c r="AB97" s="288">
        <v>0</v>
      </c>
      <c r="AC97" s="288">
        <v>0</v>
      </c>
      <c r="AD97" s="288">
        <v>0</v>
      </c>
      <c r="AE97" s="288">
        <v>0</v>
      </c>
      <c r="AF97" s="662"/>
    </row>
    <row r="98" spans="1:32" s="509" customFormat="1" ht="27" customHeight="1" x14ac:dyDescent="0.25">
      <c r="A98" s="826" t="s">
        <v>618</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1007" t="s">
        <v>629</v>
      </c>
    </row>
    <row r="99" spans="1:32" s="506" customFormat="1" ht="18.75" x14ac:dyDescent="0.25">
      <c r="A99" s="1000" t="s">
        <v>31</v>
      </c>
      <c r="B99" s="285">
        <f>B101+B102+B100+B104</f>
        <v>670</v>
      </c>
      <c r="C99" s="285">
        <f>C100+C101+C102+C104</f>
        <v>600</v>
      </c>
      <c r="D99" s="1001">
        <f t="shared" ref="D99:D104" si="38">E99</f>
        <v>0</v>
      </c>
      <c r="E99" s="1002">
        <f t="shared" ref="E99" si="39">I99+K99+M99+O99+Q99+S99+U99+W99+Y99+AA99+AC99+AE99</f>
        <v>0</v>
      </c>
      <c r="F99" s="1003">
        <f>E99/B99*100</f>
        <v>0</v>
      </c>
      <c r="G99" s="1003">
        <f>E99/C99*100</f>
        <v>0</v>
      </c>
      <c r="H99" s="1001">
        <f>SUM(H100:H104)</f>
        <v>0</v>
      </c>
      <c r="I99" s="1001"/>
      <c r="J99" s="1001">
        <f t="shared" ref="J99:AE99" si="40">J100+J101+J102+J104</f>
        <v>0</v>
      </c>
      <c r="K99" s="1001">
        <f t="shared" si="40"/>
        <v>0</v>
      </c>
      <c r="L99" s="1001">
        <f t="shared" si="40"/>
        <v>0</v>
      </c>
      <c r="M99" s="1001">
        <f t="shared" si="40"/>
        <v>0</v>
      </c>
      <c r="N99" s="1001">
        <f t="shared" si="40"/>
        <v>0</v>
      </c>
      <c r="O99" s="1001">
        <f t="shared" si="40"/>
        <v>0</v>
      </c>
      <c r="P99" s="1001">
        <f t="shared" si="40"/>
        <v>0</v>
      </c>
      <c r="Q99" s="1001">
        <f t="shared" si="40"/>
        <v>0</v>
      </c>
      <c r="R99" s="1001">
        <f t="shared" si="40"/>
        <v>0</v>
      </c>
      <c r="S99" s="1001">
        <f t="shared" si="40"/>
        <v>0</v>
      </c>
      <c r="T99" s="603">
        <f t="shared" si="40"/>
        <v>600</v>
      </c>
      <c r="U99" s="603">
        <f t="shared" si="40"/>
        <v>0</v>
      </c>
      <c r="V99" s="603">
        <f t="shared" si="40"/>
        <v>70</v>
      </c>
      <c r="W99" s="603">
        <f t="shared" si="40"/>
        <v>0</v>
      </c>
      <c r="X99" s="288">
        <f t="shared" si="40"/>
        <v>0</v>
      </c>
      <c r="Y99" s="1001">
        <f t="shared" si="40"/>
        <v>0</v>
      </c>
      <c r="Z99" s="1001">
        <f t="shared" si="40"/>
        <v>0</v>
      </c>
      <c r="AA99" s="1001">
        <f t="shared" si="40"/>
        <v>0</v>
      </c>
      <c r="AB99" s="1001">
        <f t="shared" si="40"/>
        <v>0</v>
      </c>
      <c r="AC99" s="1001">
        <f t="shared" si="40"/>
        <v>0</v>
      </c>
      <c r="AD99" s="1001">
        <f t="shared" si="40"/>
        <v>0</v>
      </c>
      <c r="AE99" s="1001">
        <f t="shared" si="40"/>
        <v>0</v>
      </c>
      <c r="AF99" s="655"/>
    </row>
    <row r="100" spans="1:32" s="506" customFormat="1" ht="18.75" x14ac:dyDescent="0.25">
      <c r="A100" s="1004" t="s">
        <v>169</v>
      </c>
      <c r="B100" s="609">
        <f t="shared" ref="B100:B104" si="41">H100+J100+L100+N100+P100+R100+T100+V100+X100+Z100+AB100+AD100</f>
        <v>0</v>
      </c>
      <c r="C100" s="609">
        <f>T100+R100+H100+J100+L100+N100+P100</f>
        <v>0</v>
      </c>
      <c r="D100" s="383">
        <f t="shared" si="38"/>
        <v>0</v>
      </c>
      <c r="E100" s="383">
        <f>I100+K100+M100+O100+Q100+S100+U100+W100+Y100+AA100+AC100+AE100</f>
        <v>0</v>
      </c>
      <c r="F100" s="336">
        <f>IFERROR(E100/B100%,0)</f>
        <v>0</v>
      </c>
      <c r="G100" s="336">
        <f>IFERROR(E100/C100%,0)</f>
        <v>0</v>
      </c>
      <c r="H100" s="1001">
        <f>[2]УКС!H83</f>
        <v>0</v>
      </c>
      <c r="I100" s="1001">
        <f>[2]УКС!I83</f>
        <v>0</v>
      </c>
      <c r="J100" s="1001">
        <f>[2]УКС!J83</f>
        <v>0</v>
      </c>
      <c r="K100" s="1001">
        <f>[2]УКС!K83</f>
        <v>0</v>
      </c>
      <c r="L100" s="1001">
        <f>[2]УКС!L83</f>
        <v>0</v>
      </c>
      <c r="M100" s="1001">
        <f>[2]УКС!M83</f>
        <v>0</v>
      </c>
      <c r="N100" s="1001">
        <f>[2]УКС!N83</f>
        <v>0</v>
      </c>
      <c r="O100" s="1001">
        <f>[2]УКС!O83</f>
        <v>0</v>
      </c>
      <c r="P100" s="1001">
        <f>[2]УКС!P83</f>
        <v>0</v>
      </c>
      <c r="Q100" s="1001">
        <f>[2]УКС!Q83</f>
        <v>0</v>
      </c>
      <c r="R100" s="1001">
        <f>[2]УКС!R83</f>
        <v>0</v>
      </c>
      <c r="S100" s="1001">
        <f>[2]УКС!S83</f>
        <v>0</v>
      </c>
      <c r="T100" s="603">
        <f>[2]УКС!T83</f>
        <v>0</v>
      </c>
      <c r="U100" s="603">
        <f>[2]УКС!U83</f>
        <v>0</v>
      </c>
      <c r="V100" s="603">
        <f>[2]УКС!V83</f>
        <v>0</v>
      </c>
      <c r="W100" s="603">
        <f>[2]УКС!W83</f>
        <v>0</v>
      </c>
      <c r="X100" s="1001">
        <f>[2]УКС!X83</f>
        <v>0</v>
      </c>
      <c r="Y100" s="1001">
        <f>[2]УКС!Y83</f>
        <v>0</v>
      </c>
      <c r="Z100" s="1001">
        <f>[2]УКС!Z83</f>
        <v>0</v>
      </c>
      <c r="AA100" s="1001">
        <f>[2]УКС!AA83</f>
        <v>0</v>
      </c>
      <c r="AB100" s="1001">
        <f>[2]УКС!AB83</f>
        <v>0</v>
      </c>
      <c r="AC100" s="1001">
        <f>[2]УКС!AC83</f>
        <v>0</v>
      </c>
      <c r="AD100" s="1001">
        <f>[2]УКС!AD83</f>
        <v>0</v>
      </c>
      <c r="AE100" s="1001">
        <f>[2]УКС!AE83</f>
        <v>0</v>
      </c>
      <c r="AF100" s="655"/>
    </row>
    <row r="101" spans="1:32" s="506" customFormat="1" ht="18.75" x14ac:dyDescent="0.25">
      <c r="A101" s="1004" t="s">
        <v>32</v>
      </c>
      <c r="B101" s="609">
        <f t="shared" si="41"/>
        <v>0</v>
      </c>
      <c r="C101" s="609">
        <f t="shared" ref="C101:C104" si="42">T101+R101+H101+J101+L101+N101+P101</f>
        <v>0</v>
      </c>
      <c r="D101" s="383">
        <f t="shared" si="38"/>
        <v>0</v>
      </c>
      <c r="E101" s="383">
        <f>I101+K101+M101+O101+Q101+S101+U101+W101+Y101+AA101+AC101+AE101</f>
        <v>0</v>
      </c>
      <c r="F101" s="336">
        <f>IFERROR(E101/B101%,0)</f>
        <v>0</v>
      </c>
      <c r="G101" s="336">
        <f>IFERROR(E101/C101%,0)</f>
        <v>0</v>
      </c>
      <c r="H101" s="1001">
        <f>[2]УКС!H84</f>
        <v>0</v>
      </c>
      <c r="I101" s="1001">
        <f>[2]УКС!I84</f>
        <v>0</v>
      </c>
      <c r="J101" s="1001">
        <f>[2]УКС!J84</f>
        <v>0</v>
      </c>
      <c r="K101" s="1001">
        <f>[2]УКС!K84</f>
        <v>0</v>
      </c>
      <c r="L101" s="1001">
        <f>[2]УКС!L84</f>
        <v>0</v>
      </c>
      <c r="M101" s="1001">
        <f>[2]УКС!M84</f>
        <v>0</v>
      </c>
      <c r="N101" s="1001">
        <f>[2]УКС!N84</f>
        <v>0</v>
      </c>
      <c r="O101" s="1001">
        <f>[2]УКС!O84</f>
        <v>0</v>
      </c>
      <c r="P101" s="1001">
        <f>[2]УКС!P84</f>
        <v>0</v>
      </c>
      <c r="Q101" s="1001">
        <f>[2]УКС!Q84</f>
        <v>0</v>
      </c>
      <c r="R101" s="1001">
        <f>[2]УКС!R84</f>
        <v>0</v>
      </c>
      <c r="S101" s="1001">
        <f>[2]УКС!S84</f>
        <v>0</v>
      </c>
      <c r="T101" s="1001">
        <f>[2]УКС!T84</f>
        <v>0</v>
      </c>
      <c r="U101" s="1001">
        <f>[2]УКС!U84</f>
        <v>0</v>
      </c>
      <c r="V101" s="1001">
        <f>[2]УКС!V84</f>
        <v>0</v>
      </c>
      <c r="W101" s="1001">
        <f>[2]УКС!W84</f>
        <v>0</v>
      </c>
      <c r="X101" s="1001">
        <f>[2]УКС!X84</f>
        <v>0</v>
      </c>
      <c r="Y101" s="1001">
        <f>[2]УКС!Y84</f>
        <v>0</v>
      </c>
      <c r="Z101" s="1001">
        <f>[2]УКС!Z84</f>
        <v>0</v>
      </c>
      <c r="AA101" s="1001">
        <f>[2]УКС!AA84</f>
        <v>0</v>
      </c>
      <c r="AB101" s="1001">
        <f>[2]УКС!AB84</f>
        <v>0</v>
      </c>
      <c r="AC101" s="1001">
        <f>[2]УКС!AC84</f>
        <v>0</v>
      </c>
      <c r="AD101" s="1001">
        <f>[2]УКС!AD84</f>
        <v>0</v>
      </c>
      <c r="AE101" s="1001">
        <f>[2]УКС!AE84</f>
        <v>0</v>
      </c>
      <c r="AF101" s="655"/>
    </row>
    <row r="102" spans="1:32" s="506" customFormat="1" ht="18.75" x14ac:dyDescent="0.25">
      <c r="A102" s="1004" t="s">
        <v>33</v>
      </c>
      <c r="B102" s="609">
        <f t="shared" si="41"/>
        <v>670</v>
      </c>
      <c r="C102" s="609">
        <f t="shared" si="42"/>
        <v>600</v>
      </c>
      <c r="D102" s="604">
        <f t="shared" si="38"/>
        <v>0</v>
      </c>
      <c r="E102" s="604">
        <f>I102+K102+M102+O102+Q102+S102+U102+W102+Y102+AA102+AC102+AE102</f>
        <v>0</v>
      </c>
      <c r="F102" s="607">
        <f>E102/B102*100</f>
        <v>0</v>
      </c>
      <c r="G102" s="999">
        <f>E102/C102*100</f>
        <v>0</v>
      </c>
      <c r="H102" s="1001">
        <f>[2]УКС!H85</f>
        <v>0</v>
      </c>
      <c r="I102" s="1001">
        <f>[2]УКС!I85</f>
        <v>0</v>
      </c>
      <c r="J102" s="1001">
        <f>[2]УКС!J85</f>
        <v>0</v>
      </c>
      <c r="K102" s="1001">
        <f>[2]УКС!K85</f>
        <v>0</v>
      </c>
      <c r="L102" s="1001">
        <f>[2]УКС!L85</f>
        <v>0</v>
      </c>
      <c r="M102" s="1001">
        <f>[2]УКС!M85</f>
        <v>0</v>
      </c>
      <c r="N102" s="1001">
        <f>[2]УКС!N85</f>
        <v>0</v>
      </c>
      <c r="O102" s="1001">
        <f>[2]УКС!O85</f>
        <v>0</v>
      </c>
      <c r="P102" s="1001">
        <f>[2]УКС!P85</f>
        <v>0</v>
      </c>
      <c r="Q102" s="1001">
        <f>[2]УКС!Q85</f>
        <v>0</v>
      </c>
      <c r="R102" s="1001">
        <f>[2]УКС!R85</f>
        <v>0</v>
      </c>
      <c r="S102" s="1001">
        <f>[2]УКС!S85</f>
        <v>0</v>
      </c>
      <c r="T102" s="603">
        <f>[2]УКС!T85</f>
        <v>600</v>
      </c>
      <c r="U102" s="603">
        <f>[2]УКС!U85</f>
        <v>0</v>
      </c>
      <c r="V102" s="603">
        <f>[2]УКС!V85</f>
        <v>70</v>
      </c>
      <c r="W102" s="1001">
        <f>[2]УКС!W85</f>
        <v>0</v>
      </c>
      <c r="X102" s="1001">
        <f>[2]УКС!X85</f>
        <v>0</v>
      </c>
      <c r="Y102" s="1001">
        <f>[2]УКС!Y85</f>
        <v>0</v>
      </c>
      <c r="Z102" s="1001">
        <f>[2]УКС!Z85</f>
        <v>0</v>
      </c>
      <c r="AA102" s="1001">
        <f>[2]УКС!AA85</f>
        <v>0</v>
      </c>
      <c r="AB102" s="1001">
        <f>[2]УКС!AB85</f>
        <v>0</v>
      </c>
      <c r="AC102" s="1001">
        <f>[2]УКС!AC85</f>
        <v>0</v>
      </c>
      <c r="AD102" s="1001">
        <f>[2]УКС!AD85</f>
        <v>0</v>
      </c>
      <c r="AE102" s="1001">
        <f>[2]УКС!AE85</f>
        <v>0</v>
      </c>
      <c r="AF102" s="655"/>
    </row>
    <row r="103" spans="1:32" s="509" customFormat="1" ht="31.5" x14ac:dyDescent="0.25">
      <c r="A103" s="296" t="s">
        <v>174</v>
      </c>
      <c r="B103" s="609">
        <f t="shared" si="41"/>
        <v>0</v>
      </c>
      <c r="C103" s="609">
        <f t="shared" si="42"/>
        <v>0</v>
      </c>
      <c r="D103" s="383">
        <f t="shared" si="38"/>
        <v>0</v>
      </c>
      <c r="E103" s="383">
        <f>I103+K103+M103+O103+Q103+S103+U103+W103+Y103+AA103+AC103+AE103</f>
        <v>0</v>
      </c>
      <c r="F103" s="336">
        <f>IFERROR(E103/B103%,0)</f>
        <v>0</v>
      </c>
      <c r="G103" s="336">
        <f>IFERROR(E103/C103%,0)</f>
        <v>0</v>
      </c>
      <c r="H103" s="603">
        <v>0</v>
      </c>
      <c r="I103" s="603">
        <v>0</v>
      </c>
      <c r="J103" s="603">
        <v>0</v>
      </c>
      <c r="K103" s="603">
        <v>0</v>
      </c>
      <c r="L103" s="603">
        <v>0</v>
      </c>
      <c r="M103" s="603">
        <v>0</v>
      </c>
      <c r="N103" s="603">
        <v>0</v>
      </c>
      <c r="O103" s="603">
        <v>0</v>
      </c>
      <c r="P103" s="603">
        <v>0</v>
      </c>
      <c r="Q103" s="603">
        <v>0</v>
      </c>
      <c r="R103" s="603">
        <v>0</v>
      </c>
      <c r="S103" s="603">
        <v>0</v>
      </c>
      <c r="T103" s="603">
        <v>0</v>
      </c>
      <c r="U103" s="603">
        <v>0</v>
      </c>
      <c r="V103" s="603">
        <v>0</v>
      </c>
      <c r="W103" s="603">
        <v>0</v>
      </c>
      <c r="X103" s="603">
        <v>0</v>
      </c>
      <c r="Y103" s="603">
        <v>0</v>
      </c>
      <c r="Z103" s="603">
        <v>0</v>
      </c>
      <c r="AA103" s="603">
        <v>0</v>
      </c>
      <c r="AB103" s="603">
        <v>0</v>
      </c>
      <c r="AC103" s="603">
        <v>0</v>
      </c>
      <c r="AD103" s="603">
        <v>0</v>
      </c>
      <c r="AE103" s="603">
        <v>0</v>
      </c>
      <c r="AF103" s="656"/>
    </row>
    <row r="104" spans="1:32" s="506" customFormat="1" ht="18.75" x14ac:dyDescent="0.25">
      <c r="A104" s="1005" t="s">
        <v>374</v>
      </c>
      <c r="B104" s="609">
        <f t="shared" si="41"/>
        <v>0</v>
      </c>
      <c r="C104" s="609">
        <f t="shared" si="42"/>
        <v>0</v>
      </c>
      <c r="D104" s="383">
        <f t="shared" si="38"/>
        <v>0</v>
      </c>
      <c r="E104" s="383">
        <f>I104+K104+M104+O104+Q104+S104+U104+W104+Y104+AA104+AC104+AE104</f>
        <v>0</v>
      </c>
      <c r="F104" s="336">
        <f>IFERROR(E104/B104%,0)</f>
        <v>0</v>
      </c>
      <c r="G104" s="336">
        <f>IFERROR(E104/C104%,0)</f>
        <v>0</v>
      </c>
      <c r="H104" s="1001">
        <f>[2]УКС!H86</f>
        <v>0</v>
      </c>
      <c r="I104" s="1001">
        <f>[2]УКС!I86</f>
        <v>0</v>
      </c>
      <c r="J104" s="1001">
        <f>[2]УКС!J86</f>
        <v>0</v>
      </c>
      <c r="K104" s="1001">
        <f>[2]УКС!K86</f>
        <v>0</v>
      </c>
      <c r="L104" s="1001">
        <f>[2]УКС!L86</f>
        <v>0</v>
      </c>
      <c r="M104" s="1001">
        <f>[2]УКС!M86</f>
        <v>0</v>
      </c>
      <c r="N104" s="1001">
        <f>[2]УКС!N86</f>
        <v>0</v>
      </c>
      <c r="O104" s="1001">
        <f>[2]УКС!O86</f>
        <v>0</v>
      </c>
      <c r="P104" s="1001">
        <f>[2]УКС!P86</f>
        <v>0</v>
      </c>
      <c r="Q104" s="1001">
        <f>[2]УКС!Q86</f>
        <v>0</v>
      </c>
      <c r="R104" s="1001">
        <f>[2]УКС!R86</f>
        <v>0</v>
      </c>
      <c r="S104" s="1001">
        <f>[2]УКС!S86</f>
        <v>0</v>
      </c>
      <c r="T104" s="1001">
        <f>[2]УКС!T86</f>
        <v>0</v>
      </c>
      <c r="U104" s="1001">
        <f>[2]УКС!U86</f>
        <v>0</v>
      </c>
      <c r="V104" s="1001">
        <f>[2]УКС!V86</f>
        <v>0</v>
      </c>
      <c r="W104" s="1001">
        <f>[2]УКС!W86</f>
        <v>0</v>
      </c>
      <c r="X104" s="1001">
        <f>[2]УКС!X86</f>
        <v>0</v>
      </c>
      <c r="Y104" s="1001">
        <f>[2]УКС!Y86</f>
        <v>0</v>
      </c>
      <c r="Z104" s="1001">
        <f>[2]УКС!Z86</f>
        <v>0</v>
      </c>
      <c r="AA104" s="1001">
        <f>[2]УКС!AA86</f>
        <v>0</v>
      </c>
      <c r="AB104" s="1001">
        <f>[2]УКС!AB86</f>
        <v>0</v>
      </c>
      <c r="AC104" s="1001">
        <f>[2]УКС!AC86</f>
        <v>0</v>
      </c>
      <c r="AD104" s="1001">
        <f>[2]УКС!AD86</f>
        <v>0</v>
      </c>
      <c r="AE104" s="1001">
        <f>[2]УКС!AE86</f>
        <v>0</v>
      </c>
      <c r="AF104" s="654"/>
    </row>
    <row r="105" spans="1:32" s="509" customFormat="1" ht="15.75" x14ac:dyDescent="0.25">
      <c r="A105" s="388" t="s">
        <v>63</v>
      </c>
      <c r="B105" s="282">
        <f>B107+B108+B106+B110</f>
        <v>271250.56</v>
      </c>
      <c r="C105" s="282">
        <f>C107+C108+C106+C110</f>
        <v>141412.42999999996</v>
      </c>
      <c r="D105" s="282">
        <f>D107+D108+D106+D110</f>
        <v>119591.54</v>
      </c>
      <c r="E105" s="282">
        <f>E107+E108+E106+E110</f>
        <v>119591.54</v>
      </c>
      <c r="F105" s="282">
        <f>E105/B105*100</f>
        <v>44.088955982247555</v>
      </c>
      <c r="G105" s="282">
        <f>E105/C105*100</f>
        <v>84.569326755788026</v>
      </c>
      <c r="H105" s="282">
        <f t="shared" ref="H105:AE105" si="43">H107+H108</f>
        <v>11190.23</v>
      </c>
      <c r="I105" s="282">
        <f t="shared" si="43"/>
        <v>6245.2199999999993</v>
      </c>
      <c r="J105" s="282">
        <f t="shared" si="43"/>
        <v>27737.879999999997</v>
      </c>
      <c r="K105" s="282">
        <f t="shared" si="43"/>
        <v>24129.489999999998</v>
      </c>
      <c r="L105" s="282">
        <f t="shared" si="43"/>
        <v>27313.210000000003</v>
      </c>
      <c r="M105" s="282">
        <f>M107+M108</f>
        <v>23112.100000000002</v>
      </c>
      <c r="N105" s="282">
        <f t="shared" si="43"/>
        <v>25828.730000000003</v>
      </c>
      <c r="O105" s="282">
        <f t="shared" si="43"/>
        <v>22247.9</v>
      </c>
      <c r="P105" s="282">
        <f t="shared" si="43"/>
        <v>15804.26</v>
      </c>
      <c r="Q105" s="282">
        <f t="shared" si="43"/>
        <v>12545.25</v>
      </c>
      <c r="R105" s="282">
        <f t="shared" si="43"/>
        <v>15931.29</v>
      </c>
      <c r="S105" s="282">
        <f t="shared" si="43"/>
        <v>10829.8</v>
      </c>
      <c r="T105" s="282">
        <f t="shared" si="43"/>
        <v>17606.829999999998</v>
      </c>
      <c r="U105" s="282">
        <f t="shared" si="43"/>
        <v>20481.780000000002</v>
      </c>
      <c r="V105" s="282">
        <f t="shared" si="43"/>
        <v>21953.96</v>
      </c>
      <c r="W105" s="282">
        <f t="shared" si="43"/>
        <v>0</v>
      </c>
      <c r="X105" s="282">
        <f t="shared" si="43"/>
        <v>18179.32</v>
      </c>
      <c r="Y105" s="282">
        <f t="shared" si="43"/>
        <v>0</v>
      </c>
      <c r="Z105" s="282">
        <f t="shared" si="43"/>
        <v>45677.32</v>
      </c>
      <c r="AA105" s="282">
        <f t="shared" si="43"/>
        <v>0</v>
      </c>
      <c r="AB105" s="282">
        <f t="shared" si="43"/>
        <v>22633.73</v>
      </c>
      <c r="AC105" s="282">
        <f t="shared" si="43"/>
        <v>0</v>
      </c>
      <c r="AD105" s="282">
        <f t="shared" si="43"/>
        <v>21393.8</v>
      </c>
      <c r="AE105" s="282">
        <f t="shared" si="43"/>
        <v>0</v>
      </c>
      <c r="AF105" s="654"/>
    </row>
    <row r="106" spans="1:32" s="509" customFormat="1" ht="15.75" x14ac:dyDescent="0.25">
      <c r="A106" s="381" t="s">
        <v>169</v>
      </c>
      <c r="B106" s="285">
        <f>B112</f>
        <v>0</v>
      </c>
      <c r="C106" s="285">
        <f>C112</f>
        <v>0</v>
      </c>
      <c r="D106" s="285">
        <f>D112</f>
        <v>0</v>
      </c>
      <c r="E106" s="285">
        <f>E112</f>
        <v>0</v>
      </c>
      <c r="F106" s="389">
        <f>IFERROR(E106/B106*100,0)</f>
        <v>0</v>
      </c>
      <c r="G106" s="285">
        <f>IFERROR(E106/C106*100,0)</f>
        <v>0</v>
      </c>
      <c r="H106" s="285">
        <f t="shared" ref="H106:AE106" si="44">H100+H9+H44+H65+H72+H79+H86+H93</f>
        <v>0</v>
      </c>
      <c r="I106" s="285">
        <f t="shared" si="44"/>
        <v>0</v>
      </c>
      <c r="J106" s="285">
        <f t="shared" si="44"/>
        <v>0</v>
      </c>
      <c r="K106" s="285">
        <f t="shared" si="44"/>
        <v>0</v>
      </c>
      <c r="L106" s="285">
        <f t="shared" si="44"/>
        <v>0</v>
      </c>
      <c r="M106" s="285">
        <f t="shared" si="44"/>
        <v>0</v>
      </c>
      <c r="N106" s="285">
        <f t="shared" si="44"/>
        <v>0</v>
      </c>
      <c r="O106" s="285">
        <f t="shared" si="44"/>
        <v>0</v>
      </c>
      <c r="P106" s="285">
        <f t="shared" si="44"/>
        <v>0</v>
      </c>
      <c r="Q106" s="285">
        <f t="shared" si="44"/>
        <v>0</v>
      </c>
      <c r="R106" s="285">
        <f t="shared" si="44"/>
        <v>0</v>
      </c>
      <c r="S106" s="285">
        <f t="shared" si="44"/>
        <v>0</v>
      </c>
      <c r="T106" s="285">
        <f t="shared" si="44"/>
        <v>0</v>
      </c>
      <c r="U106" s="285">
        <f t="shared" si="44"/>
        <v>0</v>
      </c>
      <c r="V106" s="285">
        <f t="shared" si="44"/>
        <v>0</v>
      </c>
      <c r="W106" s="285">
        <f t="shared" si="44"/>
        <v>0</v>
      </c>
      <c r="X106" s="285">
        <f t="shared" si="44"/>
        <v>0</v>
      </c>
      <c r="Y106" s="285">
        <f t="shared" si="44"/>
        <v>0</v>
      </c>
      <c r="Z106" s="285">
        <f t="shared" si="44"/>
        <v>0</v>
      </c>
      <c r="AA106" s="285">
        <f t="shared" si="44"/>
        <v>0</v>
      </c>
      <c r="AB106" s="285">
        <f t="shared" si="44"/>
        <v>0</v>
      </c>
      <c r="AC106" s="285">
        <f t="shared" si="44"/>
        <v>0</v>
      </c>
      <c r="AD106" s="285">
        <f t="shared" si="44"/>
        <v>0</v>
      </c>
      <c r="AE106" s="285">
        <f t="shared" si="44"/>
        <v>0</v>
      </c>
      <c r="AF106" s="655"/>
    </row>
    <row r="107" spans="1:32" s="509" customFormat="1" ht="15.75" x14ac:dyDescent="0.25">
      <c r="A107" s="302" t="s">
        <v>32</v>
      </c>
      <c r="B107" s="285">
        <f>B113</f>
        <v>1587.5</v>
      </c>
      <c r="C107" s="285">
        <f t="shared" ref="C107:E110" si="45">C113</f>
        <v>595.29999999999995</v>
      </c>
      <c r="D107" s="285">
        <f t="shared" si="45"/>
        <v>595.29999999999995</v>
      </c>
      <c r="E107" s="285">
        <f t="shared" si="45"/>
        <v>595.29999999999995</v>
      </c>
      <c r="F107" s="389">
        <f t="shared" ref="F107:F111" si="46">IFERROR(E107/B107*100,0)</f>
        <v>37.499212598425196</v>
      </c>
      <c r="G107" s="285">
        <f t="shared" ref="G107:G111" si="47">IFERROR(E107/C107*100,0)</f>
        <v>100</v>
      </c>
      <c r="H107" s="285">
        <f t="shared" ref="H107:AE107" si="48">H101+H10+H45+H66+H73+H80+H87+H94</f>
        <v>526.79999999999995</v>
      </c>
      <c r="I107" s="285">
        <f t="shared" si="48"/>
        <v>248.69</v>
      </c>
      <c r="J107" s="285">
        <f t="shared" si="48"/>
        <v>68.5</v>
      </c>
      <c r="K107" s="285">
        <f t="shared" si="48"/>
        <v>129.43</v>
      </c>
      <c r="L107" s="285">
        <f t="shared" si="48"/>
        <v>0</v>
      </c>
      <c r="M107" s="285">
        <f t="shared" si="48"/>
        <v>217.18</v>
      </c>
      <c r="N107" s="285">
        <f t="shared" si="48"/>
        <v>0</v>
      </c>
      <c r="O107" s="285">
        <f t="shared" si="48"/>
        <v>0</v>
      </c>
      <c r="P107" s="285">
        <f t="shared" si="48"/>
        <v>0</v>
      </c>
      <c r="Q107" s="285">
        <f t="shared" si="48"/>
        <v>0</v>
      </c>
      <c r="R107" s="285">
        <f t="shared" si="48"/>
        <v>0</v>
      </c>
      <c r="S107" s="285">
        <f t="shared" si="48"/>
        <v>0</v>
      </c>
      <c r="T107" s="285">
        <f t="shared" si="48"/>
        <v>0</v>
      </c>
      <c r="U107" s="285">
        <f t="shared" si="48"/>
        <v>0</v>
      </c>
      <c r="V107" s="285">
        <f t="shared" si="48"/>
        <v>0</v>
      </c>
      <c r="W107" s="285">
        <f t="shared" si="48"/>
        <v>0</v>
      </c>
      <c r="X107" s="285">
        <f t="shared" si="48"/>
        <v>0</v>
      </c>
      <c r="Y107" s="285">
        <f t="shared" si="48"/>
        <v>0</v>
      </c>
      <c r="Z107" s="285">
        <f t="shared" si="48"/>
        <v>992.2</v>
      </c>
      <c r="AA107" s="285">
        <f t="shared" si="48"/>
        <v>0</v>
      </c>
      <c r="AB107" s="285">
        <f t="shared" si="48"/>
        <v>0</v>
      </c>
      <c r="AC107" s="285">
        <f t="shared" si="48"/>
        <v>0</v>
      </c>
      <c r="AD107" s="285">
        <f t="shared" si="48"/>
        <v>0</v>
      </c>
      <c r="AE107" s="285">
        <f t="shared" si="48"/>
        <v>0</v>
      </c>
      <c r="AF107" s="655"/>
    </row>
    <row r="108" spans="1:32" s="509" customFormat="1" ht="15.75" x14ac:dyDescent="0.25">
      <c r="A108" s="302" t="s">
        <v>33</v>
      </c>
      <c r="B108" s="285">
        <f>B114</f>
        <v>269663.06</v>
      </c>
      <c r="C108" s="285">
        <f t="shared" si="45"/>
        <v>140817.12999999998</v>
      </c>
      <c r="D108" s="285">
        <f t="shared" si="45"/>
        <v>118996.23999999999</v>
      </c>
      <c r="E108" s="285">
        <f t="shared" si="45"/>
        <v>118996.23999999999</v>
      </c>
      <c r="F108" s="389">
        <f t="shared" si="46"/>
        <v>44.127749644315386</v>
      </c>
      <c r="G108" s="285">
        <f t="shared" si="47"/>
        <v>84.504094068669062</v>
      </c>
      <c r="H108" s="285">
        <f t="shared" ref="H108:AE108" si="49">H102+H11+H46+H67+H74+H81+H88+H95</f>
        <v>10663.43</v>
      </c>
      <c r="I108" s="285">
        <f t="shared" si="49"/>
        <v>5996.53</v>
      </c>
      <c r="J108" s="285">
        <f t="shared" si="49"/>
        <v>27669.379999999997</v>
      </c>
      <c r="K108" s="285">
        <f t="shared" si="49"/>
        <v>24000.059999999998</v>
      </c>
      <c r="L108" s="285">
        <f t="shared" si="49"/>
        <v>27313.210000000003</v>
      </c>
      <c r="M108" s="285">
        <f t="shared" si="49"/>
        <v>22894.920000000002</v>
      </c>
      <c r="N108" s="285">
        <f t="shared" si="49"/>
        <v>25828.730000000003</v>
      </c>
      <c r="O108" s="285">
        <f t="shared" si="49"/>
        <v>22247.9</v>
      </c>
      <c r="P108" s="285">
        <f t="shared" si="49"/>
        <v>15804.26</v>
      </c>
      <c r="Q108" s="285">
        <f t="shared" si="49"/>
        <v>12545.25</v>
      </c>
      <c r="R108" s="285">
        <f t="shared" si="49"/>
        <v>15931.29</v>
      </c>
      <c r="S108" s="285">
        <f t="shared" si="49"/>
        <v>10829.8</v>
      </c>
      <c r="T108" s="285">
        <f t="shared" si="49"/>
        <v>17606.829999999998</v>
      </c>
      <c r="U108" s="285">
        <f t="shared" si="49"/>
        <v>20481.780000000002</v>
      </c>
      <c r="V108" s="285">
        <f t="shared" si="49"/>
        <v>21953.96</v>
      </c>
      <c r="W108" s="285">
        <f t="shared" si="49"/>
        <v>0</v>
      </c>
      <c r="X108" s="285">
        <f t="shared" si="49"/>
        <v>18179.32</v>
      </c>
      <c r="Y108" s="285">
        <f t="shared" si="49"/>
        <v>0</v>
      </c>
      <c r="Z108" s="285">
        <f t="shared" si="49"/>
        <v>44685.120000000003</v>
      </c>
      <c r="AA108" s="285">
        <f t="shared" si="49"/>
        <v>0</v>
      </c>
      <c r="AB108" s="285">
        <f t="shared" si="49"/>
        <v>22633.73</v>
      </c>
      <c r="AC108" s="285">
        <f t="shared" si="49"/>
        <v>0</v>
      </c>
      <c r="AD108" s="285">
        <f t="shared" si="49"/>
        <v>21393.8</v>
      </c>
      <c r="AE108" s="285">
        <f t="shared" si="49"/>
        <v>0</v>
      </c>
      <c r="AF108" s="655"/>
    </row>
    <row r="109" spans="1:32" s="509" customFormat="1" ht="31.5" x14ac:dyDescent="0.25">
      <c r="A109" s="296" t="s">
        <v>174</v>
      </c>
      <c r="B109" s="285">
        <f>B115</f>
        <v>0</v>
      </c>
      <c r="C109" s="285">
        <f t="shared" si="45"/>
        <v>0</v>
      </c>
      <c r="D109" s="285">
        <f t="shared" si="45"/>
        <v>0</v>
      </c>
      <c r="E109" s="285">
        <f t="shared" si="45"/>
        <v>0</v>
      </c>
      <c r="F109" s="389">
        <f t="shared" si="46"/>
        <v>0</v>
      </c>
      <c r="G109" s="285">
        <f t="shared" si="47"/>
        <v>0</v>
      </c>
      <c r="H109" s="285">
        <f t="shared" ref="H109:AE109" si="50">H103+H12+H47+H68+H75+H82+H89+H96</f>
        <v>0</v>
      </c>
      <c r="I109" s="285">
        <f t="shared" si="50"/>
        <v>0</v>
      </c>
      <c r="J109" s="285">
        <f t="shared" si="50"/>
        <v>0</v>
      </c>
      <c r="K109" s="285">
        <f t="shared" si="50"/>
        <v>0</v>
      </c>
      <c r="L109" s="285">
        <f t="shared" si="50"/>
        <v>0</v>
      </c>
      <c r="M109" s="285">
        <f t="shared" si="50"/>
        <v>0</v>
      </c>
      <c r="N109" s="285">
        <f t="shared" si="50"/>
        <v>0</v>
      </c>
      <c r="O109" s="285">
        <f t="shared" si="50"/>
        <v>0</v>
      </c>
      <c r="P109" s="285">
        <f t="shared" si="50"/>
        <v>0</v>
      </c>
      <c r="Q109" s="285">
        <f t="shared" si="50"/>
        <v>0</v>
      </c>
      <c r="R109" s="285">
        <f t="shared" si="50"/>
        <v>0</v>
      </c>
      <c r="S109" s="285">
        <f t="shared" si="50"/>
        <v>0</v>
      </c>
      <c r="T109" s="285">
        <f t="shared" si="50"/>
        <v>0</v>
      </c>
      <c r="U109" s="285">
        <f t="shared" si="50"/>
        <v>0</v>
      </c>
      <c r="V109" s="285">
        <f t="shared" si="50"/>
        <v>0</v>
      </c>
      <c r="W109" s="285">
        <f t="shared" si="50"/>
        <v>0</v>
      </c>
      <c r="X109" s="285">
        <f t="shared" si="50"/>
        <v>0</v>
      </c>
      <c r="Y109" s="285">
        <f t="shared" si="50"/>
        <v>0</v>
      </c>
      <c r="Z109" s="285">
        <f t="shared" si="50"/>
        <v>0</v>
      </c>
      <c r="AA109" s="285">
        <f t="shared" si="50"/>
        <v>0</v>
      </c>
      <c r="AB109" s="285">
        <f t="shared" si="50"/>
        <v>0</v>
      </c>
      <c r="AC109" s="285">
        <f t="shared" si="50"/>
        <v>0</v>
      </c>
      <c r="AD109" s="285">
        <f t="shared" si="50"/>
        <v>0</v>
      </c>
      <c r="AE109" s="285">
        <f t="shared" si="50"/>
        <v>0</v>
      </c>
      <c r="AF109" s="656"/>
    </row>
    <row r="110" spans="1:32" s="509" customFormat="1" ht="15.75" x14ac:dyDescent="0.25">
      <c r="A110" s="284" t="s">
        <v>221</v>
      </c>
      <c r="B110" s="285">
        <f>B116</f>
        <v>0</v>
      </c>
      <c r="C110" s="285">
        <f t="shared" si="45"/>
        <v>0</v>
      </c>
      <c r="D110" s="285">
        <f t="shared" si="45"/>
        <v>0</v>
      </c>
      <c r="E110" s="285">
        <f t="shared" si="45"/>
        <v>0</v>
      </c>
      <c r="F110" s="389">
        <f t="shared" si="46"/>
        <v>0</v>
      </c>
      <c r="G110" s="285">
        <f t="shared" si="47"/>
        <v>0</v>
      </c>
      <c r="H110" s="285">
        <f t="shared" ref="H110:AE110" si="51">H104+H13+H48+H69+H76+H83+H90+H97</f>
        <v>0</v>
      </c>
      <c r="I110" s="285">
        <f t="shared" si="51"/>
        <v>0</v>
      </c>
      <c r="J110" s="285">
        <f t="shared" si="51"/>
        <v>0</v>
      </c>
      <c r="K110" s="285">
        <f t="shared" si="51"/>
        <v>0</v>
      </c>
      <c r="L110" s="285">
        <f t="shared" si="51"/>
        <v>0</v>
      </c>
      <c r="M110" s="285">
        <f t="shared" si="51"/>
        <v>0</v>
      </c>
      <c r="N110" s="285">
        <f t="shared" si="51"/>
        <v>0</v>
      </c>
      <c r="O110" s="285">
        <f t="shared" si="51"/>
        <v>0</v>
      </c>
      <c r="P110" s="285">
        <f t="shared" si="51"/>
        <v>0</v>
      </c>
      <c r="Q110" s="285">
        <f t="shared" si="51"/>
        <v>0</v>
      </c>
      <c r="R110" s="285">
        <f t="shared" si="51"/>
        <v>0</v>
      </c>
      <c r="S110" s="285">
        <f t="shared" si="51"/>
        <v>0</v>
      </c>
      <c r="T110" s="285">
        <f t="shared" si="51"/>
        <v>0</v>
      </c>
      <c r="U110" s="285">
        <f t="shared" si="51"/>
        <v>0</v>
      </c>
      <c r="V110" s="285">
        <f t="shared" si="51"/>
        <v>0</v>
      </c>
      <c r="W110" s="285">
        <f t="shared" si="51"/>
        <v>0</v>
      </c>
      <c r="X110" s="285">
        <f t="shared" si="51"/>
        <v>0</v>
      </c>
      <c r="Y110" s="285">
        <f t="shared" si="51"/>
        <v>0</v>
      </c>
      <c r="Z110" s="285">
        <f t="shared" si="51"/>
        <v>0</v>
      </c>
      <c r="AA110" s="285">
        <f t="shared" si="51"/>
        <v>0</v>
      </c>
      <c r="AB110" s="285">
        <f t="shared" si="51"/>
        <v>0</v>
      </c>
      <c r="AC110" s="285">
        <f t="shared" si="51"/>
        <v>0</v>
      </c>
      <c r="AD110" s="285">
        <f t="shared" si="51"/>
        <v>0</v>
      </c>
      <c r="AE110" s="285">
        <f t="shared" si="51"/>
        <v>0</v>
      </c>
      <c r="AF110" s="1008"/>
    </row>
    <row r="111" spans="1:32" s="509" customFormat="1" ht="31.5" x14ac:dyDescent="0.25">
      <c r="A111" s="390" t="s">
        <v>100</v>
      </c>
      <c r="B111" s="391">
        <f>B112+B113+B114+B116</f>
        <v>271250.56</v>
      </c>
      <c r="C111" s="391">
        <f>C112+C113+C114+C116</f>
        <v>141412.42999999996</v>
      </c>
      <c r="D111" s="391">
        <f>D112+D113+D114+D116</f>
        <v>119591.54</v>
      </c>
      <c r="E111" s="391">
        <f>E112+E113+E114+E116</f>
        <v>119591.54</v>
      </c>
      <c r="F111" s="391">
        <f t="shared" si="46"/>
        <v>44.088955982247555</v>
      </c>
      <c r="G111" s="391">
        <f t="shared" si="47"/>
        <v>84.569326755788026</v>
      </c>
      <c r="H111" s="391">
        <f t="shared" ref="H111:AE111" si="52">H112+H113+H114+H116</f>
        <v>11190.23</v>
      </c>
      <c r="I111" s="391">
        <f t="shared" si="52"/>
        <v>6245.2199999999993</v>
      </c>
      <c r="J111" s="391">
        <f t="shared" si="52"/>
        <v>27737.879999999997</v>
      </c>
      <c r="K111" s="391">
        <f t="shared" si="52"/>
        <v>24129.489999999998</v>
      </c>
      <c r="L111" s="391">
        <f>L112+L113+L114+L116</f>
        <v>27313.210000000003</v>
      </c>
      <c r="M111" s="391">
        <f t="shared" si="52"/>
        <v>23112.100000000002</v>
      </c>
      <c r="N111" s="391">
        <f t="shared" si="52"/>
        <v>25828.730000000003</v>
      </c>
      <c r="O111" s="391">
        <f t="shared" si="52"/>
        <v>22247.9</v>
      </c>
      <c r="P111" s="391">
        <f t="shared" si="52"/>
        <v>15804.26</v>
      </c>
      <c r="Q111" s="391">
        <f t="shared" si="52"/>
        <v>12545.25</v>
      </c>
      <c r="R111" s="391">
        <f t="shared" si="52"/>
        <v>15931.29</v>
      </c>
      <c r="S111" s="391">
        <f t="shared" si="52"/>
        <v>10829.8</v>
      </c>
      <c r="T111" s="391">
        <f t="shared" si="52"/>
        <v>17606.829999999998</v>
      </c>
      <c r="U111" s="391">
        <f t="shared" si="52"/>
        <v>20481.780000000002</v>
      </c>
      <c r="V111" s="391">
        <f t="shared" si="52"/>
        <v>21953.96</v>
      </c>
      <c r="W111" s="391">
        <f t="shared" si="52"/>
        <v>0</v>
      </c>
      <c r="X111" s="391">
        <f t="shared" si="52"/>
        <v>18179.32</v>
      </c>
      <c r="Y111" s="391">
        <f t="shared" si="52"/>
        <v>0</v>
      </c>
      <c r="Z111" s="391">
        <f t="shared" si="52"/>
        <v>45677.32</v>
      </c>
      <c r="AA111" s="391">
        <f t="shared" si="52"/>
        <v>0</v>
      </c>
      <c r="AB111" s="391">
        <f t="shared" si="52"/>
        <v>22633.73</v>
      </c>
      <c r="AC111" s="391">
        <f t="shared" si="52"/>
        <v>0</v>
      </c>
      <c r="AD111" s="391">
        <f t="shared" si="52"/>
        <v>21393.8</v>
      </c>
      <c r="AE111" s="391">
        <f t="shared" si="52"/>
        <v>0</v>
      </c>
      <c r="AF111" s="1009"/>
    </row>
    <row r="112" spans="1:32" s="509" customFormat="1" ht="15.75" x14ac:dyDescent="0.25">
      <c r="A112" s="381" t="s">
        <v>169</v>
      </c>
      <c r="B112" s="608">
        <f t="shared" ref="B112:AE112" si="53">B100+B9+B44+B65+B72+B79+B86+B93</f>
        <v>0</v>
      </c>
      <c r="C112" s="610">
        <f t="shared" si="53"/>
        <v>0</v>
      </c>
      <c r="D112" s="610">
        <f t="shared" si="53"/>
        <v>0</v>
      </c>
      <c r="E112" s="610">
        <f t="shared" si="53"/>
        <v>0</v>
      </c>
      <c r="F112" s="610">
        <f t="shared" si="53"/>
        <v>0</v>
      </c>
      <c r="G112" s="610">
        <f t="shared" si="53"/>
        <v>0</v>
      </c>
      <c r="H112" s="610">
        <f t="shared" si="53"/>
        <v>0</v>
      </c>
      <c r="I112" s="610">
        <f t="shared" si="53"/>
        <v>0</v>
      </c>
      <c r="J112" s="610">
        <f t="shared" si="53"/>
        <v>0</v>
      </c>
      <c r="K112" s="610">
        <f t="shared" si="53"/>
        <v>0</v>
      </c>
      <c r="L112" s="610">
        <f t="shared" si="53"/>
        <v>0</v>
      </c>
      <c r="M112" s="610">
        <f t="shared" si="53"/>
        <v>0</v>
      </c>
      <c r="N112" s="610">
        <f t="shared" si="53"/>
        <v>0</v>
      </c>
      <c r="O112" s="610">
        <f t="shared" si="53"/>
        <v>0</v>
      </c>
      <c r="P112" s="610">
        <f t="shared" si="53"/>
        <v>0</v>
      </c>
      <c r="Q112" s="610">
        <f t="shared" si="53"/>
        <v>0</v>
      </c>
      <c r="R112" s="610">
        <f t="shared" si="53"/>
        <v>0</v>
      </c>
      <c r="S112" s="610">
        <f t="shared" si="53"/>
        <v>0</v>
      </c>
      <c r="T112" s="610">
        <f t="shared" si="53"/>
        <v>0</v>
      </c>
      <c r="U112" s="610">
        <f t="shared" si="53"/>
        <v>0</v>
      </c>
      <c r="V112" s="610">
        <f t="shared" si="53"/>
        <v>0</v>
      </c>
      <c r="W112" s="610">
        <f t="shared" si="53"/>
        <v>0</v>
      </c>
      <c r="X112" s="610">
        <f t="shared" si="53"/>
        <v>0</v>
      </c>
      <c r="Y112" s="610">
        <f t="shared" si="53"/>
        <v>0</v>
      </c>
      <c r="Z112" s="610">
        <f t="shared" si="53"/>
        <v>0</v>
      </c>
      <c r="AA112" s="610">
        <f t="shared" si="53"/>
        <v>0</v>
      </c>
      <c r="AB112" s="610">
        <f t="shared" si="53"/>
        <v>0</v>
      </c>
      <c r="AC112" s="610">
        <f t="shared" si="53"/>
        <v>0</v>
      </c>
      <c r="AD112" s="610">
        <f t="shared" si="53"/>
        <v>0</v>
      </c>
      <c r="AE112" s="610">
        <f t="shared" si="53"/>
        <v>0</v>
      </c>
      <c r="AF112" s="1010"/>
    </row>
    <row r="113" spans="1:32" s="509" customFormat="1" ht="15.75" x14ac:dyDescent="0.25">
      <c r="A113" s="302" t="s">
        <v>32</v>
      </c>
      <c r="B113" s="608">
        <f t="shared" ref="B113:AE113" si="54">B101+B10+B45+B66+B73+B80+B87+B94</f>
        <v>1587.5</v>
      </c>
      <c r="C113" s="610">
        <f t="shared" si="54"/>
        <v>595.29999999999995</v>
      </c>
      <c r="D113" s="610">
        <f t="shared" si="54"/>
        <v>595.29999999999995</v>
      </c>
      <c r="E113" s="610">
        <f t="shared" si="54"/>
        <v>595.29999999999995</v>
      </c>
      <c r="F113" s="610">
        <f t="shared" si="54"/>
        <v>100</v>
      </c>
      <c r="G113" s="610">
        <f t="shared" si="54"/>
        <v>100</v>
      </c>
      <c r="H113" s="610">
        <f t="shared" si="54"/>
        <v>526.79999999999995</v>
      </c>
      <c r="I113" s="610">
        <f t="shared" si="54"/>
        <v>248.69</v>
      </c>
      <c r="J113" s="610">
        <f t="shared" si="54"/>
        <v>68.5</v>
      </c>
      <c r="K113" s="610">
        <f t="shared" si="54"/>
        <v>129.43</v>
      </c>
      <c r="L113" s="610">
        <f t="shared" si="54"/>
        <v>0</v>
      </c>
      <c r="M113" s="610">
        <f t="shared" si="54"/>
        <v>217.18</v>
      </c>
      <c r="N113" s="610">
        <f t="shared" si="54"/>
        <v>0</v>
      </c>
      <c r="O113" s="610">
        <f t="shared" si="54"/>
        <v>0</v>
      </c>
      <c r="P113" s="610">
        <f t="shared" si="54"/>
        <v>0</v>
      </c>
      <c r="Q113" s="610">
        <f t="shared" si="54"/>
        <v>0</v>
      </c>
      <c r="R113" s="610">
        <f t="shared" si="54"/>
        <v>0</v>
      </c>
      <c r="S113" s="610">
        <f t="shared" si="54"/>
        <v>0</v>
      </c>
      <c r="T113" s="610">
        <f t="shared" si="54"/>
        <v>0</v>
      </c>
      <c r="U113" s="610">
        <f t="shared" si="54"/>
        <v>0</v>
      </c>
      <c r="V113" s="610">
        <f t="shared" si="54"/>
        <v>0</v>
      </c>
      <c r="W113" s="610">
        <f t="shared" si="54"/>
        <v>0</v>
      </c>
      <c r="X113" s="610">
        <f t="shared" si="54"/>
        <v>0</v>
      </c>
      <c r="Y113" s="610">
        <f t="shared" si="54"/>
        <v>0</v>
      </c>
      <c r="Z113" s="610">
        <f t="shared" si="54"/>
        <v>992.2</v>
      </c>
      <c r="AA113" s="610">
        <f t="shared" si="54"/>
        <v>0</v>
      </c>
      <c r="AB113" s="610">
        <f t="shared" si="54"/>
        <v>0</v>
      </c>
      <c r="AC113" s="610">
        <f t="shared" si="54"/>
        <v>0</v>
      </c>
      <c r="AD113" s="610">
        <f t="shared" si="54"/>
        <v>0</v>
      </c>
      <c r="AE113" s="610">
        <f t="shared" si="54"/>
        <v>0</v>
      </c>
      <c r="AF113" s="1010"/>
    </row>
    <row r="114" spans="1:32" s="509" customFormat="1" ht="15.75" x14ac:dyDescent="0.25">
      <c r="A114" s="302" t="s">
        <v>33</v>
      </c>
      <c r="B114" s="608">
        <f t="shared" ref="B114:AE114" si="55">B102+B11+B46+B67+B74+B81+B88+B95</f>
        <v>269663.06</v>
      </c>
      <c r="C114" s="610">
        <f t="shared" si="55"/>
        <v>140817.12999999998</v>
      </c>
      <c r="D114" s="610">
        <f t="shared" si="55"/>
        <v>118996.23999999999</v>
      </c>
      <c r="E114" s="610">
        <f t="shared" si="55"/>
        <v>118996.23999999999</v>
      </c>
      <c r="F114" s="610">
        <f t="shared" si="55"/>
        <v>275.16677290239244</v>
      </c>
      <c r="G114" s="1006" t="e">
        <f t="shared" si="55"/>
        <v>#DIV/0!</v>
      </c>
      <c r="H114" s="610">
        <f t="shared" si="55"/>
        <v>10663.43</v>
      </c>
      <c r="I114" s="610">
        <f t="shared" si="55"/>
        <v>5996.53</v>
      </c>
      <c r="J114" s="610">
        <f t="shared" si="55"/>
        <v>27669.379999999997</v>
      </c>
      <c r="K114" s="610">
        <f t="shared" si="55"/>
        <v>24000.059999999998</v>
      </c>
      <c r="L114" s="610">
        <f t="shared" si="55"/>
        <v>27313.210000000003</v>
      </c>
      <c r="M114" s="610">
        <f t="shared" si="55"/>
        <v>22894.920000000002</v>
      </c>
      <c r="N114" s="610">
        <f t="shared" si="55"/>
        <v>25828.730000000003</v>
      </c>
      <c r="O114" s="610">
        <f t="shared" si="55"/>
        <v>22247.9</v>
      </c>
      <c r="P114" s="610">
        <f t="shared" si="55"/>
        <v>15804.26</v>
      </c>
      <c r="Q114" s="610">
        <f t="shared" si="55"/>
        <v>12545.25</v>
      </c>
      <c r="R114" s="610">
        <f t="shared" si="55"/>
        <v>15931.29</v>
      </c>
      <c r="S114" s="610">
        <f t="shared" si="55"/>
        <v>10829.8</v>
      </c>
      <c r="T114" s="610">
        <f t="shared" si="55"/>
        <v>17606.829999999998</v>
      </c>
      <c r="U114" s="610">
        <f t="shared" si="55"/>
        <v>20481.780000000002</v>
      </c>
      <c r="V114" s="610">
        <f t="shared" si="55"/>
        <v>21953.96</v>
      </c>
      <c r="W114" s="610">
        <f t="shared" si="55"/>
        <v>0</v>
      </c>
      <c r="X114" s="610">
        <f t="shared" si="55"/>
        <v>18179.32</v>
      </c>
      <c r="Y114" s="610">
        <f t="shared" si="55"/>
        <v>0</v>
      </c>
      <c r="Z114" s="610">
        <f t="shared" si="55"/>
        <v>44685.120000000003</v>
      </c>
      <c r="AA114" s="610">
        <f t="shared" si="55"/>
        <v>0</v>
      </c>
      <c r="AB114" s="610">
        <f t="shared" si="55"/>
        <v>22633.73</v>
      </c>
      <c r="AC114" s="610">
        <f t="shared" si="55"/>
        <v>0</v>
      </c>
      <c r="AD114" s="610">
        <f t="shared" si="55"/>
        <v>21393.8</v>
      </c>
      <c r="AE114" s="610">
        <f t="shared" si="55"/>
        <v>0</v>
      </c>
      <c r="AF114" s="1010"/>
    </row>
    <row r="115" spans="1:32" s="509" customFormat="1" ht="31.5" x14ac:dyDescent="0.25">
      <c r="A115" s="296" t="s">
        <v>174</v>
      </c>
      <c r="B115" s="608">
        <f t="shared" ref="B115:AE115" si="56">B103+B12+B47+B68+B75+B82+B89+B96</f>
        <v>0</v>
      </c>
      <c r="C115" s="610">
        <f t="shared" si="56"/>
        <v>0</v>
      </c>
      <c r="D115" s="610">
        <f t="shared" si="56"/>
        <v>0</v>
      </c>
      <c r="E115" s="610">
        <f t="shared" si="56"/>
        <v>0</v>
      </c>
      <c r="F115" s="610">
        <f t="shared" si="56"/>
        <v>0</v>
      </c>
      <c r="G115" s="610">
        <f t="shared" si="56"/>
        <v>0</v>
      </c>
      <c r="H115" s="610">
        <f t="shared" si="56"/>
        <v>0</v>
      </c>
      <c r="I115" s="610">
        <f t="shared" si="56"/>
        <v>0</v>
      </c>
      <c r="J115" s="610">
        <f t="shared" si="56"/>
        <v>0</v>
      </c>
      <c r="K115" s="610">
        <f t="shared" si="56"/>
        <v>0</v>
      </c>
      <c r="L115" s="610">
        <f t="shared" si="56"/>
        <v>0</v>
      </c>
      <c r="M115" s="610">
        <f t="shared" si="56"/>
        <v>0</v>
      </c>
      <c r="N115" s="610">
        <f t="shared" si="56"/>
        <v>0</v>
      </c>
      <c r="O115" s="610">
        <f t="shared" si="56"/>
        <v>0</v>
      </c>
      <c r="P115" s="610">
        <f t="shared" si="56"/>
        <v>0</v>
      </c>
      <c r="Q115" s="610">
        <f t="shared" si="56"/>
        <v>0</v>
      </c>
      <c r="R115" s="610">
        <f t="shared" si="56"/>
        <v>0</v>
      </c>
      <c r="S115" s="610">
        <f t="shared" si="56"/>
        <v>0</v>
      </c>
      <c r="T115" s="610">
        <f t="shared" si="56"/>
        <v>0</v>
      </c>
      <c r="U115" s="610">
        <f t="shared" si="56"/>
        <v>0</v>
      </c>
      <c r="V115" s="610">
        <f t="shared" si="56"/>
        <v>0</v>
      </c>
      <c r="W115" s="610">
        <f t="shared" si="56"/>
        <v>0</v>
      </c>
      <c r="X115" s="610">
        <f t="shared" si="56"/>
        <v>0</v>
      </c>
      <c r="Y115" s="610">
        <f t="shared" si="56"/>
        <v>0</v>
      </c>
      <c r="Z115" s="610">
        <f t="shared" si="56"/>
        <v>0</v>
      </c>
      <c r="AA115" s="610">
        <f t="shared" si="56"/>
        <v>0</v>
      </c>
      <c r="AB115" s="610">
        <f t="shared" si="56"/>
        <v>0</v>
      </c>
      <c r="AC115" s="610">
        <f t="shared" si="56"/>
        <v>0</v>
      </c>
      <c r="AD115" s="610">
        <f t="shared" si="56"/>
        <v>0</v>
      </c>
      <c r="AE115" s="610">
        <f t="shared" si="56"/>
        <v>0</v>
      </c>
      <c r="AF115" s="1010"/>
    </row>
    <row r="116" spans="1:32" s="509" customFormat="1" ht="15.75" x14ac:dyDescent="0.25">
      <c r="A116" s="284" t="s">
        <v>221</v>
      </c>
      <c r="B116" s="608">
        <f t="shared" ref="B116:AE116" si="57">B104+B13+B48+B69+B76+B83+B90+B97</f>
        <v>0</v>
      </c>
      <c r="C116" s="610">
        <f t="shared" si="57"/>
        <v>0</v>
      </c>
      <c r="D116" s="610">
        <f t="shared" si="57"/>
        <v>0</v>
      </c>
      <c r="E116" s="610">
        <f t="shared" si="57"/>
        <v>0</v>
      </c>
      <c r="F116" s="610">
        <f t="shared" si="57"/>
        <v>0</v>
      </c>
      <c r="G116" s="610">
        <f t="shared" si="57"/>
        <v>0</v>
      </c>
      <c r="H116" s="610">
        <f t="shared" si="57"/>
        <v>0</v>
      </c>
      <c r="I116" s="610">
        <f t="shared" si="57"/>
        <v>0</v>
      </c>
      <c r="J116" s="610">
        <f t="shared" si="57"/>
        <v>0</v>
      </c>
      <c r="K116" s="610">
        <f t="shared" si="57"/>
        <v>0</v>
      </c>
      <c r="L116" s="610">
        <f t="shared" si="57"/>
        <v>0</v>
      </c>
      <c r="M116" s="610">
        <f t="shared" si="57"/>
        <v>0</v>
      </c>
      <c r="N116" s="610">
        <f t="shared" si="57"/>
        <v>0</v>
      </c>
      <c r="O116" s="610">
        <f t="shared" si="57"/>
        <v>0</v>
      </c>
      <c r="P116" s="610">
        <f t="shared" si="57"/>
        <v>0</v>
      </c>
      <c r="Q116" s="610">
        <f t="shared" si="57"/>
        <v>0</v>
      </c>
      <c r="R116" s="610">
        <f t="shared" si="57"/>
        <v>0</v>
      </c>
      <c r="S116" s="610">
        <f t="shared" si="57"/>
        <v>0</v>
      </c>
      <c r="T116" s="610">
        <f t="shared" si="57"/>
        <v>0</v>
      </c>
      <c r="U116" s="610">
        <f t="shared" si="57"/>
        <v>0</v>
      </c>
      <c r="V116" s="610">
        <f t="shared" si="57"/>
        <v>0</v>
      </c>
      <c r="W116" s="610">
        <f t="shared" si="57"/>
        <v>0</v>
      </c>
      <c r="X116" s="610">
        <f t="shared" si="57"/>
        <v>0</v>
      </c>
      <c r="Y116" s="610">
        <f t="shared" si="57"/>
        <v>0</v>
      </c>
      <c r="Z116" s="610">
        <f t="shared" si="57"/>
        <v>0</v>
      </c>
      <c r="AA116" s="610">
        <f t="shared" si="57"/>
        <v>0</v>
      </c>
      <c r="AB116" s="610">
        <f t="shared" si="57"/>
        <v>0</v>
      </c>
      <c r="AC116" s="610">
        <f t="shared" si="57"/>
        <v>0</v>
      </c>
      <c r="AD116" s="610">
        <f t="shared" si="57"/>
        <v>0</v>
      </c>
      <c r="AE116" s="610">
        <f t="shared" si="57"/>
        <v>0</v>
      </c>
      <c r="AF116" s="1010"/>
    </row>
  </sheetData>
  <customSheetViews>
    <customSheetView guid="{7C130984-112A-4861-AA43-E2940708E3DC}" scale="80" state="hidden">
      <pane xSplit="7" ySplit="7" topLeftCell="H95" activePane="bottomRight" state="frozen"/>
      <selection pane="bottomRight" activeCell="A6" sqref="A6:AE6"/>
      <pageMargins left="0.7" right="0.7" top="0.75" bottom="0.75" header="0.3" footer="0.3"/>
    </customSheetView>
    <customSheetView guid="{3C3F523F-5F34-4CF7-831E-F1ABC4278CEB}" scale="80">
      <pane xSplit="7" ySplit="7" topLeftCell="H95" activePane="bottomRight" state="frozen"/>
      <selection pane="bottomRight" activeCell="A6" sqref="A6:AE6"/>
      <pageMargins left="0.7" right="0.7" top="0.75" bottom="0.75" header="0.3" footer="0.3"/>
    </customSheetView>
    <customSheetView guid="{D01FA037-9AEC-4167-ADB8-2F327C01ECE6}" scale="80">
      <pane xSplit="7" ySplit="7" topLeftCell="H95" activePane="bottomRight" state="frozen"/>
      <selection pane="bottomRight" activeCell="A6" sqref="A6:AE6"/>
      <pageMargins left="0.7" right="0.7" top="0.75" bottom="0.75" header="0.3" footer="0.3"/>
    </customSheetView>
    <customSheetView guid="{602C8EDB-B9EF-4C85-B0D5-0558C3A0ABAB}" scale="80">
      <pane xSplit="7" ySplit="7" topLeftCell="H95" activePane="bottomRight" state="frozen"/>
      <selection pane="bottomRight" activeCell="A6" sqref="A6:AE6"/>
      <pageMargins left="0.7" right="0.7" top="0.75" bottom="0.75" header="0.3" footer="0.3"/>
    </customSheetView>
    <customSheetView guid="{69DABE6F-6182-4403-A4A2-969F10F1C13A}" scale="80">
      <pane xSplit="7" ySplit="7" topLeftCell="H95" activePane="bottomRight" state="frozen"/>
      <selection pane="bottomRight" activeCell="A6" sqref="A6:AE6"/>
      <pageMargins left="0.7" right="0.7" top="0.75" bottom="0.75" header="0.3" footer="0.3"/>
    </customSheetView>
    <customSheetView guid="{E508E171-4ED9-4B07-84DF-DA28C60E1969}" scale="80">
      <pane xSplit="7" ySplit="7" topLeftCell="H95" activePane="bottomRight" state="frozen"/>
      <selection pane="bottomRight" activeCell="AF101" sqref="AF101"/>
      <pageMargins left="0.7" right="0.7" top="0.75" bottom="0.75" header="0.3" footer="0.3"/>
    </customSheetView>
    <customSheetView guid="{AC2D5927-4079-4C74-AF69-1BFAC505648F}" scale="80">
      <pane xSplit="7" ySplit="7" topLeftCell="H91" activePane="bottomRight" state="frozen"/>
      <selection pane="bottomRight" activeCell="C108" sqref="C108"/>
      <pageMargins left="0.7" right="0.7" top="0.75" bottom="0.75" header="0.3" footer="0.3"/>
    </customSheetView>
    <customSheetView guid="{442F2C94-DD1B-4A01-8694-513D4D6F3BD9}" scale="80">
      <pane xSplit="7" ySplit="7" topLeftCell="H91" activePane="bottomRight" state="frozen"/>
      <selection pane="bottomRight" activeCell="C108" sqref="C108"/>
      <pageMargins left="0.7" right="0.7" top="0.75" bottom="0.75" header="0.3" footer="0.3"/>
    </customSheetView>
    <customSheetView guid="{CE1CCA00-200D-4EAA-9FBE-F8EE7C5F82FE}" scale="80">
      <pane xSplit="7" ySplit="7" topLeftCell="H91" activePane="bottomRight" state="frozen"/>
      <selection pane="bottomRight" activeCell="C108" sqref="C108"/>
      <pageMargins left="0.7" right="0.7" top="0.75" bottom="0.75" header="0.3" footer="0.3"/>
    </customSheetView>
    <customSheetView guid="{4D0DFB57-2CBA-42F2-9A97-C453A6851FBA}" scale="80">
      <pane xSplit="7" ySplit="7" topLeftCell="H91" activePane="bottomRight" state="frozen"/>
      <selection pane="bottomRight" activeCell="C108" sqref="C108"/>
      <pageMargins left="0.7" right="0.7" top="0.75" bottom="0.75" header="0.3" footer="0.3"/>
    </customSheetView>
    <customSheetView guid="{85F4575B-DBC5-482A-9916-255D8F0BC94E}" scale="80">
      <pane xSplit="7" ySplit="7" topLeftCell="AF74" activePane="bottomRight" state="frozen"/>
      <selection pane="bottomRight" activeCell="AF78" sqref="AF78"/>
      <pageMargins left="0.7" right="0.7" top="0.75" bottom="0.75" header="0.3" footer="0.3"/>
    </customSheetView>
    <customSheetView guid="{B1BF08D1-D416-4B47-ADD0-4F59132DC9E8}" scale="80">
      <pane xSplit="7" ySplit="7" topLeftCell="AF74" activePane="bottomRight" state="frozen"/>
      <selection pane="bottomRight" activeCell="AF78" sqref="AF78"/>
      <pageMargins left="0.7" right="0.7" top="0.75" bottom="0.75" header="0.3" footer="0.3"/>
    </customSheetView>
    <customSheetView guid="{BCD82A82-B724-4763-8580-D765356E09BA}" scale="70">
      <pane ySplit="5" topLeftCell="A6" activePane="bottomLeft" state="frozen"/>
      <selection pane="bottomLeft" sqref="A1:W1"/>
      <pageMargins left="0.7" right="0.7" top="0.75" bottom="0.75" header="0.3" footer="0.3"/>
    </customSheetView>
    <customSheetView guid="{C236B307-BD63-48C4-A75F-B3F3717BF55C}" scale="70">
      <pane xSplit="1" ySplit="4" topLeftCell="B17" activePane="bottomRight" state="frozen"/>
      <selection pane="bottomRight" activeCell="B39" sqref="B39"/>
      <pageMargins left="0.7" right="0.7" top="0.75" bottom="0.75" header="0.3" footer="0.3"/>
    </customSheetView>
    <customSheetView guid="{874882D1-E741-4CCA-BF0D-E72FA60B771D}" scale="70">
      <pane xSplit="1" ySplit="4" topLeftCell="B17" activePane="bottomRight" state="frozen"/>
      <selection pane="bottomRight" activeCell="B39" sqref="B39"/>
      <pageMargins left="0.7" right="0.7" top="0.75" bottom="0.75" header="0.3" footer="0.3"/>
    </customSheetView>
    <customSheetView guid="{B82BA08A-1A30-4F4D-A478-74A6BD09EA97}" scale="70">
      <pane xSplit="1" ySplit="4" topLeftCell="B17" activePane="bottomRight" state="frozen"/>
      <selection pane="bottomRight" activeCell="B39" sqref="B39"/>
      <pageMargins left="0.7" right="0.7" top="0.75" bottom="0.75" header="0.3" footer="0.3"/>
    </customSheetView>
    <customSheetView guid="{770624BF-07F3-44B6-94C3-4CC447CDD45C}" scale="80">
      <pane xSplit="1" ySplit="4" topLeftCell="C74" activePane="bottomRight" state="frozen"/>
      <selection pane="bottomRight" activeCell="H115" sqref="H115"/>
      <pageMargins left="0.7" right="0.7" top="0.75" bottom="0.75" header="0.3" footer="0.3"/>
    </customSheetView>
    <customSheetView guid="{009B3074-D8EC-4952-BF50-43CD64449612}" scale="80">
      <pane xSplit="1" ySplit="4" topLeftCell="B11" activePane="bottomRight" state="frozen"/>
      <selection pane="bottomRight" activeCell="H24" sqref="H24"/>
      <pageMargins left="0.7" right="0.7" top="0.75" bottom="0.75" header="0.3" footer="0.3"/>
    </customSheetView>
    <customSheetView guid="{F679EF4A-C5FD-4B86-B87B-D85968E0F2CA}" scale="80">
      <pane xSplit="7" ySplit="7" topLeftCell="S92" activePane="bottomRight" state="frozen"/>
      <selection pane="bottomRight" activeCell="B101" sqref="B101"/>
      <pageMargins left="0.7" right="0.7" top="0.75" bottom="0.75" header="0.3" footer="0.3"/>
    </customSheetView>
    <customSheetView guid="{959E901C-5DDE-42EE-AE94-AB8976B5E00B}" scale="80">
      <pane xSplit="7" ySplit="7" topLeftCell="AF74" activePane="bottomRight" state="frozen"/>
      <selection pane="bottomRight" activeCell="AF78" sqref="AF78"/>
      <pageMargins left="0.7" right="0.7" top="0.75" bottom="0.75" header="0.3" footer="0.3"/>
    </customSheetView>
    <customSheetView guid="{533DC55B-6AD4-4674-9488-685EF2039F3E}" scale="80">
      <pane xSplit="7" ySplit="7" topLeftCell="AF74" activePane="bottomRight" state="frozen"/>
      <selection pane="bottomRight" activeCell="AM89" sqref="AM89"/>
      <pageMargins left="0.7" right="0.7" top="0.75" bottom="0.75" header="0.3" footer="0.3"/>
    </customSheetView>
    <customSheetView guid="{87218168-6C8E-4D5B-A5E5-DCCC26803AA3}" scale="80">
      <pane xSplit="7" ySplit="7" topLeftCell="AF74" activePane="bottomRight" state="frozen"/>
      <selection pane="bottomRight" activeCell="AM89" sqref="AM89"/>
      <pageMargins left="0.7" right="0.7" top="0.75" bottom="0.75" header="0.3" footer="0.3"/>
    </customSheetView>
    <customSheetView guid="{DAA8A688-7558-4B5B-8DBD-E2629BD9E9A8}" scale="80">
      <pane xSplit="7" ySplit="7" topLeftCell="H91" activePane="bottomRight" state="frozen"/>
      <selection pane="bottomRight" activeCell="C108" sqref="C108"/>
      <pageMargins left="0.7" right="0.7" top="0.75" bottom="0.75" header="0.3" footer="0.3"/>
    </customSheetView>
    <customSheetView guid="{391AB76E-B386-49C1-800F-016A48AA1A46}" scale="80">
      <pane xSplit="7" ySplit="7" topLeftCell="H91" activePane="bottomRight" state="frozen"/>
      <selection pane="bottomRight" activeCell="C108" sqref="C108"/>
      <pageMargins left="0.7" right="0.7" top="0.75" bottom="0.75" header="0.3" footer="0.3"/>
    </customSheetView>
    <customSheetView guid="{09C3E205-981E-4A4E-BE89-8B7044192060}" scale="80">
      <pane xSplit="7" ySplit="7" topLeftCell="H91" activePane="bottomRight" state="frozen"/>
      <selection pane="bottomRight" activeCell="C108" sqref="C108"/>
      <pageMargins left="0.7" right="0.7" top="0.75" bottom="0.75" header="0.3" footer="0.3"/>
    </customSheetView>
    <customSheetView guid="{84867370-1F3E-4368-AF79-FBCE46FFFE92}" scale="80">
      <pane xSplit="7" ySplit="7" topLeftCell="H91" activePane="bottomRight" state="frozen"/>
      <selection pane="bottomRight" activeCell="C108" sqref="C108"/>
      <pageMargins left="0.7" right="0.7" top="0.75" bottom="0.75" header="0.3" footer="0.3"/>
    </customSheetView>
    <customSheetView guid="{0C2B9C2A-7B94-41EF-A2E6-F8AC9A67DE25}" scale="80">
      <pane xSplit="7" ySplit="7" topLeftCell="H91" activePane="bottomRight" state="frozen"/>
      <selection pane="bottomRight" activeCell="C108" sqref="C108"/>
      <pageMargins left="0.7" right="0.7" top="0.75" bottom="0.75" header="0.3" footer="0.3"/>
    </customSheetView>
    <customSheetView guid="{CB4792DB-A624-4844-AEB6-A6ADA80946BB}" scale="80">
      <pane xSplit="7" ySplit="7" topLeftCell="H91" activePane="bottomRight" state="frozen"/>
      <selection pane="bottomRight" activeCell="C108" sqref="C108"/>
      <pageMargins left="0.7" right="0.7" top="0.75" bottom="0.75" header="0.3" footer="0.3"/>
    </customSheetView>
    <customSheetView guid="{74870EE6-26B9-40F7-9DC9-260EF16D8959}" scale="80">
      <pane xSplit="7" ySplit="7" topLeftCell="H91" activePane="bottomRight" state="frozen"/>
      <selection pane="bottomRight" activeCell="C108" sqref="C108"/>
      <pageMargins left="0.7" right="0.7" top="0.75" bottom="0.75" header="0.3" footer="0.3"/>
    </customSheetView>
    <customSheetView guid="{6A602CB8-B24C-4ED4-B378-B27354BE0A1A}" scale="80">
      <pane xSplit="7" ySplit="7" topLeftCell="H95" activePane="bottomRight" state="frozen"/>
      <selection pane="bottomRight" activeCell="A6" sqref="A6:AE6"/>
      <pageMargins left="0.7" right="0.7" top="0.75" bottom="0.75" header="0.3" footer="0.3"/>
    </customSheetView>
    <customSheetView guid="{4F41B9CC-959D-442C-80B0-1F0DB2C76D27}" scale="80">
      <pane xSplit="7" ySplit="6" topLeftCell="H95" activePane="bottomRight" state="frozen"/>
      <selection pane="bottomRight" activeCell="A6" sqref="A6:AE6"/>
      <pageMargins left="0.7" right="0.7" top="0.75" bottom="0.75" header="0.3" footer="0.3"/>
    </customSheetView>
    <customSheetView guid="{47B983AB-FE5F-4725-860C-A2F29420596D}" scale="80">
      <pane xSplit="7" ySplit="7" topLeftCell="H95" activePane="bottomRight" state="frozen"/>
      <selection pane="bottomRight" activeCell="A6" sqref="A6:AE6"/>
      <pageMargins left="0.7" right="0.7" top="0.75" bottom="0.75" header="0.3" footer="0.3"/>
    </customSheetView>
  </customSheetViews>
  <mergeCells count="21">
    <mergeCell ref="A1:W1"/>
    <mergeCell ref="A3:A4"/>
    <mergeCell ref="B3:B4"/>
    <mergeCell ref="C3:C4"/>
    <mergeCell ref="D3:D4"/>
    <mergeCell ref="E3:E4"/>
    <mergeCell ref="F3:G3"/>
    <mergeCell ref="H3:I3"/>
    <mergeCell ref="J3:K3"/>
    <mergeCell ref="L3:M3"/>
    <mergeCell ref="N3:O3"/>
    <mergeCell ref="P3:Q3"/>
    <mergeCell ref="AB3:AC3"/>
    <mergeCell ref="AD3:AE3"/>
    <mergeCell ref="AF3:AF4"/>
    <mergeCell ref="A6:AE6"/>
    <mergeCell ref="R3:S3"/>
    <mergeCell ref="T3:U3"/>
    <mergeCell ref="V3:W3"/>
    <mergeCell ref="X3:Y3"/>
    <mergeCell ref="Z3:AA3"/>
  </mergeCells>
  <hyperlinks>
    <hyperlink ref="A1:W1" location="Оглавление!A1" display="Отчет о ходе реализации (сетевой график) муниципальной программы «Содержание объектов городского хозяйства и инженерной инфраструктуры в городе Когалыме» "/>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zoomScale="60" zoomScaleNormal="60" workbookViewId="0">
      <pane xSplit="2" ySplit="7" topLeftCell="I20" activePane="bottomRight" state="frozen"/>
      <selection pane="topRight" activeCell="C1" sqref="C1"/>
      <selection pane="bottomLeft" activeCell="A8" sqref="A8"/>
      <selection pane="bottomRight" activeCell="AF23" sqref="AF23"/>
    </sheetView>
  </sheetViews>
  <sheetFormatPr defaultRowHeight="15" x14ac:dyDescent="0.25"/>
  <cols>
    <col min="1" max="1" width="51.140625" customWidth="1"/>
    <col min="2" max="2" width="17.42578125" customWidth="1"/>
    <col min="3" max="3" width="15.42578125" bestFit="1" customWidth="1"/>
    <col min="4" max="4" width="17" customWidth="1"/>
    <col min="5" max="5" width="15.42578125" bestFit="1" customWidth="1"/>
    <col min="6" max="6" width="16.5703125" bestFit="1" customWidth="1"/>
    <col min="7" max="8" width="13.42578125" bestFit="1" customWidth="1"/>
    <col min="9" max="9" width="13.5703125" bestFit="1" customWidth="1"/>
    <col min="10" max="10" width="17.28515625" bestFit="1" customWidth="1"/>
    <col min="11" max="11" width="13.5703125" bestFit="1" customWidth="1"/>
    <col min="12" max="12" width="14.85546875" bestFit="1" customWidth="1"/>
    <col min="13" max="13" width="13.5703125" bestFit="1" customWidth="1"/>
    <col min="14" max="14" width="17.28515625" bestFit="1" customWidth="1"/>
    <col min="15" max="15" width="13.5703125" bestFit="1"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3.28515625"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3.42578125" bestFit="1" customWidth="1"/>
    <col min="31" max="31" width="13.5703125" bestFit="1" customWidth="1"/>
    <col min="32" max="32" width="32.140625" customWidth="1"/>
  </cols>
  <sheetData>
    <row r="1" spans="1:32" ht="18.75" x14ac:dyDescent="0.25">
      <c r="A1" s="1050" t="s">
        <v>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row>
    <row r="2" spans="1:32" ht="18.75" x14ac:dyDescent="0.25">
      <c r="A2" s="1051" t="s">
        <v>47</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 t="s">
        <v>1</v>
      </c>
    </row>
    <row r="3" spans="1:32" ht="75" customHeight="1" x14ac:dyDescent="0.25">
      <c r="A3" s="1043" t="s">
        <v>2</v>
      </c>
      <c r="B3" s="1052" t="s">
        <v>3</v>
      </c>
      <c r="C3" s="1052" t="s">
        <v>3</v>
      </c>
      <c r="D3" s="1052" t="s">
        <v>4</v>
      </c>
      <c r="E3" s="1054" t="s">
        <v>5</v>
      </c>
      <c r="F3" s="1046" t="s">
        <v>6</v>
      </c>
      <c r="G3" s="1047"/>
      <c r="H3" s="1046" t="s">
        <v>7</v>
      </c>
      <c r="I3" s="1047"/>
      <c r="J3" s="1046" t="s">
        <v>8</v>
      </c>
      <c r="K3" s="1047"/>
      <c r="L3" s="1046" t="s">
        <v>9</v>
      </c>
      <c r="M3" s="1047"/>
      <c r="N3" s="1046" t="s">
        <v>10</v>
      </c>
      <c r="O3" s="1047"/>
      <c r="P3" s="1046" t="s">
        <v>11</v>
      </c>
      <c r="Q3" s="1047"/>
      <c r="R3" s="1046" t="s">
        <v>12</v>
      </c>
      <c r="S3" s="1047"/>
      <c r="T3" s="1046" t="s">
        <v>13</v>
      </c>
      <c r="U3" s="1047"/>
      <c r="V3" s="1046" t="s">
        <v>14</v>
      </c>
      <c r="W3" s="1047"/>
      <c r="X3" s="1046" t="s">
        <v>15</v>
      </c>
      <c r="Y3" s="1047"/>
      <c r="Z3" s="1046" t="s">
        <v>16</v>
      </c>
      <c r="AA3" s="1047"/>
      <c r="AB3" s="1046" t="s">
        <v>17</v>
      </c>
      <c r="AC3" s="1047"/>
      <c r="AD3" s="1046" t="s">
        <v>18</v>
      </c>
      <c r="AE3" s="1047"/>
      <c r="AF3" s="1043" t="s">
        <v>19</v>
      </c>
    </row>
    <row r="4" spans="1:32" ht="18.75" customHeight="1" x14ac:dyDescent="0.25">
      <c r="A4" s="1044"/>
      <c r="B4" s="1053"/>
      <c r="C4" s="1053"/>
      <c r="D4" s="1053"/>
      <c r="E4" s="1055"/>
      <c r="F4" s="1048"/>
      <c r="G4" s="1049"/>
      <c r="H4" s="1048"/>
      <c r="I4" s="1049"/>
      <c r="J4" s="1048"/>
      <c r="K4" s="1049"/>
      <c r="L4" s="1048"/>
      <c r="M4" s="1049"/>
      <c r="N4" s="1048"/>
      <c r="O4" s="1049"/>
      <c r="P4" s="1048"/>
      <c r="Q4" s="1049"/>
      <c r="R4" s="1048"/>
      <c r="S4" s="1049"/>
      <c r="T4" s="1048"/>
      <c r="U4" s="1049"/>
      <c r="V4" s="1048"/>
      <c r="W4" s="1049"/>
      <c r="X4" s="1048"/>
      <c r="Y4" s="1049"/>
      <c r="Z4" s="1048"/>
      <c r="AA4" s="1049"/>
      <c r="AB4" s="1048"/>
      <c r="AC4" s="1049"/>
      <c r="AD4" s="1048"/>
      <c r="AE4" s="1049"/>
      <c r="AF4" s="1044"/>
    </row>
    <row r="5" spans="1:32" ht="56.25" x14ac:dyDescent="0.25">
      <c r="A5" s="24"/>
      <c r="B5" s="3">
        <v>2024</v>
      </c>
      <c r="C5" s="4">
        <v>45505</v>
      </c>
      <c r="D5" s="4">
        <v>45505</v>
      </c>
      <c r="E5" s="4">
        <v>45505</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45"/>
    </row>
    <row r="6" spans="1:32"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18.75" x14ac:dyDescent="0.2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2" ht="56.25" customHeight="1" x14ac:dyDescent="0.25">
      <c r="A8" s="34" t="s">
        <v>41</v>
      </c>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21"/>
    </row>
    <row r="9" spans="1:32" ht="18.75" x14ac:dyDescent="0.25">
      <c r="A9" s="36" t="s">
        <v>54</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21"/>
    </row>
    <row r="10" spans="1:32" ht="75" x14ac:dyDescent="0.3">
      <c r="A10" s="28" t="s">
        <v>42</v>
      </c>
      <c r="B10" s="32"/>
      <c r="C10" s="32"/>
      <c r="D10" s="32"/>
      <c r="E10" s="32"/>
      <c r="F10" s="32"/>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27"/>
    </row>
    <row r="11" spans="1:32" ht="18.75" x14ac:dyDescent="0.3">
      <c r="A11" s="28" t="s">
        <v>65</v>
      </c>
      <c r="B11" s="32">
        <f>B12</f>
        <v>476.5</v>
      </c>
      <c r="C11" s="32">
        <f>C12</f>
        <v>476.5</v>
      </c>
      <c r="D11" s="32">
        <f>D12</f>
        <v>246.5</v>
      </c>
      <c r="E11" s="32">
        <f>E12</f>
        <v>246.5</v>
      </c>
      <c r="F11" s="32">
        <f>IFERROR(E11/B11*100,0)</f>
        <v>51.731374606505774</v>
      </c>
      <c r="G11" s="31">
        <f>IFERROR(E11/C11*100,0)</f>
        <v>51.731374606505774</v>
      </c>
      <c r="H11" s="32">
        <f>H12</f>
        <v>0</v>
      </c>
      <c r="I11" s="32">
        <f t="shared" ref="I11:AE11" si="0">I12</f>
        <v>0</v>
      </c>
      <c r="J11" s="32">
        <f t="shared" si="0"/>
        <v>0</v>
      </c>
      <c r="K11" s="32">
        <f t="shared" si="0"/>
        <v>0</v>
      </c>
      <c r="L11" s="32">
        <f t="shared" si="0"/>
        <v>0</v>
      </c>
      <c r="M11" s="32">
        <f t="shared" si="0"/>
        <v>0</v>
      </c>
      <c r="N11" s="32">
        <f t="shared" si="0"/>
        <v>476.5</v>
      </c>
      <c r="O11" s="32">
        <f t="shared" si="0"/>
        <v>0</v>
      </c>
      <c r="P11" s="32">
        <f t="shared" si="0"/>
        <v>0</v>
      </c>
      <c r="Q11" s="32">
        <f t="shared" si="0"/>
        <v>0</v>
      </c>
      <c r="R11" s="32">
        <f t="shared" si="0"/>
        <v>0</v>
      </c>
      <c r="S11" s="32">
        <f>S12</f>
        <v>246.5</v>
      </c>
      <c r="T11" s="32">
        <f>T12</f>
        <v>0</v>
      </c>
      <c r="U11" s="32">
        <f>U12</f>
        <v>0</v>
      </c>
      <c r="V11" s="32">
        <f t="shared" si="0"/>
        <v>0</v>
      </c>
      <c r="W11" s="32">
        <f t="shared" si="0"/>
        <v>0</v>
      </c>
      <c r="X11" s="32">
        <f t="shared" si="0"/>
        <v>0</v>
      </c>
      <c r="Y11" s="32">
        <f t="shared" si="0"/>
        <v>0</v>
      </c>
      <c r="Z11" s="32">
        <f t="shared" si="0"/>
        <v>0</v>
      </c>
      <c r="AA11" s="32">
        <f t="shared" si="0"/>
        <v>0</v>
      </c>
      <c r="AB11" s="32">
        <f t="shared" si="0"/>
        <v>0</v>
      </c>
      <c r="AC11" s="32">
        <f t="shared" si="0"/>
        <v>0</v>
      </c>
      <c r="AD11" s="32">
        <f t="shared" si="0"/>
        <v>0</v>
      </c>
      <c r="AE11" s="32">
        <f t="shared" si="0"/>
        <v>0</v>
      </c>
      <c r="AF11" s="27"/>
    </row>
    <row r="12" spans="1:32" ht="18.75" x14ac:dyDescent="0.3">
      <c r="A12" s="7" t="s">
        <v>32</v>
      </c>
      <c r="B12" s="32">
        <f>B15+B18+B21</f>
        <v>476.5</v>
      </c>
      <c r="C12" s="32">
        <f>C15+C18+C21</f>
        <v>476.5</v>
      </c>
      <c r="D12" s="32">
        <f>E12</f>
        <v>246.5</v>
      </c>
      <c r="E12" s="32">
        <f>I12+K12+M12+O12+Q12+S12+U12+W12+Y12+AA12+AC12+AE12</f>
        <v>246.5</v>
      </c>
      <c r="F12" s="32">
        <f>E12/B12*100</f>
        <v>51.731374606505774</v>
      </c>
      <c r="G12" s="31">
        <f>E12/C12*100</f>
        <v>51.731374606505774</v>
      </c>
      <c r="H12" s="31">
        <f>H14</f>
        <v>0</v>
      </c>
      <c r="I12" s="31"/>
      <c r="J12" s="31">
        <f t="shared" ref="J12:Q12" si="1">J14</f>
        <v>0</v>
      </c>
      <c r="K12" s="31">
        <f t="shared" si="1"/>
        <v>0</v>
      </c>
      <c r="L12" s="31">
        <f t="shared" si="1"/>
        <v>0</v>
      </c>
      <c r="M12" s="31">
        <f t="shared" si="1"/>
        <v>0</v>
      </c>
      <c r="N12" s="31">
        <f t="shared" si="1"/>
        <v>476.5</v>
      </c>
      <c r="O12" s="31">
        <f t="shared" si="1"/>
        <v>0</v>
      </c>
      <c r="P12" s="31">
        <f t="shared" si="1"/>
        <v>0</v>
      </c>
      <c r="Q12" s="31">
        <f t="shared" si="1"/>
        <v>0</v>
      </c>
      <c r="R12" s="31"/>
      <c r="S12" s="31">
        <f>S14</f>
        <v>246.5</v>
      </c>
      <c r="T12" s="31"/>
      <c r="U12" s="31">
        <f>U14</f>
        <v>0</v>
      </c>
      <c r="V12" s="31"/>
      <c r="W12" s="31">
        <f>W14</f>
        <v>0</v>
      </c>
      <c r="X12" s="31"/>
      <c r="Y12" s="31">
        <f>Y14</f>
        <v>0</v>
      </c>
      <c r="Z12" s="31"/>
      <c r="AA12" s="31">
        <f>AA14</f>
        <v>0</v>
      </c>
      <c r="AB12" s="31"/>
      <c r="AC12" s="31">
        <f>AC14</f>
        <v>0</v>
      </c>
      <c r="AD12" s="31"/>
      <c r="AE12" s="31">
        <f>AE14</f>
        <v>0</v>
      </c>
      <c r="AF12" s="27"/>
    </row>
    <row r="13" spans="1:32" ht="56.25" x14ac:dyDescent="0.3">
      <c r="A13" s="7" t="s">
        <v>43</v>
      </c>
      <c r="B13" s="32"/>
      <c r="C13" s="32"/>
      <c r="D13" s="32"/>
      <c r="E13" s="32"/>
      <c r="F13" s="32"/>
      <c r="G13" s="31"/>
      <c r="H13" s="32"/>
      <c r="I13" s="32"/>
      <c r="J13" s="32"/>
      <c r="K13" s="32"/>
      <c r="L13" s="32"/>
      <c r="M13" s="32"/>
      <c r="N13" s="32"/>
      <c r="O13" s="32"/>
      <c r="P13" s="32"/>
      <c r="Q13" s="32"/>
      <c r="R13" s="32"/>
      <c r="S13" s="32"/>
      <c r="T13" s="32"/>
      <c r="U13" s="32"/>
      <c r="V13" s="32"/>
      <c r="W13" s="32"/>
      <c r="X13" s="32"/>
      <c r="Y13" s="32"/>
      <c r="Z13" s="32"/>
      <c r="AA13" s="32"/>
      <c r="AB13" s="32"/>
      <c r="AC13" s="32"/>
      <c r="AD13" s="32"/>
      <c r="AE13" s="32"/>
      <c r="AF13" s="27"/>
    </row>
    <row r="14" spans="1:32" ht="18.75" x14ac:dyDescent="0.3">
      <c r="A14" s="7" t="s">
        <v>65</v>
      </c>
      <c r="B14" s="32">
        <f>B15</f>
        <v>476.5</v>
      </c>
      <c r="C14" s="32">
        <f>C15</f>
        <v>476.5</v>
      </c>
      <c r="D14" s="32">
        <f>D15</f>
        <v>246.5</v>
      </c>
      <c r="E14" s="32">
        <f>E15</f>
        <v>246.5</v>
      </c>
      <c r="F14" s="32">
        <f>E14/B14*100</f>
        <v>51.731374606505774</v>
      </c>
      <c r="G14" s="31">
        <f>E14/C14*100</f>
        <v>51.731374606505774</v>
      </c>
      <c r="H14" s="32">
        <f>H15</f>
        <v>0</v>
      </c>
      <c r="I14" s="32">
        <f t="shared" ref="I14:AE14" si="2">I15</f>
        <v>0</v>
      </c>
      <c r="J14" s="32">
        <f t="shared" si="2"/>
        <v>0</v>
      </c>
      <c r="K14" s="32">
        <f t="shared" si="2"/>
        <v>0</v>
      </c>
      <c r="L14" s="32">
        <f t="shared" si="2"/>
        <v>0</v>
      </c>
      <c r="M14" s="32">
        <f t="shared" si="2"/>
        <v>0</v>
      </c>
      <c r="N14" s="32">
        <f>N15</f>
        <v>476.5</v>
      </c>
      <c r="O14" s="32">
        <f t="shared" si="2"/>
        <v>0</v>
      </c>
      <c r="P14" s="32">
        <f t="shared" si="2"/>
        <v>0</v>
      </c>
      <c r="Q14" s="32">
        <f t="shared" si="2"/>
        <v>0</v>
      </c>
      <c r="R14" s="32">
        <f t="shared" si="2"/>
        <v>0</v>
      </c>
      <c r="S14" s="32">
        <f t="shared" si="2"/>
        <v>246.5</v>
      </c>
      <c r="T14" s="32">
        <f t="shared" si="2"/>
        <v>0</v>
      </c>
      <c r="U14" s="32">
        <f t="shared" si="2"/>
        <v>0</v>
      </c>
      <c r="V14" s="32">
        <f t="shared" si="2"/>
        <v>0</v>
      </c>
      <c r="W14" s="32">
        <f t="shared" si="2"/>
        <v>0</v>
      </c>
      <c r="X14" s="32">
        <f t="shared" si="2"/>
        <v>0</v>
      </c>
      <c r="Y14" s="32">
        <f t="shared" si="2"/>
        <v>0</v>
      </c>
      <c r="Z14" s="32">
        <f t="shared" si="2"/>
        <v>0</v>
      </c>
      <c r="AA14" s="32">
        <f t="shared" si="2"/>
        <v>0</v>
      </c>
      <c r="AB14" s="32">
        <f t="shared" si="2"/>
        <v>0</v>
      </c>
      <c r="AC14" s="32">
        <f t="shared" si="2"/>
        <v>0</v>
      </c>
      <c r="AD14" s="32">
        <f t="shared" si="2"/>
        <v>0</v>
      </c>
      <c r="AE14" s="32">
        <f t="shared" si="2"/>
        <v>0</v>
      </c>
      <c r="AF14" s="27"/>
    </row>
    <row r="15" spans="1:32" ht="409.5" x14ac:dyDescent="0.3">
      <c r="A15" s="7" t="s">
        <v>32</v>
      </c>
      <c r="B15" s="32">
        <f>H15+J15+L15+N15+P15+R15+T15+V15+X15+Z15+AB15+AD15</f>
        <v>476.5</v>
      </c>
      <c r="C15" s="32">
        <f>H15+J15+L15+N15</f>
        <v>476.5</v>
      </c>
      <c r="D15" s="32">
        <f>E15</f>
        <v>246.5</v>
      </c>
      <c r="E15" s="32">
        <f>I15+K15+M15+O15+Q15+S15+U15+W15+Y15+AA15+AC15+AE15</f>
        <v>246.5</v>
      </c>
      <c r="F15" s="32">
        <f>E15/B15*100</f>
        <v>51.731374606505774</v>
      </c>
      <c r="G15" s="31">
        <f>E15/C15*100</f>
        <v>51.731374606505774</v>
      </c>
      <c r="H15" s="31"/>
      <c r="I15" s="31"/>
      <c r="J15" s="31"/>
      <c r="K15" s="31"/>
      <c r="L15" s="31"/>
      <c r="M15" s="31"/>
      <c r="N15" s="32">
        <v>476.5</v>
      </c>
      <c r="O15" s="31"/>
      <c r="P15" s="31"/>
      <c r="Q15" s="31"/>
      <c r="R15" s="31"/>
      <c r="S15" s="31">
        <v>246.5</v>
      </c>
      <c r="T15" s="31"/>
      <c r="U15" s="31"/>
      <c r="V15" s="31"/>
      <c r="W15" s="31"/>
      <c r="X15" s="31"/>
      <c r="Y15" s="31"/>
      <c r="Z15" s="31"/>
      <c r="AA15" s="31"/>
      <c r="AB15" s="31"/>
      <c r="AC15" s="31"/>
      <c r="AD15" s="31"/>
      <c r="AE15" s="31"/>
      <c r="AF15" s="802" t="s">
        <v>660</v>
      </c>
    </row>
    <row r="16" spans="1:32" ht="56.25" x14ac:dyDescent="0.3">
      <c r="A16" s="7" t="s">
        <v>44</v>
      </c>
      <c r="B16" s="32"/>
      <c r="C16" s="32"/>
      <c r="D16" s="32"/>
      <c r="E16" s="32"/>
      <c r="F16" s="32"/>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27"/>
    </row>
    <row r="17" spans="1:32" ht="18.75" x14ac:dyDescent="0.3">
      <c r="A17" s="7" t="s">
        <v>65</v>
      </c>
      <c r="B17" s="32">
        <f>B18</f>
        <v>0</v>
      </c>
      <c r="C17" s="32">
        <f>C18</f>
        <v>0</v>
      </c>
      <c r="D17" s="32">
        <f>D18</f>
        <v>0</v>
      </c>
      <c r="E17" s="32">
        <f>E18</f>
        <v>0</v>
      </c>
      <c r="F17" s="32" t="e">
        <f>E17/B17*100</f>
        <v>#DIV/0!</v>
      </c>
      <c r="G17" s="31" t="e">
        <f>E17/C17*100</f>
        <v>#DIV/0!</v>
      </c>
      <c r="H17" s="32">
        <f>H18</f>
        <v>0</v>
      </c>
      <c r="I17" s="32">
        <f t="shared" ref="I17:AE17" si="3">I18</f>
        <v>0</v>
      </c>
      <c r="J17" s="32">
        <f t="shared" si="3"/>
        <v>0</v>
      </c>
      <c r="K17" s="32">
        <f t="shared" si="3"/>
        <v>0</v>
      </c>
      <c r="L17" s="32">
        <f t="shared" si="3"/>
        <v>0</v>
      </c>
      <c r="M17" s="32">
        <f t="shared" si="3"/>
        <v>0</v>
      </c>
      <c r="N17" s="32">
        <f t="shared" si="3"/>
        <v>0</v>
      </c>
      <c r="O17" s="32">
        <f t="shared" si="3"/>
        <v>0</v>
      </c>
      <c r="P17" s="32">
        <f t="shared" si="3"/>
        <v>0</v>
      </c>
      <c r="Q17" s="32">
        <f t="shared" si="3"/>
        <v>0</v>
      </c>
      <c r="R17" s="32">
        <f t="shared" si="3"/>
        <v>0</v>
      </c>
      <c r="S17" s="32">
        <f t="shared" si="3"/>
        <v>0</v>
      </c>
      <c r="T17" s="32">
        <f t="shared" si="3"/>
        <v>0</v>
      </c>
      <c r="U17" s="32">
        <f t="shared" si="3"/>
        <v>0</v>
      </c>
      <c r="V17" s="32">
        <f t="shared" si="3"/>
        <v>0</v>
      </c>
      <c r="W17" s="32">
        <f t="shared" si="3"/>
        <v>0</v>
      </c>
      <c r="X17" s="32">
        <f t="shared" si="3"/>
        <v>0</v>
      </c>
      <c r="Y17" s="32">
        <f t="shared" si="3"/>
        <v>0</v>
      </c>
      <c r="Z17" s="32">
        <f t="shared" si="3"/>
        <v>0</v>
      </c>
      <c r="AA17" s="32">
        <f t="shared" si="3"/>
        <v>0</v>
      </c>
      <c r="AB17" s="32">
        <f t="shared" si="3"/>
        <v>0</v>
      </c>
      <c r="AC17" s="32">
        <f t="shared" si="3"/>
        <v>0</v>
      </c>
      <c r="AD17" s="32">
        <f t="shared" si="3"/>
        <v>0</v>
      </c>
      <c r="AE17" s="32">
        <f t="shared" si="3"/>
        <v>0</v>
      </c>
      <c r="AF17" s="27"/>
    </row>
    <row r="18" spans="1:32" ht="18.75" x14ac:dyDescent="0.3">
      <c r="A18" s="7" t="s">
        <v>32</v>
      </c>
      <c r="B18" s="32">
        <f>H18+J18+L18+N18+P18+R18+T18+V18+X18+Z18+AB18+AD18</f>
        <v>0</v>
      </c>
      <c r="C18" s="32">
        <f>H18+J18+L18+N18</f>
        <v>0</v>
      </c>
      <c r="D18" s="32">
        <f>E18</f>
        <v>0</v>
      </c>
      <c r="E18" s="32">
        <f>I18+K18+M18+O18+Q18+S18+U18+W18+Y18+AA18+AC18+AE18</f>
        <v>0</v>
      </c>
      <c r="F18" s="32" t="e">
        <f>E18/B18*100</f>
        <v>#DIV/0!</v>
      </c>
      <c r="G18" s="31" t="e">
        <f>E18/C18*100</f>
        <v>#DIV/0!</v>
      </c>
      <c r="H18" s="31"/>
      <c r="I18" s="31"/>
      <c r="J18" s="31"/>
      <c r="K18" s="31"/>
      <c r="L18" s="31"/>
      <c r="M18" s="31"/>
      <c r="N18" s="31"/>
      <c r="O18" s="31"/>
      <c r="P18" s="31"/>
      <c r="Q18" s="31"/>
      <c r="R18" s="31"/>
      <c r="S18" s="31"/>
      <c r="T18" s="31"/>
      <c r="U18" s="31"/>
      <c r="V18" s="31"/>
      <c r="W18" s="31"/>
      <c r="X18" s="31"/>
      <c r="Y18" s="31"/>
      <c r="Z18" s="31"/>
      <c r="AA18" s="31"/>
      <c r="AB18" s="31"/>
      <c r="AC18" s="31"/>
      <c r="AD18" s="31"/>
      <c r="AE18" s="31"/>
      <c r="AF18" s="27"/>
    </row>
    <row r="19" spans="1:32" ht="37.5" x14ac:dyDescent="0.3">
      <c r="A19" s="7" t="s">
        <v>45</v>
      </c>
      <c r="B19" s="32"/>
      <c r="C19" s="32"/>
      <c r="D19" s="32"/>
      <c r="E19" s="32"/>
      <c r="F19" s="32"/>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27"/>
    </row>
    <row r="20" spans="1:32" ht="18.75" x14ac:dyDescent="0.3">
      <c r="A20" s="7" t="s">
        <v>65</v>
      </c>
      <c r="B20" s="32">
        <f>B21</f>
        <v>0</v>
      </c>
      <c r="C20" s="32">
        <f>C21</f>
        <v>0</v>
      </c>
      <c r="D20" s="32">
        <f>D21</f>
        <v>0</v>
      </c>
      <c r="E20" s="32">
        <f>E21</f>
        <v>0</v>
      </c>
      <c r="F20" s="32" t="e">
        <f>E20/B20*100</f>
        <v>#DIV/0!</v>
      </c>
      <c r="G20" s="31" t="e">
        <f>E20/C20*100</f>
        <v>#DIV/0!</v>
      </c>
      <c r="H20" s="32">
        <f>H21</f>
        <v>0</v>
      </c>
      <c r="I20" s="32">
        <f t="shared" ref="I20:AE20" si="4">I21</f>
        <v>0</v>
      </c>
      <c r="J20" s="32">
        <f t="shared" si="4"/>
        <v>0</v>
      </c>
      <c r="K20" s="32">
        <f t="shared" si="4"/>
        <v>0</v>
      </c>
      <c r="L20" s="32">
        <f t="shared" si="4"/>
        <v>0</v>
      </c>
      <c r="M20" s="32">
        <f t="shared" si="4"/>
        <v>0</v>
      </c>
      <c r="N20" s="32">
        <f t="shared" si="4"/>
        <v>0</v>
      </c>
      <c r="O20" s="32">
        <f t="shared" si="4"/>
        <v>0</v>
      </c>
      <c r="P20" s="32">
        <f t="shared" si="4"/>
        <v>0</v>
      </c>
      <c r="Q20" s="32">
        <f t="shared" si="4"/>
        <v>0</v>
      </c>
      <c r="R20" s="32">
        <f t="shared" si="4"/>
        <v>0</v>
      </c>
      <c r="S20" s="32">
        <f t="shared" si="4"/>
        <v>0</v>
      </c>
      <c r="T20" s="32">
        <f t="shared" si="4"/>
        <v>0</v>
      </c>
      <c r="U20" s="32">
        <f t="shared" si="4"/>
        <v>0</v>
      </c>
      <c r="V20" s="32">
        <f t="shared" si="4"/>
        <v>0</v>
      </c>
      <c r="W20" s="32">
        <f t="shared" si="4"/>
        <v>0</v>
      </c>
      <c r="X20" s="32">
        <f t="shared" si="4"/>
        <v>0</v>
      </c>
      <c r="Y20" s="32">
        <f t="shared" si="4"/>
        <v>0</v>
      </c>
      <c r="Z20" s="32">
        <f t="shared" si="4"/>
        <v>0</v>
      </c>
      <c r="AA20" s="32">
        <f t="shared" si="4"/>
        <v>0</v>
      </c>
      <c r="AB20" s="32">
        <f t="shared" si="4"/>
        <v>0</v>
      </c>
      <c r="AC20" s="32">
        <f t="shared" si="4"/>
        <v>0</v>
      </c>
      <c r="AD20" s="32">
        <f t="shared" si="4"/>
        <v>0</v>
      </c>
      <c r="AE20" s="32">
        <f t="shared" si="4"/>
        <v>0</v>
      </c>
      <c r="AF20" s="27"/>
    </row>
    <row r="21" spans="1:32" ht="18.75" x14ac:dyDescent="0.3">
      <c r="A21" s="7" t="s">
        <v>32</v>
      </c>
      <c r="B21" s="32">
        <f>H21+J21+L21+N21+P21+R21+T21+V21+X21+Z21+AB21+AD21</f>
        <v>0</v>
      </c>
      <c r="C21" s="32">
        <f>H21+J21+L21+N21</f>
        <v>0</v>
      </c>
      <c r="D21" s="32">
        <f>E21</f>
        <v>0</v>
      </c>
      <c r="E21" s="32">
        <f>I21+K21+M21+O21+Q21+S21+U21+W21+Y21+AA21+AC21+AE21</f>
        <v>0</v>
      </c>
      <c r="F21" s="32" t="e">
        <f>E21/B21*100</f>
        <v>#DIV/0!</v>
      </c>
      <c r="G21" s="31" t="e">
        <f>E21/C21*100</f>
        <v>#DIV/0!</v>
      </c>
      <c r="H21" s="31"/>
      <c r="I21" s="31"/>
      <c r="J21" s="31"/>
      <c r="K21" s="31"/>
      <c r="L21" s="31"/>
      <c r="M21" s="31"/>
      <c r="N21" s="31"/>
      <c r="O21" s="31"/>
      <c r="P21" s="31"/>
      <c r="Q21" s="31"/>
      <c r="R21" s="31"/>
      <c r="S21" s="31"/>
      <c r="T21" s="31"/>
      <c r="U21" s="31"/>
      <c r="V21" s="31"/>
      <c r="W21" s="31"/>
      <c r="X21" s="31"/>
      <c r="Y21" s="31"/>
      <c r="Z21" s="31"/>
      <c r="AA21" s="31"/>
      <c r="AB21" s="31"/>
      <c r="AC21" s="31"/>
      <c r="AD21" s="31"/>
      <c r="AE21" s="31"/>
      <c r="AF21" s="27"/>
    </row>
    <row r="22" spans="1:32" ht="131.25" customHeight="1" x14ac:dyDescent="0.3">
      <c r="A22" s="28" t="s">
        <v>46</v>
      </c>
      <c r="B22" s="32"/>
      <c r="C22" s="32"/>
      <c r="D22" s="32"/>
      <c r="E22" s="32"/>
      <c r="F22" s="32"/>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802" t="s">
        <v>661</v>
      </c>
    </row>
    <row r="23" spans="1:32" ht="18.75" x14ac:dyDescent="0.3">
      <c r="A23" s="7" t="s">
        <v>65</v>
      </c>
      <c r="B23" s="32">
        <f>B24</f>
        <v>1080</v>
      </c>
      <c r="C23" s="32">
        <f>C24</f>
        <v>630</v>
      </c>
      <c r="D23" s="32">
        <f>D24</f>
        <v>630</v>
      </c>
      <c r="E23" s="32">
        <f>E24</f>
        <v>630</v>
      </c>
      <c r="F23" s="32">
        <f>E23/B23*100</f>
        <v>58.333333333333336</v>
      </c>
      <c r="G23" s="31">
        <f>E23/C23*100</f>
        <v>100</v>
      </c>
      <c r="H23" s="32">
        <f>H24</f>
        <v>0</v>
      </c>
      <c r="I23" s="32">
        <f t="shared" ref="I23:AE23" si="5">I24</f>
        <v>0</v>
      </c>
      <c r="J23" s="32">
        <f t="shared" si="5"/>
        <v>0</v>
      </c>
      <c r="K23" s="32">
        <f t="shared" si="5"/>
        <v>0</v>
      </c>
      <c r="L23" s="32">
        <f t="shared" si="5"/>
        <v>0</v>
      </c>
      <c r="M23" s="32">
        <f t="shared" si="5"/>
        <v>0</v>
      </c>
      <c r="N23" s="32">
        <f t="shared" si="5"/>
        <v>0</v>
      </c>
      <c r="O23" s="32">
        <f t="shared" si="5"/>
        <v>0</v>
      </c>
      <c r="P23" s="32">
        <f t="shared" si="5"/>
        <v>360</v>
      </c>
      <c r="Q23" s="32">
        <f t="shared" si="5"/>
        <v>360</v>
      </c>
      <c r="R23" s="32">
        <f t="shared" si="5"/>
        <v>0</v>
      </c>
      <c r="S23" s="32">
        <f t="shared" si="5"/>
        <v>0</v>
      </c>
      <c r="T23" s="32">
        <f t="shared" si="5"/>
        <v>270</v>
      </c>
      <c r="U23" s="32">
        <f>U24</f>
        <v>270</v>
      </c>
      <c r="V23" s="32">
        <f t="shared" si="5"/>
        <v>0</v>
      </c>
      <c r="W23" s="32">
        <f t="shared" si="5"/>
        <v>0</v>
      </c>
      <c r="X23" s="32">
        <f t="shared" si="5"/>
        <v>0</v>
      </c>
      <c r="Y23" s="32">
        <f t="shared" si="5"/>
        <v>0</v>
      </c>
      <c r="Z23" s="32">
        <f t="shared" si="5"/>
        <v>270</v>
      </c>
      <c r="AA23" s="32">
        <f t="shared" si="5"/>
        <v>0</v>
      </c>
      <c r="AB23" s="32">
        <f t="shared" si="5"/>
        <v>0</v>
      </c>
      <c r="AC23" s="32">
        <f t="shared" si="5"/>
        <v>0</v>
      </c>
      <c r="AD23" s="32">
        <f t="shared" si="5"/>
        <v>180</v>
      </c>
      <c r="AE23" s="32">
        <f t="shared" si="5"/>
        <v>0</v>
      </c>
      <c r="AF23" s="27"/>
    </row>
    <row r="24" spans="1:32" ht="18.75" x14ac:dyDescent="0.3">
      <c r="A24" s="7" t="s">
        <v>33</v>
      </c>
      <c r="B24" s="32">
        <f>H24+J24+L24+N24+P24+R24+T24+V24+X24+Z24+AB24+AD24</f>
        <v>1080</v>
      </c>
      <c r="C24" s="32">
        <f>H24+J24+L24+N24+P24+R24+T24</f>
        <v>630</v>
      </c>
      <c r="D24" s="32">
        <f>E24</f>
        <v>630</v>
      </c>
      <c r="E24" s="32">
        <f>I24+K24+M24+O24+Q24+S24+U24+W24+Y24+AA24+AC24+AE24</f>
        <v>630</v>
      </c>
      <c r="F24" s="32">
        <f>E24/B24*100</f>
        <v>58.333333333333336</v>
      </c>
      <c r="G24" s="31">
        <f>E24/C24*100</f>
        <v>100</v>
      </c>
      <c r="H24" s="31"/>
      <c r="I24" s="31"/>
      <c r="J24" s="31"/>
      <c r="K24" s="31"/>
      <c r="L24" s="31"/>
      <c r="M24" s="31"/>
      <c r="N24" s="31"/>
      <c r="O24" s="31"/>
      <c r="P24" s="31">
        <v>360</v>
      </c>
      <c r="Q24" s="31">
        <v>360</v>
      </c>
      <c r="R24" s="31">
        <v>0</v>
      </c>
      <c r="S24" s="31"/>
      <c r="T24" s="31">
        <v>270</v>
      </c>
      <c r="U24" s="31">
        <v>270</v>
      </c>
      <c r="V24" s="31">
        <v>0</v>
      </c>
      <c r="W24" s="31"/>
      <c r="X24" s="31">
        <v>0</v>
      </c>
      <c r="Y24" s="31"/>
      <c r="Z24" s="31">
        <v>270</v>
      </c>
      <c r="AA24" s="31"/>
      <c r="AB24" s="31">
        <v>0</v>
      </c>
      <c r="AC24" s="31"/>
      <c r="AD24" s="31">
        <v>180</v>
      </c>
      <c r="AE24" s="31"/>
      <c r="AF24" s="27"/>
    </row>
    <row r="25" spans="1:32" ht="18.75" x14ac:dyDescent="0.3">
      <c r="A25" s="42" t="s">
        <v>53</v>
      </c>
      <c r="B25" s="38"/>
      <c r="C25" s="38"/>
      <c r="D25" s="38"/>
      <c r="E25" s="38"/>
      <c r="F25" s="38"/>
      <c r="G25" s="38"/>
      <c r="H25" s="38"/>
      <c r="I25" s="38"/>
      <c r="J25" s="38"/>
      <c r="K25" s="38"/>
      <c r="L25" s="38"/>
      <c r="M25" s="38"/>
      <c r="N25" s="39"/>
      <c r="O25" s="39"/>
      <c r="P25" s="39"/>
      <c r="Q25" s="39"/>
      <c r="R25" s="39"/>
      <c r="S25" s="39"/>
      <c r="T25" s="39"/>
      <c r="U25" s="39"/>
      <c r="V25" s="39"/>
      <c r="W25" s="39"/>
      <c r="X25" s="39"/>
      <c r="Y25" s="39"/>
      <c r="Z25" s="39"/>
      <c r="AA25" s="39"/>
      <c r="AB25" s="39"/>
      <c r="AC25" s="39"/>
      <c r="AD25" s="39"/>
      <c r="AE25" s="40"/>
      <c r="AF25" s="27"/>
    </row>
    <row r="26" spans="1:32" ht="18.75" x14ac:dyDescent="0.3">
      <c r="A26" s="37" t="s">
        <v>65</v>
      </c>
      <c r="B26" s="32">
        <f>B27+B28</f>
        <v>1556.5</v>
      </c>
      <c r="C26" s="31">
        <f>C27+C28</f>
        <v>1106.5</v>
      </c>
      <c r="D26" s="31">
        <f>D27+D28</f>
        <v>876.5</v>
      </c>
      <c r="E26" s="31">
        <f>E27+E28</f>
        <v>876.5</v>
      </c>
      <c r="F26" s="31">
        <f t="shared" ref="F26:F40" si="6">E26/B26*100</f>
        <v>56.312238997751365</v>
      </c>
      <c r="G26" s="31">
        <f t="shared" ref="G26:G40" si="7">E26/C26*100</f>
        <v>79.213737008585625</v>
      </c>
      <c r="H26" s="32">
        <f>H27+H28</f>
        <v>0</v>
      </c>
      <c r="I26" s="32">
        <f t="shared" ref="I26:Q26" si="8">I27+I28</f>
        <v>0</v>
      </c>
      <c r="J26" s="32">
        <f t="shared" si="8"/>
        <v>0</v>
      </c>
      <c r="K26" s="32">
        <f t="shared" si="8"/>
        <v>0</v>
      </c>
      <c r="L26" s="32">
        <f t="shared" si="8"/>
        <v>0</v>
      </c>
      <c r="M26" s="32">
        <f t="shared" si="8"/>
        <v>0</v>
      </c>
      <c r="N26" s="32">
        <f t="shared" si="8"/>
        <v>476.5</v>
      </c>
      <c r="O26" s="32">
        <f t="shared" si="8"/>
        <v>0</v>
      </c>
      <c r="P26" s="32">
        <f t="shared" si="8"/>
        <v>360</v>
      </c>
      <c r="Q26" s="32">
        <f t="shared" si="8"/>
        <v>360</v>
      </c>
      <c r="R26" s="32">
        <f t="shared" ref="R26:AE26" si="9">R27+R28</f>
        <v>0</v>
      </c>
      <c r="S26" s="32">
        <f t="shared" si="9"/>
        <v>246.5</v>
      </c>
      <c r="T26" s="32">
        <f t="shared" si="9"/>
        <v>270</v>
      </c>
      <c r="U26" s="32">
        <f t="shared" si="9"/>
        <v>270</v>
      </c>
      <c r="V26" s="32">
        <f t="shared" si="9"/>
        <v>0</v>
      </c>
      <c r="W26" s="32">
        <f t="shared" si="9"/>
        <v>0</v>
      </c>
      <c r="X26" s="32">
        <f t="shared" si="9"/>
        <v>0</v>
      </c>
      <c r="Y26" s="32">
        <f t="shared" si="9"/>
        <v>0</v>
      </c>
      <c r="Z26" s="32">
        <f t="shared" si="9"/>
        <v>270</v>
      </c>
      <c r="AA26" s="32">
        <f t="shared" si="9"/>
        <v>0</v>
      </c>
      <c r="AB26" s="32">
        <f t="shared" si="9"/>
        <v>0</v>
      </c>
      <c r="AC26" s="32">
        <f t="shared" si="9"/>
        <v>0</v>
      </c>
      <c r="AD26" s="32">
        <f t="shared" si="9"/>
        <v>180</v>
      </c>
      <c r="AE26" s="32">
        <f t="shared" si="9"/>
        <v>0</v>
      </c>
      <c r="AF26" s="27"/>
    </row>
    <row r="27" spans="1:32" ht="18.75" x14ac:dyDescent="0.3">
      <c r="A27" s="7" t="s">
        <v>32</v>
      </c>
      <c r="B27" s="32">
        <f>B12</f>
        <v>476.5</v>
      </c>
      <c r="C27" s="32">
        <f>C12</f>
        <v>476.5</v>
      </c>
      <c r="D27" s="32">
        <f>D12</f>
        <v>246.5</v>
      </c>
      <c r="E27" s="32">
        <f>E12</f>
        <v>246.5</v>
      </c>
      <c r="F27" s="31">
        <f t="shared" si="6"/>
        <v>51.731374606505774</v>
      </c>
      <c r="G27" s="31">
        <f t="shared" si="7"/>
        <v>51.731374606505774</v>
      </c>
      <c r="H27" s="32">
        <f>H12</f>
        <v>0</v>
      </c>
      <c r="I27" s="32">
        <f t="shared" ref="I27:Q27" si="10">I12</f>
        <v>0</v>
      </c>
      <c r="J27" s="32">
        <f t="shared" si="10"/>
        <v>0</v>
      </c>
      <c r="K27" s="32">
        <f t="shared" si="10"/>
        <v>0</v>
      </c>
      <c r="L27" s="32">
        <f t="shared" si="10"/>
        <v>0</v>
      </c>
      <c r="M27" s="32">
        <f t="shared" si="10"/>
        <v>0</v>
      </c>
      <c r="N27" s="32">
        <f t="shared" si="10"/>
        <v>476.5</v>
      </c>
      <c r="O27" s="32">
        <f t="shared" si="10"/>
        <v>0</v>
      </c>
      <c r="P27" s="32">
        <f t="shared" si="10"/>
        <v>0</v>
      </c>
      <c r="Q27" s="32">
        <f t="shared" si="10"/>
        <v>0</v>
      </c>
      <c r="R27" s="32">
        <f t="shared" ref="R27:AE27" si="11">R12</f>
        <v>0</v>
      </c>
      <c r="S27" s="32">
        <f>S12</f>
        <v>246.5</v>
      </c>
      <c r="T27" s="32">
        <f t="shared" si="11"/>
        <v>0</v>
      </c>
      <c r="U27" s="32">
        <f t="shared" si="11"/>
        <v>0</v>
      </c>
      <c r="V27" s="32">
        <f t="shared" si="11"/>
        <v>0</v>
      </c>
      <c r="W27" s="32">
        <f t="shared" si="11"/>
        <v>0</v>
      </c>
      <c r="X27" s="32">
        <f t="shared" si="11"/>
        <v>0</v>
      </c>
      <c r="Y27" s="32">
        <f t="shared" si="11"/>
        <v>0</v>
      </c>
      <c r="Z27" s="32">
        <f t="shared" si="11"/>
        <v>0</v>
      </c>
      <c r="AA27" s="32">
        <f t="shared" si="11"/>
        <v>0</v>
      </c>
      <c r="AB27" s="32">
        <f t="shared" si="11"/>
        <v>0</v>
      </c>
      <c r="AC27" s="32">
        <f t="shared" si="11"/>
        <v>0</v>
      </c>
      <c r="AD27" s="32">
        <f t="shared" si="11"/>
        <v>0</v>
      </c>
      <c r="AE27" s="32">
        <f t="shared" si="11"/>
        <v>0</v>
      </c>
      <c r="AF27" s="27"/>
    </row>
    <row r="28" spans="1:32" ht="18.75" x14ac:dyDescent="0.3">
      <c r="A28" s="7" t="s">
        <v>33</v>
      </c>
      <c r="B28" s="32">
        <f>B24</f>
        <v>1080</v>
      </c>
      <c r="C28" s="32">
        <f>C24</f>
        <v>630</v>
      </c>
      <c r="D28" s="32">
        <f>D24</f>
        <v>630</v>
      </c>
      <c r="E28" s="32">
        <f>E24</f>
        <v>630</v>
      </c>
      <c r="F28" s="31">
        <f t="shared" si="6"/>
        <v>58.333333333333336</v>
      </c>
      <c r="G28" s="31">
        <f t="shared" si="7"/>
        <v>100</v>
      </c>
      <c r="H28" s="32">
        <f>H24</f>
        <v>0</v>
      </c>
      <c r="I28" s="32">
        <f t="shared" ref="I28:Q28" si="12">I24</f>
        <v>0</v>
      </c>
      <c r="J28" s="32">
        <f t="shared" si="12"/>
        <v>0</v>
      </c>
      <c r="K28" s="32">
        <f t="shared" si="12"/>
        <v>0</v>
      </c>
      <c r="L28" s="32">
        <f t="shared" si="12"/>
        <v>0</v>
      </c>
      <c r="M28" s="32">
        <f t="shared" si="12"/>
        <v>0</v>
      </c>
      <c r="N28" s="32">
        <f t="shared" si="12"/>
        <v>0</v>
      </c>
      <c r="O28" s="32">
        <f t="shared" si="12"/>
        <v>0</v>
      </c>
      <c r="P28" s="32">
        <f t="shared" si="12"/>
        <v>360</v>
      </c>
      <c r="Q28" s="32">
        <f t="shared" si="12"/>
        <v>360</v>
      </c>
      <c r="R28" s="32">
        <f t="shared" ref="R28:AE28" si="13">R24</f>
        <v>0</v>
      </c>
      <c r="S28" s="32">
        <f t="shared" si="13"/>
        <v>0</v>
      </c>
      <c r="T28" s="32">
        <f t="shared" si="13"/>
        <v>270</v>
      </c>
      <c r="U28" s="32">
        <f t="shared" si="13"/>
        <v>270</v>
      </c>
      <c r="V28" s="32">
        <f t="shared" si="13"/>
        <v>0</v>
      </c>
      <c r="W28" s="32">
        <f t="shared" si="13"/>
        <v>0</v>
      </c>
      <c r="X28" s="32">
        <f t="shared" si="13"/>
        <v>0</v>
      </c>
      <c r="Y28" s="32">
        <f t="shared" si="13"/>
        <v>0</v>
      </c>
      <c r="Z28" s="32">
        <f t="shared" si="13"/>
        <v>270</v>
      </c>
      <c r="AA28" s="32">
        <f t="shared" si="13"/>
        <v>0</v>
      </c>
      <c r="AB28" s="32">
        <f t="shared" si="13"/>
        <v>0</v>
      </c>
      <c r="AC28" s="32">
        <f t="shared" si="13"/>
        <v>0</v>
      </c>
      <c r="AD28" s="32">
        <f t="shared" si="13"/>
        <v>180</v>
      </c>
      <c r="AE28" s="32">
        <f t="shared" si="13"/>
        <v>0</v>
      </c>
      <c r="AF28" s="27"/>
    </row>
    <row r="29" spans="1:32" ht="18.75" x14ac:dyDescent="0.3">
      <c r="A29" s="28" t="s">
        <v>72</v>
      </c>
      <c r="B29" s="32"/>
      <c r="C29" s="32"/>
      <c r="D29" s="32"/>
      <c r="E29" s="32"/>
      <c r="F29" s="31" t="e">
        <f t="shared" si="6"/>
        <v>#DIV/0!</v>
      </c>
      <c r="G29" s="31" t="e">
        <f t="shared" si="7"/>
        <v>#DIV/0!</v>
      </c>
      <c r="H29" s="32"/>
      <c r="I29" s="32"/>
      <c r="J29" s="32"/>
      <c r="K29" s="32"/>
      <c r="L29" s="32"/>
      <c r="M29" s="32"/>
      <c r="N29" s="32"/>
      <c r="O29" s="32"/>
      <c r="P29" s="32"/>
      <c r="Q29" s="32"/>
      <c r="R29" s="32"/>
      <c r="S29" s="32"/>
      <c r="T29" s="32"/>
      <c r="U29" s="32"/>
      <c r="V29" s="32"/>
      <c r="W29" s="32"/>
      <c r="X29" s="32"/>
      <c r="Y29" s="32"/>
      <c r="Z29" s="32"/>
      <c r="AA29" s="32"/>
      <c r="AB29" s="32"/>
      <c r="AC29" s="32"/>
      <c r="AD29" s="32"/>
      <c r="AE29" s="32"/>
      <c r="AF29" s="27"/>
    </row>
    <row r="30" spans="1:32" ht="18.75" x14ac:dyDescent="0.3">
      <c r="A30" s="8" t="s">
        <v>31</v>
      </c>
      <c r="B30" s="32">
        <f>B31+B32</f>
        <v>1556.5</v>
      </c>
      <c r="C30" s="32">
        <f>C31+C32</f>
        <v>1106.5</v>
      </c>
      <c r="D30" s="32">
        <f>D31+D32</f>
        <v>876.5</v>
      </c>
      <c r="E30" s="32">
        <f>E31+E32</f>
        <v>876.5</v>
      </c>
      <c r="F30" s="31">
        <f t="shared" si="6"/>
        <v>56.312238997751365</v>
      </c>
      <c r="G30" s="31">
        <f t="shared" si="7"/>
        <v>79.213737008585625</v>
      </c>
      <c r="H30" s="32">
        <f>H31+H32</f>
        <v>0</v>
      </c>
      <c r="I30" s="32">
        <f t="shared" ref="I30:AE30" si="14">I31+I32</f>
        <v>0</v>
      </c>
      <c r="J30" s="32">
        <f t="shared" si="14"/>
        <v>0</v>
      </c>
      <c r="K30" s="32">
        <f t="shared" si="14"/>
        <v>0</v>
      </c>
      <c r="L30" s="32">
        <f t="shared" si="14"/>
        <v>0</v>
      </c>
      <c r="M30" s="32">
        <f t="shared" si="14"/>
        <v>0</v>
      </c>
      <c r="N30" s="32">
        <f t="shared" si="14"/>
        <v>476.5</v>
      </c>
      <c r="O30" s="32">
        <f t="shared" si="14"/>
        <v>0</v>
      </c>
      <c r="P30" s="32">
        <f t="shared" si="14"/>
        <v>360</v>
      </c>
      <c r="Q30" s="32">
        <f t="shared" si="14"/>
        <v>360</v>
      </c>
      <c r="R30" s="32">
        <f t="shared" si="14"/>
        <v>0</v>
      </c>
      <c r="S30" s="32">
        <f t="shared" si="14"/>
        <v>246.5</v>
      </c>
      <c r="T30" s="32">
        <f t="shared" si="14"/>
        <v>270</v>
      </c>
      <c r="U30" s="32">
        <f t="shared" si="14"/>
        <v>270</v>
      </c>
      <c r="V30" s="32">
        <f t="shared" si="14"/>
        <v>0</v>
      </c>
      <c r="W30" s="32">
        <f t="shared" si="14"/>
        <v>0</v>
      </c>
      <c r="X30" s="32">
        <f t="shared" si="14"/>
        <v>0</v>
      </c>
      <c r="Y30" s="32">
        <f t="shared" si="14"/>
        <v>0</v>
      </c>
      <c r="Z30" s="32">
        <f t="shared" si="14"/>
        <v>270</v>
      </c>
      <c r="AA30" s="32">
        <f t="shared" si="14"/>
        <v>0</v>
      </c>
      <c r="AB30" s="32">
        <f t="shared" si="14"/>
        <v>0</v>
      </c>
      <c r="AC30" s="32">
        <f t="shared" si="14"/>
        <v>0</v>
      </c>
      <c r="AD30" s="32">
        <f t="shared" si="14"/>
        <v>180</v>
      </c>
      <c r="AE30" s="32">
        <f t="shared" si="14"/>
        <v>0</v>
      </c>
      <c r="AF30" s="27"/>
    </row>
    <row r="31" spans="1:32" ht="18.75" x14ac:dyDescent="0.3">
      <c r="A31" s="7" t="s">
        <v>32</v>
      </c>
      <c r="B31" s="32">
        <f t="shared" ref="B31:E32" si="15">B27</f>
        <v>476.5</v>
      </c>
      <c r="C31" s="32">
        <f t="shared" si="15"/>
        <v>476.5</v>
      </c>
      <c r="D31" s="32">
        <f>D27</f>
        <v>246.5</v>
      </c>
      <c r="E31" s="32">
        <f>E27</f>
        <v>246.5</v>
      </c>
      <c r="F31" s="31">
        <f t="shared" si="6"/>
        <v>51.731374606505774</v>
      </c>
      <c r="G31" s="31">
        <f t="shared" si="7"/>
        <v>51.731374606505774</v>
      </c>
      <c r="H31" s="32">
        <f>H27</f>
        <v>0</v>
      </c>
      <c r="I31" s="32">
        <f t="shared" ref="I31:AE31" si="16">I27</f>
        <v>0</v>
      </c>
      <c r="J31" s="32">
        <f t="shared" si="16"/>
        <v>0</v>
      </c>
      <c r="K31" s="32">
        <f t="shared" si="16"/>
        <v>0</v>
      </c>
      <c r="L31" s="32">
        <f t="shared" si="16"/>
        <v>0</v>
      </c>
      <c r="M31" s="32">
        <f t="shared" si="16"/>
        <v>0</v>
      </c>
      <c r="N31" s="32">
        <f t="shared" si="16"/>
        <v>476.5</v>
      </c>
      <c r="O31" s="32">
        <f t="shared" si="16"/>
        <v>0</v>
      </c>
      <c r="P31" s="32">
        <f t="shared" si="16"/>
        <v>0</v>
      </c>
      <c r="Q31" s="32">
        <f t="shared" si="16"/>
        <v>0</v>
      </c>
      <c r="R31" s="32">
        <f t="shared" si="16"/>
        <v>0</v>
      </c>
      <c r="S31" s="32">
        <f t="shared" si="16"/>
        <v>246.5</v>
      </c>
      <c r="T31" s="32">
        <f t="shared" si="16"/>
        <v>0</v>
      </c>
      <c r="U31" s="32">
        <f t="shared" si="16"/>
        <v>0</v>
      </c>
      <c r="V31" s="32">
        <f t="shared" si="16"/>
        <v>0</v>
      </c>
      <c r="W31" s="32">
        <f t="shared" si="16"/>
        <v>0</v>
      </c>
      <c r="X31" s="32">
        <f t="shared" si="16"/>
        <v>0</v>
      </c>
      <c r="Y31" s="32">
        <f t="shared" si="16"/>
        <v>0</v>
      </c>
      <c r="Z31" s="32">
        <f t="shared" si="16"/>
        <v>0</v>
      </c>
      <c r="AA31" s="32">
        <f t="shared" si="16"/>
        <v>0</v>
      </c>
      <c r="AB31" s="32">
        <f t="shared" si="16"/>
        <v>0</v>
      </c>
      <c r="AC31" s="32">
        <f t="shared" si="16"/>
        <v>0</v>
      </c>
      <c r="AD31" s="32">
        <f t="shared" si="16"/>
        <v>0</v>
      </c>
      <c r="AE31" s="32">
        <f t="shared" si="16"/>
        <v>0</v>
      </c>
      <c r="AF31" s="27"/>
    </row>
    <row r="32" spans="1:32" ht="18.75" x14ac:dyDescent="0.3">
      <c r="A32" s="7" t="s">
        <v>33</v>
      </c>
      <c r="B32" s="32">
        <f t="shared" si="15"/>
        <v>1080</v>
      </c>
      <c r="C32" s="32">
        <f t="shared" si="15"/>
        <v>630</v>
      </c>
      <c r="D32" s="32">
        <f>D28</f>
        <v>630</v>
      </c>
      <c r="E32" s="32">
        <f t="shared" si="15"/>
        <v>630</v>
      </c>
      <c r="F32" s="31">
        <f t="shared" si="6"/>
        <v>58.333333333333336</v>
      </c>
      <c r="G32" s="31">
        <f t="shared" si="7"/>
        <v>100</v>
      </c>
      <c r="H32" s="32">
        <f>H28</f>
        <v>0</v>
      </c>
      <c r="I32" s="32">
        <f t="shared" ref="I32:AE32" si="17">I28</f>
        <v>0</v>
      </c>
      <c r="J32" s="32">
        <f t="shared" si="17"/>
        <v>0</v>
      </c>
      <c r="K32" s="32">
        <f t="shared" si="17"/>
        <v>0</v>
      </c>
      <c r="L32" s="32">
        <f t="shared" si="17"/>
        <v>0</v>
      </c>
      <c r="M32" s="32">
        <f t="shared" si="17"/>
        <v>0</v>
      </c>
      <c r="N32" s="32">
        <f t="shared" si="17"/>
        <v>0</v>
      </c>
      <c r="O32" s="32">
        <f t="shared" si="17"/>
        <v>0</v>
      </c>
      <c r="P32" s="32">
        <f t="shared" si="17"/>
        <v>360</v>
      </c>
      <c r="Q32" s="32">
        <f t="shared" si="17"/>
        <v>360</v>
      </c>
      <c r="R32" s="32">
        <f t="shared" si="17"/>
        <v>0</v>
      </c>
      <c r="S32" s="32">
        <f t="shared" si="17"/>
        <v>0</v>
      </c>
      <c r="T32" s="32">
        <f t="shared" si="17"/>
        <v>270</v>
      </c>
      <c r="U32" s="32">
        <f t="shared" si="17"/>
        <v>270</v>
      </c>
      <c r="V32" s="32">
        <f t="shared" si="17"/>
        <v>0</v>
      </c>
      <c r="W32" s="32">
        <f t="shared" si="17"/>
        <v>0</v>
      </c>
      <c r="X32" s="32">
        <f t="shared" si="17"/>
        <v>0</v>
      </c>
      <c r="Y32" s="32">
        <f t="shared" si="17"/>
        <v>0</v>
      </c>
      <c r="Z32" s="32">
        <f t="shared" si="17"/>
        <v>270</v>
      </c>
      <c r="AA32" s="32">
        <f t="shared" si="17"/>
        <v>0</v>
      </c>
      <c r="AB32" s="32">
        <f t="shared" si="17"/>
        <v>0</v>
      </c>
      <c r="AC32" s="32">
        <f t="shared" si="17"/>
        <v>0</v>
      </c>
      <c r="AD32" s="32">
        <f t="shared" si="17"/>
        <v>180</v>
      </c>
      <c r="AE32" s="32">
        <f t="shared" si="17"/>
        <v>0</v>
      </c>
      <c r="AF32" s="27"/>
    </row>
    <row r="33" spans="1:32" ht="18.75" x14ac:dyDescent="0.3">
      <c r="A33" s="43" t="s">
        <v>66</v>
      </c>
      <c r="B33" s="45"/>
      <c r="C33" s="45"/>
      <c r="D33" s="45"/>
      <c r="E33" s="45"/>
      <c r="F33" s="31" t="e">
        <f t="shared" si="6"/>
        <v>#DIV/0!</v>
      </c>
      <c r="G33" s="31" t="e">
        <f t="shared" si="7"/>
        <v>#DIV/0!</v>
      </c>
      <c r="H33" s="45"/>
      <c r="I33" s="45"/>
      <c r="J33" s="45"/>
      <c r="K33" s="45"/>
      <c r="L33" s="45"/>
      <c r="M33" s="45"/>
      <c r="N33" s="45"/>
      <c r="O33" s="45"/>
      <c r="P33" s="45"/>
      <c r="Q33" s="45"/>
      <c r="R33" s="45"/>
      <c r="S33" s="45"/>
      <c r="T33" s="45"/>
      <c r="U33" s="45"/>
      <c r="V33" s="45"/>
      <c r="W33" s="45"/>
      <c r="X33" s="45"/>
      <c r="Y33" s="45"/>
      <c r="Z33" s="45"/>
      <c r="AA33" s="45"/>
      <c r="AB33" s="45"/>
      <c r="AC33" s="45"/>
      <c r="AD33" s="45"/>
      <c r="AE33" s="45"/>
      <c r="AF33" s="27"/>
    </row>
    <row r="34" spans="1:32" ht="18.75" x14ac:dyDescent="0.3">
      <c r="A34" s="8" t="s">
        <v>31</v>
      </c>
      <c r="B34" s="32">
        <f>B35+B36</f>
        <v>1556.5</v>
      </c>
      <c r="C34" s="32">
        <f>C35+C36</f>
        <v>1106.5</v>
      </c>
      <c r="D34" s="32">
        <f>D35+D36</f>
        <v>876.5</v>
      </c>
      <c r="E34" s="32">
        <f>E35+E36</f>
        <v>876.5</v>
      </c>
      <c r="F34" s="31">
        <f t="shared" si="6"/>
        <v>56.312238997751365</v>
      </c>
      <c r="G34" s="31">
        <f t="shared" si="7"/>
        <v>79.213737008585625</v>
      </c>
      <c r="H34" s="32">
        <f t="shared" ref="H34:W34" si="18">H26</f>
        <v>0</v>
      </c>
      <c r="I34" s="32">
        <f t="shared" si="18"/>
        <v>0</v>
      </c>
      <c r="J34" s="32">
        <f t="shared" si="18"/>
        <v>0</v>
      </c>
      <c r="K34" s="32">
        <f t="shared" si="18"/>
        <v>0</v>
      </c>
      <c r="L34" s="32">
        <f t="shared" si="18"/>
        <v>0</v>
      </c>
      <c r="M34" s="32">
        <f t="shared" si="18"/>
        <v>0</v>
      </c>
      <c r="N34" s="32">
        <f t="shared" si="18"/>
        <v>476.5</v>
      </c>
      <c r="O34" s="32">
        <f t="shared" si="18"/>
        <v>0</v>
      </c>
      <c r="P34" s="32">
        <f t="shared" si="18"/>
        <v>360</v>
      </c>
      <c r="Q34" s="32">
        <f t="shared" si="18"/>
        <v>360</v>
      </c>
      <c r="R34" s="32">
        <f t="shared" si="18"/>
        <v>0</v>
      </c>
      <c r="S34" s="32">
        <f t="shared" si="18"/>
        <v>246.5</v>
      </c>
      <c r="T34" s="32">
        <f t="shared" si="18"/>
        <v>270</v>
      </c>
      <c r="U34" s="32">
        <f t="shared" si="18"/>
        <v>270</v>
      </c>
      <c r="V34" s="32">
        <f t="shared" si="18"/>
        <v>0</v>
      </c>
      <c r="W34" s="32">
        <f t="shared" si="18"/>
        <v>0</v>
      </c>
      <c r="X34" s="32">
        <f t="shared" ref="I34:X36" si="19">X26</f>
        <v>0</v>
      </c>
      <c r="Y34" s="32">
        <f t="shared" ref="Y34:AE34" si="20">Y26</f>
        <v>0</v>
      </c>
      <c r="Z34" s="32">
        <f t="shared" si="20"/>
        <v>270</v>
      </c>
      <c r="AA34" s="32">
        <f t="shared" si="20"/>
        <v>0</v>
      </c>
      <c r="AB34" s="32">
        <f t="shared" si="20"/>
        <v>0</v>
      </c>
      <c r="AC34" s="32">
        <f t="shared" si="20"/>
        <v>0</v>
      </c>
      <c r="AD34" s="32">
        <f t="shared" si="20"/>
        <v>180</v>
      </c>
      <c r="AE34" s="32">
        <f t="shared" si="20"/>
        <v>0</v>
      </c>
      <c r="AF34" s="27"/>
    </row>
    <row r="35" spans="1:32" ht="18.75" x14ac:dyDescent="0.3">
      <c r="A35" s="7" t="s">
        <v>32</v>
      </c>
      <c r="B35" s="32">
        <f t="shared" ref="B35:E36" si="21">B27</f>
        <v>476.5</v>
      </c>
      <c r="C35" s="32">
        <f t="shared" si="21"/>
        <v>476.5</v>
      </c>
      <c r="D35" s="32">
        <f t="shared" si="21"/>
        <v>246.5</v>
      </c>
      <c r="E35" s="32">
        <f>E27</f>
        <v>246.5</v>
      </c>
      <c r="F35" s="31">
        <f t="shared" si="6"/>
        <v>51.731374606505774</v>
      </c>
      <c r="G35" s="31">
        <f t="shared" si="7"/>
        <v>51.731374606505774</v>
      </c>
      <c r="H35" s="32">
        <f>H27</f>
        <v>0</v>
      </c>
      <c r="I35" s="32">
        <f t="shared" si="19"/>
        <v>0</v>
      </c>
      <c r="J35" s="32">
        <f t="shared" si="19"/>
        <v>0</v>
      </c>
      <c r="K35" s="32">
        <f t="shared" si="19"/>
        <v>0</v>
      </c>
      <c r="L35" s="32">
        <f t="shared" si="19"/>
        <v>0</v>
      </c>
      <c r="M35" s="32">
        <f t="shared" si="19"/>
        <v>0</v>
      </c>
      <c r="N35" s="32">
        <f t="shared" si="19"/>
        <v>476.5</v>
      </c>
      <c r="O35" s="32">
        <f t="shared" si="19"/>
        <v>0</v>
      </c>
      <c r="P35" s="32">
        <f t="shared" si="19"/>
        <v>0</v>
      </c>
      <c r="Q35" s="32">
        <f t="shared" si="19"/>
        <v>0</v>
      </c>
      <c r="R35" s="32">
        <f t="shared" si="19"/>
        <v>0</v>
      </c>
      <c r="S35" s="32">
        <f t="shared" si="19"/>
        <v>246.5</v>
      </c>
      <c r="T35" s="32">
        <f t="shared" si="19"/>
        <v>0</v>
      </c>
      <c r="U35" s="32">
        <f t="shared" si="19"/>
        <v>0</v>
      </c>
      <c r="V35" s="32">
        <f t="shared" si="19"/>
        <v>0</v>
      </c>
      <c r="W35" s="32">
        <f t="shared" si="19"/>
        <v>0</v>
      </c>
      <c r="X35" s="32">
        <f t="shared" si="19"/>
        <v>0</v>
      </c>
      <c r="Y35" s="32">
        <f t="shared" ref="Y35:AE35" si="22">Y27</f>
        <v>0</v>
      </c>
      <c r="Z35" s="32">
        <f t="shared" si="22"/>
        <v>0</v>
      </c>
      <c r="AA35" s="32">
        <f t="shared" si="22"/>
        <v>0</v>
      </c>
      <c r="AB35" s="32">
        <f t="shared" si="22"/>
        <v>0</v>
      </c>
      <c r="AC35" s="32">
        <f t="shared" si="22"/>
        <v>0</v>
      </c>
      <c r="AD35" s="32">
        <f t="shared" si="22"/>
        <v>0</v>
      </c>
      <c r="AE35" s="32">
        <f t="shared" si="22"/>
        <v>0</v>
      </c>
      <c r="AF35" s="27"/>
    </row>
    <row r="36" spans="1:32" ht="18.75" x14ac:dyDescent="0.3">
      <c r="A36" s="7" t="s">
        <v>33</v>
      </c>
      <c r="B36" s="32">
        <f t="shared" si="21"/>
        <v>1080</v>
      </c>
      <c r="C36" s="32">
        <f t="shared" si="21"/>
        <v>630</v>
      </c>
      <c r="D36" s="32">
        <f t="shared" si="21"/>
        <v>630</v>
      </c>
      <c r="E36" s="32">
        <f t="shared" si="21"/>
        <v>630</v>
      </c>
      <c r="F36" s="31">
        <f t="shared" si="6"/>
        <v>58.333333333333336</v>
      </c>
      <c r="G36" s="31">
        <f t="shared" si="7"/>
        <v>100</v>
      </c>
      <c r="H36" s="32">
        <f>H28</f>
        <v>0</v>
      </c>
      <c r="I36" s="32">
        <f t="shared" si="19"/>
        <v>0</v>
      </c>
      <c r="J36" s="32">
        <f t="shared" si="19"/>
        <v>0</v>
      </c>
      <c r="K36" s="32">
        <f t="shared" si="19"/>
        <v>0</v>
      </c>
      <c r="L36" s="32">
        <f t="shared" si="19"/>
        <v>0</v>
      </c>
      <c r="M36" s="32">
        <f t="shared" si="19"/>
        <v>0</v>
      </c>
      <c r="N36" s="32">
        <f t="shared" si="19"/>
        <v>0</v>
      </c>
      <c r="O36" s="32">
        <f t="shared" si="19"/>
        <v>0</v>
      </c>
      <c r="P36" s="32">
        <f t="shared" si="19"/>
        <v>360</v>
      </c>
      <c r="Q36" s="32">
        <f t="shared" si="19"/>
        <v>360</v>
      </c>
      <c r="R36" s="32">
        <f t="shared" si="19"/>
        <v>0</v>
      </c>
      <c r="S36" s="32">
        <f t="shared" si="19"/>
        <v>0</v>
      </c>
      <c r="T36" s="32">
        <f t="shared" si="19"/>
        <v>270</v>
      </c>
      <c r="U36" s="32">
        <f t="shared" si="19"/>
        <v>270</v>
      </c>
      <c r="V36" s="32">
        <f t="shared" si="19"/>
        <v>0</v>
      </c>
      <c r="W36" s="32">
        <f t="shared" si="19"/>
        <v>0</v>
      </c>
      <c r="X36" s="32">
        <f t="shared" si="19"/>
        <v>0</v>
      </c>
      <c r="Y36" s="32">
        <f t="shared" ref="Y36:AE36" si="23">Y28</f>
        <v>0</v>
      </c>
      <c r="Z36" s="32">
        <f t="shared" si="23"/>
        <v>270</v>
      </c>
      <c r="AA36" s="32">
        <f t="shared" si="23"/>
        <v>0</v>
      </c>
      <c r="AB36" s="32">
        <f t="shared" si="23"/>
        <v>0</v>
      </c>
      <c r="AC36" s="32">
        <f t="shared" si="23"/>
        <v>0</v>
      </c>
      <c r="AD36" s="32">
        <f t="shared" si="23"/>
        <v>180</v>
      </c>
      <c r="AE36" s="32">
        <f t="shared" si="23"/>
        <v>0</v>
      </c>
      <c r="AF36" s="27"/>
    </row>
    <row r="37" spans="1:32" ht="37.5" x14ac:dyDescent="0.3">
      <c r="A37" s="67" t="s">
        <v>67</v>
      </c>
      <c r="B37" s="615"/>
      <c r="C37" s="29"/>
      <c r="D37" s="29"/>
      <c r="E37" s="29"/>
      <c r="F37" s="31" t="e">
        <f t="shared" si="6"/>
        <v>#DIV/0!</v>
      </c>
      <c r="G37" s="31" t="e">
        <f t="shared" si="7"/>
        <v>#DIV/0!</v>
      </c>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7"/>
    </row>
    <row r="38" spans="1:32" ht="18.75" x14ac:dyDescent="0.3">
      <c r="A38" s="8" t="s">
        <v>31</v>
      </c>
      <c r="B38" s="644">
        <f>B39+B40</f>
        <v>1556.5</v>
      </c>
      <c r="C38" s="41">
        <f t="shared" ref="C38:E39" si="24">C34</f>
        <v>1106.5</v>
      </c>
      <c r="D38" s="41">
        <f t="shared" si="24"/>
        <v>876.5</v>
      </c>
      <c r="E38" s="41">
        <f t="shared" si="24"/>
        <v>876.5</v>
      </c>
      <c r="F38" s="31">
        <f t="shared" si="6"/>
        <v>56.312238997751365</v>
      </c>
      <c r="G38" s="31">
        <f t="shared" si="7"/>
        <v>79.213737008585625</v>
      </c>
      <c r="H38" s="41">
        <f t="shared" ref="H38:AE38" si="25">H34</f>
        <v>0</v>
      </c>
      <c r="I38" s="41">
        <f t="shared" si="25"/>
        <v>0</v>
      </c>
      <c r="J38" s="41">
        <f t="shared" si="25"/>
        <v>0</v>
      </c>
      <c r="K38" s="41">
        <f t="shared" si="25"/>
        <v>0</v>
      </c>
      <c r="L38" s="41">
        <f t="shared" si="25"/>
        <v>0</v>
      </c>
      <c r="M38" s="41">
        <f t="shared" si="25"/>
        <v>0</v>
      </c>
      <c r="N38" s="41">
        <f t="shared" si="25"/>
        <v>476.5</v>
      </c>
      <c r="O38" s="41">
        <f t="shared" si="25"/>
        <v>0</v>
      </c>
      <c r="P38" s="41">
        <f t="shared" si="25"/>
        <v>360</v>
      </c>
      <c r="Q38" s="41">
        <f t="shared" si="25"/>
        <v>360</v>
      </c>
      <c r="R38" s="41">
        <f t="shared" si="25"/>
        <v>0</v>
      </c>
      <c r="S38" s="41">
        <f t="shared" si="25"/>
        <v>246.5</v>
      </c>
      <c r="T38" s="41">
        <f t="shared" si="25"/>
        <v>270</v>
      </c>
      <c r="U38" s="41">
        <f t="shared" si="25"/>
        <v>270</v>
      </c>
      <c r="V38" s="41">
        <f t="shared" si="25"/>
        <v>0</v>
      </c>
      <c r="W38" s="41">
        <f t="shared" si="25"/>
        <v>0</v>
      </c>
      <c r="X38" s="41">
        <f t="shared" si="25"/>
        <v>0</v>
      </c>
      <c r="Y38" s="41">
        <f t="shared" si="25"/>
        <v>0</v>
      </c>
      <c r="Z38" s="41">
        <f t="shared" si="25"/>
        <v>270</v>
      </c>
      <c r="AA38" s="41">
        <f t="shared" si="25"/>
        <v>0</v>
      </c>
      <c r="AB38" s="41">
        <f t="shared" si="25"/>
        <v>0</v>
      </c>
      <c r="AC38" s="41">
        <f t="shared" si="25"/>
        <v>0</v>
      </c>
      <c r="AD38" s="41">
        <f t="shared" si="25"/>
        <v>180</v>
      </c>
      <c r="AE38" s="41">
        <f t="shared" si="25"/>
        <v>0</v>
      </c>
      <c r="AF38" s="27"/>
    </row>
    <row r="39" spans="1:32" ht="18.75" x14ac:dyDescent="0.3">
      <c r="A39" s="7" t="s">
        <v>32</v>
      </c>
      <c r="B39" s="644">
        <f>B35</f>
        <v>476.5</v>
      </c>
      <c r="C39" s="41">
        <f t="shared" ref="C39:D40" si="26">C35</f>
        <v>476.5</v>
      </c>
      <c r="D39" s="41">
        <f t="shared" si="26"/>
        <v>246.5</v>
      </c>
      <c r="E39" s="41">
        <f t="shared" si="24"/>
        <v>246.5</v>
      </c>
      <c r="F39" s="31">
        <f t="shared" si="6"/>
        <v>51.731374606505774</v>
      </c>
      <c r="G39" s="31">
        <f t="shared" si="7"/>
        <v>51.731374606505774</v>
      </c>
      <c r="H39" s="41">
        <f t="shared" ref="H39:AE39" si="27">H35</f>
        <v>0</v>
      </c>
      <c r="I39" s="41">
        <f t="shared" si="27"/>
        <v>0</v>
      </c>
      <c r="J39" s="41">
        <f t="shared" si="27"/>
        <v>0</v>
      </c>
      <c r="K39" s="41">
        <f t="shared" si="27"/>
        <v>0</v>
      </c>
      <c r="L39" s="41">
        <f t="shared" si="27"/>
        <v>0</v>
      </c>
      <c r="M39" s="41">
        <f t="shared" si="27"/>
        <v>0</v>
      </c>
      <c r="N39" s="41">
        <f t="shared" si="27"/>
        <v>476.5</v>
      </c>
      <c r="O39" s="41">
        <f t="shared" si="27"/>
        <v>0</v>
      </c>
      <c r="P39" s="41">
        <f t="shared" si="27"/>
        <v>0</v>
      </c>
      <c r="Q39" s="41">
        <f t="shared" si="27"/>
        <v>0</v>
      </c>
      <c r="R39" s="41">
        <f t="shared" si="27"/>
        <v>0</v>
      </c>
      <c r="S39" s="41">
        <f t="shared" si="27"/>
        <v>246.5</v>
      </c>
      <c r="T39" s="41">
        <f t="shared" si="27"/>
        <v>0</v>
      </c>
      <c r="U39" s="41">
        <f t="shared" si="27"/>
        <v>0</v>
      </c>
      <c r="V39" s="41">
        <f t="shared" si="27"/>
        <v>0</v>
      </c>
      <c r="W39" s="41">
        <f t="shared" si="27"/>
        <v>0</v>
      </c>
      <c r="X39" s="41">
        <f t="shared" si="27"/>
        <v>0</v>
      </c>
      <c r="Y39" s="41">
        <f t="shared" si="27"/>
        <v>0</v>
      </c>
      <c r="Z39" s="41">
        <f t="shared" si="27"/>
        <v>0</v>
      </c>
      <c r="AA39" s="41">
        <f t="shared" si="27"/>
        <v>0</v>
      </c>
      <c r="AB39" s="41">
        <f t="shared" si="27"/>
        <v>0</v>
      </c>
      <c r="AC39" s="41">
        <f t="shared" si="27"/>
        <v>0</v>
      </c>
      <c r="AD39" s="41">
        <f t="shared" si="27"/>
        <v>0</v>
      </c>
      <c r="AE39" s="41">
        <f t="shared" si="27"/>
        <v>0</v>
      </c>
      <c r="AF39" s="27"/>
    </row>
    <row r="40" spans="1:32" ht="18.75" x14ac:dyDescent="0.3">
      <c r="A40" s="7" t="s">
        <v>33</v>
      </c>
      <c r="B40" s="644">
        <f>B36</f>
        <v>1080</v>
      </c>
      <c r="C40" s="41">
        <f t="shared" si="26"/>
        <v>630</v>
      </c>
      <c r="D40" s="41">
        <f t="shared" si="26"/>
        <v>630</v>
      </c>
      <c r="E40" s="41">
        <f>E36</f>
        <v>630</v>
      </c>
      <c r="F40" s="31">
        <f t="shared" si="6"/>
        <v>58.333333333333336</v>
      </c>
      <c r="G40" s="31">
        <f t="shared" si="7"/>
        <v>100</v>
      </c>
      <c r="H40" s="41">
        <f t="shared" ref="H40:AE40" si="28">H36</f>
        <v>0</v>
      </c>
      <c r="I40" s="41">
        <f t="shared" si="28"/>
        <v>0</v>
      </c>
      <c r="J40" s="41">
        <f t="shared" si="28"/>
        <v>0</v>
      </c>
      <c r="K40" s="41">
        <f t="shared" si="28"/>
        <v>0</v>
      </c>
      <c r="L40" s="41">
        <f t="shared" si="28"/>
        <v>0</v>
      </c>
      <c r="M40" s="41">
        <f t="shared" si="28"/>
        <v>0</v>
      </c>
      <c r="N40" s="41">
        <f>N36</f>
        <v>0</v>
      </c>
      <c r="O40" s="41">
        <f t="shared" si="28"/>
        <v>0</v>
      </c>
      <c r="P40" s="41">
        <f t="shared" si="28"/>
        <v>360</v>
      </c>
      <c r="Q40" s="41">
        <f t="shared" si="28"/>
        <v>360</v>
      </c>
      <c r="R40" s="41">
        <f t="shared" si="28"/>
        <v>0</v>
      </c>
      <c r="S40" s="41">
        <f t="shared" si="28"/>
        <v>0</v>
      </c>
      <c r="T40" s="41">
        <f t="shared" si="28"/>
        <v>270</v>
      </c>
      <c r="U40" s="41">
        <f t="shared" si="28"/>
        <v>270</v>
      </c>
      <c r="V40" s="41">
        <f t="shared" si="28"/>
        <v>0</v>
      </c>
      <c r="W40" s="41">
        <f t="shared" si="28"/>
        <v>0</v>
      </c>
      <c r="X40" s="41">
        <f t="shared" si="28"/>
        <v>0</v>
      </c>
      <c r="Y40" s="41">
        <f t="shared" si="28"/>
        <v>0</v>
      </c>
      <c r="Z40" s="41">
        <f t="shared" si="28"/>
        <v>270</v>
      </c>
      <c r="AA40" s="41">
        <f t="shared" si="28"/>
        <v>0</v>
      </c>
      <c r="AB40" s="41">
        <f t="shared" si="28"/>
        <v>0</v>
      </c>
      <c r="AC40" s="41">
        <f t="shared" si="28"/>
        <v>0</v>
      </c>
      <c r="AD40" s="41">
        <f t="shared" si="28"/>
        <v>180</v>
      </c>
      <c r="AE40" s="41">
        <f t="shared" si="28"/>
        <v>0</v>
      </c>
      <c r="AF40" s="27"/>
    </row>
    <row r="42" spans="1:32" ht="37.5" x14ac:dyDescent="0.3">
      <c r="A42" s="9" t="s">
        <v>488</v>
      </c>
      <c r="B42" s="26"/>
      <c r="C42" s="26"/>
      <c r="D42" s="23" t="s">
        <v>487</v>
      </c>
      <c r="G42" s="16"/>
    </row>
    <row r="43" spans="1:32" ht="18.75" x14ac:dyDescent="0.3">
      <c r="A43" s="9"/>
      <c r="B43" s="20" t="s">
        <v>68</v>
      </c>
      <c r="C43" s="20"/>
      <c r="D43" s="22"/>
      <c r="G43" s="44"/>
    </row>
    <row r="44" spans="1:32" ht="56.25" x14ac:dyDescent="0.3">
      <c r="A44" s="645" t="s">
        <v>489</v>
      </c>
      <c r="B44" s="645"/>
      <c r="C44" s="645"/>
      <c r="D44" s="646"/>
      <c r="G44" s="16"/>
    </row>
    <row r="45" spans="1:32" ht="18.75" x14ac:dyDescent="0.3">
      <c r="A45" s="645"/>
      <c r="B45" s="645"/>
      <c r="C45" s="645"/>
      <c r="D45" s="647"/>
      <c r="G45" s="16"/>
    </row>
    <row r="46" spans="1:32" x14ac:dyDescent="0.25">
      <c r="A46" s="648"/>
      <c r="B46" s="648"/>
      <c r="C46" s="648"/>
      <c r="D46" s="648"/>
    </row>
    <row r="47" spans="1:32" x14ac:dyDescent="0.25">
      <c r="A47" s="648"/>
      <c r="B47" s="648"/>
      <c r="C47" s="648"/>
      <c r="D47" s="648"/>
    </row>
  </sheetData>
  <customSheetViews>
    <customSheetView guid="{7C130984-112A-4861-AA43-E2940708E3DC}" scale="60" state="hidden">
      <pane xSplit="2" ySplit="7" topLeftCell="I20" activePane="bottomRight" state="frozen"/>
      <selection pane="bottomRight" activeCell="AF23" sqref="AF23"/>
      <pageMargins left="0.7" right="0.7" top="0.75" bottom="0.75" header="0.3" footer="0.3"/>
      <pageSetup paperSize="9" orientation="portrait" r:id="rId1"/>
    </customSheetView>
    <customSheetView guid="{3C3F523F-5F34-4CF7-831E-F1ABC4278CEB}" scale="60">
      <pane xSplit="1" ySplit="6" topLeftCell="Y7" activePane="bottomRight" state="frozen"/>
      <selection pane="bottomRight" activeCell="F15" sqref="F15"/>
      <pageMargins left="0.7" right="0.7" top="0.75" bottom="0.75" header="0.3" footer="0.3"/>
      <pageSetup paperSize="9" orientation="portrait" r:id="rId2"/>
    </customSheetView>
    <customSheetView guid="{D01FA037-9AEC-4167-ADB8-2F327C01ECE6}" scale="60">
      <pane xSplit="1" ySplit="6" topLeftCell="Y7" activePane="bottomRight" state="frozen"/>
      <selection pane="bottomRight" activeCell="F15" sqref="F15"/>
      <pageMargins left="0.7" right="0.7" top="0.75" bottom="0.75" header="0.3" footer="0.3"/>
      <pageSetup paperSize="9" orientation="portrait" r:id="rId3"/>
    </customSheetView>
    <customSheetView guid="{602C8EDB-B9EF-4C85-B0D5-0558C3A0ABAB}" scale="60">
      <pane xSplit="1" ySplit="6" topLeftCell="Y7" activePane="bottomRight" state="frozen"/>
      <selection pane="bottomRight" activeCell="F15" sqref="F15"/>
      <pageMargins left="0.7" right="0.7" top="0.75" bottom="0.75" header="0.3" footer="0.3"/>
      <pageSetup paperSize="9" orientation="portrait" r:id="rId4"/>
    </customSheetView>
    <customSheetView guid="{69DABE6F-6182-4403-A4A2-969F10F1C13A}" scale="60">
      <pane xSplit="1" ySplit="6" topLeftCell="Y7" activePane="bottomRight" state="frozen"/>
      <selection pane="bottomRight" activeCell="F15" sqref="F15"/>
      <pageMargins left="0.7" right="0.7" top="0.75" bottom="0.75" header="0.3" footer="0.3"/>
      <pageSetup paperSize="9" orientation="portrait" r:id="rId5"/>
    </customSheetView>
    <customSheetView guid="{E508E171-4ED9-4B07-84DF-DA28C60E1969}" scale="60">
      <pane xSplit="1" ySplit="6" topLeftCell="Y7" activePane="bottomRight" state="frozen"/>
      <selection pane="bottomRight" activeCell="F15" sqref="F15"/>
      <pageMargins left="0.7" right="0.7" top="0.75" bottom="0.75" header="0.3" footer="0.3"/>
      <pageSetup paperSize="9" orientation="portrait" r:id="rId6"/>
    </customSheetView>
    <customSheetView guid="{AC2D5927-4079-4C74-AF69-1BFAC505648F}" scale="60">
      <pane xSplit="1" ySplit="6" topLeftCell="B7" activePane="bottomRight" state="frozen"/>
      <selection pane="bottomRight" activeCell="E15" sqref="E15"/>
      <pageMargins left="0.7" right="0.7" top="0.75" bottom="0.75" header="0.3" footer="0.3"/>
      <pageSetup paperSize="9" orientation="portrait" r:id="rId7"/>
    </customSheetView>
    <customSheetView guid="{442F2C94-DD1B-4A01-8694-513D4D6F3BD9}" scale="60">
      <pane xSplit="1" ySplit="6" topLeftCell="B7" activePane="bottomRight" state="frozen"/>
      <selection pane="bottomRight" activeCell="E15" sqref="E15"/>
      <pageMargins left="0.7" right="0.7" top="0.75" bottom="0.75" header="0.3" footer="0.3"/>
      <pageSetup paperSize="9" orientation="portrait" r:id="rId8"/>
    </customSheetView>
    <customSheetView guid="{CE1CCA00-200D-4EAA-9FBE-F8EE7C5F82FE}" scale="60">
      <pane xSplit="1" ySplit="6" topLeftCell="B7" activePane="bottomRight" state="frozen"/>
      <selection pane="bottomRight" activeCell="E15" sqref="E15"/>
      <pageMargins left="0.7" right="0.7" top="0.75" bottom="0.75" header="0.3" footer="0.3"/>
      <pageSetup paperSize="9" orientation="portrait" r:id="rId9"/>
    </customSheetView>
    <customSheetView guid="{4D0DFB57-2CBA-42F2-9A97-C453A6851FBA}" scale="60">
      <pane xSplit="1" ySplit="6" topLeftCell="B7" activePane="bottomRight" state="frozen"/>
      <selection pane="bottomRight" activeCell="E15" sqref="E15"/>
      <pageMargins left="0.7" right="0.7" top="0.75" bottom="0.75" header="0.3" footer="0.3"/>
      <pageSetup paperSize="9" orientation="portrait" r:id="rId10"/>
    </customSheetView>
    <customSheetView guid="{85F4575B-DBC5-482A-9916-255D8F0BC94E}" scale="60">
      <pane xSplit="1" ySplit="6" topLeftCell="B7" activePane="bottomRight" state="frozen"/>
      <selection pane="bottomRight" activeCell="C41" sqref="C41"/>
      <pageMargins left="0.7" right="0.7" top="0.75" bottom="0.75" header="0.3" footer="0.3"/>
      <pageSetup paperSize="9" orientation="portrait" r:id="rId11"/>
    </customSheetView>
    <customSheetView guid="{B1BF08D1-D416-4B47-ADD0-4F59132DC9E8}" scale="60">
      <pane xSplit="1" ySplit="6" topLeftCell="B7" activePane="bottomRight" state="frozen"/>
      <selection pane="bottomRight" activeCell="C41" sqref="C41"/>
      <pageMargins left="0.7" right="0.7" top="0.75" bottom="0.75" header="0.3" footer="0.3"/>
      <pageSetup paperSize="9" orientation="portrait" r:id="rId12"/>
    </customSheetView>
    <customSheetView guid="{BCD82A82-B724-4763-8580-D765356E09BA}" scale="60">
      <pane xSplit="1" ySplit="6" topLeftCell="B7" activePane="bottomRight" state="frozen"/>
      <selection pane="bottomRight" activeCell="E14" sqref="E14"/>
      <pageMargins left="0.7" right="0.7" top="0.75" bottom="0.75" header="0.3" footer="0.3"/>
      <pageSetup paperSize="9" orientation="portrait" r:id="rId13"/>
    </customSheetView>
    <customSheetView guid="{C236B307-BD63-48C4-A75F-B3F3717BF55C}" scale="60">
      <pane xSplit="1" ySplit="6" topLeftCell="B7" activePane="bottomRight" state="frozen"/>
      <selection pane="bottomRight" activeCell="H23" sqref="H23"/>
      <pageMargins left="0.7" right="0.7" top="0.75" bottom="0.75" header="0.3" footer="0.3"/>
      <pageSetup paperSize="9" orientation="portrait" r:id="rId14"/>
    </customSheetView>
    <customSheetView guid="{874882D1-E741-4CCA-BF0D-E72FA60B771D}" scale="60">
      <pane xSplit="1" ySplit="6" topLeftCell="B7" activePane="bottomRight" state="frozen"/>
      <selection pane="bottomRight" activeCell="H23" sqref="H23"/>
      <pageMargins left="0.7" right="0.7" top="0.75" bottom="0.75" header="0.3" footer="0.3"/>
      <pageSetup paperSize="9" orientation="portrait" r:id="rId15"/>
    </customSheetView>
    <customSheetView guid="{B82BA08A-1A30-4F4D-A478-74A6BD09EA97}" scale="60">
      <pane xSplit="1" ySplit="6" topLeftCell="B7" activePane="bottomRight" state="frozen"/>
      <selection pane="bottomRight" activeCell="H23" sqref="H23"/>
      <pageMargins left="0.7" right="0.7" top="0.75" bottom="0.75" header="0.3" footer="0.3"/>
      <pageSetup paperSize="9" orientation="portrait" r:id="rId16"/>
    </customSheetView>
    <customSheetView guid="{770624BF-07F3-44B6-94C3-4CC447CDD45C}" scale="60">
      <pane xSplit="1" ySplit="6" topLeftCell="B7" activePane="bottomRight" state="frozen"/>
      <selection pane="bottomRight" activeCell="F38" sqref="F38"/>
      <pageMargins left="0.7" right="0.7" top="0.75" bottom="0.75" header="0.3" footer="0.3"/>
      <pageSetup paperSize="9" orientation="portrait" r:id="rId17"/>
    </customSheetView>
    <customSheetView guid="{009B3074-D8EC-4952-BF50-43CD64449612}" scale="60">
      <pane xSplit="1" ySplit="6" topLeftCell="B7" activePane="bottomRight" state="frozen"/>
      <selection pane="bottomRight" activeCell="C41" sqref="C41"/>
      <pageMargins left="0.7" right="0.7" top="0.75" bottom="0.75" header="0.3" footer="0.3"/>
      <pageSetup paperSize="9" orientation="portrait" r:id="rId18"/>
    </customSheetView>
    <customSheetView guid="{F679EF4A-C5FD-4B86-B87B-D85968E0F2CA}" scale="60">
      <pane xSplit="1" ySplit="6" topLeftCell="B7" activePane="bottomRight" state="frozen"/>
      <selection pane="bottomRight" activeCell="C41" sqref="C41"/>
      <pageMargins left="0.7" right="0.7" top="0.75" bottom="0.75" header="0.3" footer="0.3"/>
      <pageSetup paperSize="9" orientation="portrait" r:id="rId19"/>
    </customSheetView>
    <customSheetView guid="{959E901C-5DDE-42EE-AE94-AB8976B5E00B}" scale="60">
      <pane xSplit="1" ySplit="6" topLeftCell="B7" activePane="bottomRight" state="frozen"/>
      <selection pane="bottomRight" activeCell="C41" sqref="C41"/>
      <pageMargins left="0.7" right="0.7" top="0.75" bottom="0.75" header="0.3" footer="0.3"/>
      <pageSetup paperSize="9" orientation="portrait" r:id="rId20"/>
    </customSheetView>
    <customSheetView guid="{533DC55B-6AD4-4674-9488-685EF2039F3E}" scale="60">
      <pane xSplit="1" ySplit="6" topLeftCell="B7" activePane="bottomRight" state="frozen"/>
      <selection pane="bottomRight" activeCell="A42" sqref="A42"/>
      <pageMargins left="0.7" right="0.7" top="0.75" bottom="0.75" header="0.3" footer="0.3"/>
      <pageSetup paperSize="9" orientation="portrait" r:id="rId21"/>
    </customSheetView>
    <customSheetView guid="{87218168-6C8E-4D5B-A5E5-DCCC26803AA3}" scale="60">
      <pane xSplit="1" ySplit="6" topLeftCell="B7" activePane="bottomRight" state="frozen"/>
      <selection pane="bottomRight" activeCell="E15" sqref="E15"/>
      <pageMargins left="0.7" right="0.7" top="0.75" bottom="0.75" header="0.3" footer="0.3"/>
      <pageSetup paperSize="9" orientation="portrait" r:id="rId22"/>
    </customSheetView>
    <customSheetView guid="{DAA8A688-7558-4B5B-8DBD-E2629BD9E9A8}" scale="60">
      <pane xSplit="1" ySplit="6" topLeftCell="B7" activePane="bottomRight" state="frozen"/>
      <selection pane="bottomRight" activeCell="E15" sqref="E15"/>
      <pageMargins left="0.7" right="0.7" top="0.75" bottom="0.75" header="0.3" footer="0.3"/>
      <pageSetup paperSize="9" orientation="portrait" r:id="rId23"/>
    </customSheetView>
    <customSheetView guid="{391AB76E-B386-49C1-800F-016A48AA1A46}" scale="60">
      <pane xSplit="1" ySplit="6" topLeftCell="B7" activePane="bottomRight" state="frozen"/>
      <selection pane="bottomRight" activeCell="E15" sqref="E15"/>
      <pageMargins left="0.7" right="0.7" top="0.75" bottom="0.75" header="0.3" footer="0.3"/>
      <pageSetup paperSize="9" orientation="portrait" r:id="rId24"/>
    </customSheetView>
    <customSheetView guid="{09C3E205-981E-4A4E-BE89-8B7044192060}" scale="60">
      <pane xSplit="1" ySplit="6" topLeftCell="Y7" activePane="bottomRight" state="frozen"/>
      <selection pane="bottomRight" activeCell="F15" sqref="F15"/>
      <pageMargins left="0.7" right="0.7" top="0.75" bottom="0.75" header="0.3" footer="0.3"/>
      <pageSetup paperSize="9" orientation="portrait" r:id="rId25"/>
    </customSheetView>
    <customSheetView guid="{84867370-1F3E-4368-AF79-FBCE46FFFE92}" scale="60">
      <pane xSplit="1" ySplit="6" topLeftCell="Y7" activePane="bottomRight" state="frozen"/>
      <selection pane="bottomRight" activeCell="F15" sqref="F15"/>
      <pageMargins left="0.7" right="0.7" top="0.75" bottom="0.75" header="0.3" footer="0.3"/>
      <pageSetup paperSize="9" orientation="portrait" r:id="rId26"/>
    </customSheetView>
    <customSheetView guid="{0C2B9C2A-7B94-41EF-A2E6-F8AC9A67DE25}" scale="60">
      <pane xSplit="1" ySplit="6" topLeftCell="Y7" activePane="bottomRight" state="frozen"/>
      <selection pane="bottomRight" activeCell="F15" sqref="F15"/>
      <pageMargins left="0.7" right="0.7" top="0.75" bottom="0.75" header="0.3" footer="0.3"/>
      <pageSetup paperSize="9" orientation="portrait" r:id="rId27"/>
    </customSheetView>
    <customSheetView guid="{CB4792DB-A624-4844-AEB6-A6ADA80946BB}" scale="60">
      <pane xSplit="1" ySplit="6" topLeftCell="Y7" activePane="bottomRight" state="frozen"/>
      <selection pane="bottomRight" activeCell="F15" sqref="F15"/>
      <pageMargins left="0.7" right="0.7" top="0.75" bottom="0.75" header="0.3" footer="0.3"/>
      <pageSetup paperSize="9" orientation="portrait" r:id="rId28"/>
    </customSheetView>
    <customSheetView guid="{74870EE6-26B9-40F7-9DC9-260EF16D8959}" scale="60">
      <pane xSplit="1" ySplit="6" topLeftCell="Y7" activePane="bottomRight" state="frozen"/>
      <selection pane="bottomRight" activeCell="F15" sqref="F15"/>
      <pageMargins left="0.7" right="0.7" top="0.75" bottom="0.75" header="0.3" footer="0.3"/>
      <pageSetup paperSize="9" orientation="portrait" r:id="rId29"/>
    </customSheetView>
    <customSheetView guid="{6A602CB8-B24C-4ED4-B378-B27354BE0A1A}" scale="60">
      <pane xSplit="1" ySplit="6" topLeftCell="Y7" activePane="bottomRight" state="frozen"/>
      <selection pane="bottomRight" activeCell="F15" sqref="F15"/>
      <pageMargins left="0.7" right="0.7" top="0.75" bottom="0.75" header="0.3" footer="0.3"/>
      <pageSetup paperSize="9" orientation="portrait" r:id="rId30"/>
    </customSheetView>
    <customSheetView guid="{4F41B9CC-959D-442C-80B0-1F0DB2C76D27}" scale="60">
      <pane xSplit="1" ySplit="5" topLeftCell="Y7" activePane="bottomRight" state="frozen"/>
      <selection pane="bottomRight" activeCell="F15" sqref="F15"/>
      <pageMargins left="0.7" right="0.7" top="0.75" bottom="0.75" header="0.3" footer="0.3"/>
      <pageSetup paperSize="9" orientation="portrait" r:id="rId31"/>
    </customSheetView>
    <customSheetView guid="{47B983AB-FE5F-4725-860C-A2F29420596D}" scale="60">
      <pane xSplit="2" ySplit="7" topLeftCell="C10" activePane="bottomRight" state="frozen"/>
      <selection pane="bottomRight" activeCell="U12" sqref="U12"/>
      <pageMargins left="0.7" right="0.7" top="0.75" bottom="0.75" header="0.3" footer="0.3"/>
      <pageSetup paperSize="9" orientation="portrait" r:id="rId32"/>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AF3:AF5"/>
    <mergeCell ref="X3:Y4"/>
    <mergeCell ref="Z3:AA4"/>
    <mergeCell ref="AB3:AC4"/>
    <mergeCell ref="AD3:AE4"/>
  </mergeCells>
  <hyperlinks>
    <hyperlink ref="A2:AE2" location="Оглавление!A1" display=" &quot;Развитие агропромышленного комплекса в городе Когалыме&quot;"/>
  </hyperlinks>
  <pageMargins left="0.7" right="0.7" top="0.75" bottom="0.75" header="0.3" footer="0.3"/>
  <pageSetup paperSize="9" orientation="portrait" r:id="rId33"/>
  <extLst>
    <ext xmlns:x14="http://schemas.microsoft.com/office/spreadsheetml/2009/9/main" uri="{CCE6A557-97BC-4b89-ADB6-D9C93CAAB3DF}">
      <x14:dataValidations xmlns:xm="http://schemas.microsoft.com/office/excel/2006/main" count="1">
        <x14:dataValidation type="list" allowBlank="1" showInputMessage="1" showErrorMessage="1">
          <x14:formula1>
            <xm:f>Оглавление!$B$22:$B$33</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3"/>
  <sheetViews>
    <sheetView zoomScale="60" zoomScaleNormal="60" workbookViewId="0">
      <pane xSplit="1" ySplit="6" topLeftCell="B34" activePane="bottomRight" state="frozen"/>
      <selection pane="topRight" activeCell="B1" sqref="B1"/>
      <selection pane="bottomLeft" activeCell="A7" sqref="A7"/>
      <selection pane="bottomRight" activeCell="E6" sqref="E6"/>
    </sheetView>
  </sheetViews>
  <sheetFormatPr defaultRowHeight="15" x14ac:dyDescent="0.25"/>
  <cols>
    <col min="1" max="1" width="46.140625" customWidth="1"/>
    <col min="2" max="2" width="18.7109375" bestFit="1" customWidth="1"/>
    <col min="3" max="3" width="19.7109375" customWidth="1"/>
    <col min="4" max="4" width="17" customWidth="1"/>
    <col min="5" max="5" width="16.85546875" customWidth="1"/>
    <col min="6" max="6" width="16.5703125" bestFit="1" customWidth="1"/>
    <col min="7" max="7" width="17" customWidth="1"/>
    <col min="8" max="9" width="15.5703125" bestFit="1" customWidth="1"/>
    <col min="10" max="10" width="17.28515625" bestFit="1" customWidth="1"/>
    <col min="11" max="13" width="15.5703125" bestFit="1" customWidth="1"/>
    <col min="14" max="14" width="17.28515625" bestFit="1" customWidth="1"/>
    <col min="15" max="15" width="15.5703125" bestFit="1" customWidth="1"/>
    <col min="16" max="16" width="17.28515625" bestFit="1" customWidth="1"/>
    <col min="17" max="17" width="15.5703125" bestFit="1" customWidth="1"/>
    <col min="18" max="18" width="17.28515625" bestFit="1" customWidth="1"/>
    <col min="19" max="19" width="15.5703125" bestFit="1" customWidth="1"/>
    <col min="20" max="20" width="17.28515625" bestFit="1" customWidth="1"/>
    <col min="21" max="21" width="15.5703125" bestFit="1" customWidth="1"/>
    <col min="22" max="22" width="17.28515625" bestFit="1" customWidth="1"/>
    <col min="23" max="23" width="13.5703125" bestFit="1" customWidth="1"/>
    <col min="24" max="24" width="15.5703125" bestFit="1" customWidth="1"/>
    <col min="25" max="25" width="13.5703125" bestFit="1" customWidth="1"/>
    <col min="26" max="26" width="15.57031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5.5703125" customWidth="1"/>
  </cols>
  <sheetData>
    <row r="1" spans="1:33" ht="18.75" x14ac:dyDescent="0.25">
      <c r="A1" s="1050" t="s">
        <v>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row>
    <row r="2" spans="1:33" ht="18.75" x14ac:dyDescent="0.25">
      <c r="A2" s="1051" t="s">
        <v>48</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 t="s">
        <v>1</v>
      </c>
    </row>
    <row r="3" spans="1:33" x14ac:dyDescent="0.25">
      <c r="A3" s="1043" t="s">
        <v>2</v>
      </c>
      <c r="B3" s="1052" t="s">
        <v>3</v>
      </c>
      <c r="C3" s="1052" t="s">
        <v>3</v>
      </c>
      <c r="D3" s="1052" t="s">
        <v>4</v>
      </c>
      <c r="E3" s="1054" t="s">
        <v>5</v>
      </c>
      <c r="F3" s="1046" t="s">
        <v>6</v>
      </c>
      <c r="G3" s="1047"/>
      <c r="H3" s="1046" t="s">
        <v>7</v>
      </c>
      <c r="I3" s="1047"/>
      <c r="J3" s="1046" t="s">
        <v>8</v>
      </c>
      <c r="K3" s="1047"/>
      <c r="L3" s="1046" t="s">
        <v>9</v>
      </c>
      <c r="M3" s="1047"/>
      <c r="N3" s="1046" t="s">
        <v>10</v>
      </c>
      <c r="O3" s="1047"/>
      <c r="P3" s="1046" t="s">
        <v>11</v>
      </c>
      <c r="Q3" s="1047"/>
      <c r="R3" s="1046" t="s">
        <v>12</v>
      </c>
      <c r="S3" s="1047"/>
      <c r="T3" s="1046" t="s">
        <v>13</v>
      </c>
      <c r="U3" s="1047"/>
      <c r="V3" s="1046" t="s">
        <v>14</v>
      </c>
      <c r="W3" s="1047"/>
      <c r="X3" s="1046" t="s">
        <v>15</v>
      </c>
      <c r="Y3" s="1047"/>
      <c r="Z3" s="1046" t="s">
        <v>16</v>
      </c>
      <c r="AA3" s="1047"/>
      <c r="AB3" s="1046" t="s">
        <v>17</v>
      </c>
      <c r="AC3" s="1047"/>
      <c r="AD3" s="1046" t="s">
        <v>18</v>
      </c>
      <c r="AE3" s="1047"/>
      <c r="AF3" s="1043" t="s">
        <v>19</v>
      </c>
    </row>
    <row r="4" spans="1:33" ht="42.75" customHeight="1" x14ac:dyDescent="0.25">
      <c r="A4" s="1044"/>
      <c r="B4" s="1053"/>
      <c r="C4" s="1053"/>
      <c r="D4" s="1053"/>
      <c r="E4" s="1055"/>
      <c r="F4" s="1048"/>
      <c r="G4" s="1049"/>
      <c r="H4" s="1048"/>
      <c r="I4" s="1049"/>
      <c r="J4" s="1048"/>
      <c r="K4" s="1049"/>
      <c r="L4" s="1048"/>
      <c r="M4" s="1049"/>
      <c r="N4" s="1048"/>
      <c r="O4" s="1049"/>
      <c r="P4" s="1048"/>
      <c r="Q4" s="1049"/>
      <c r="R4" s="1048"/>
      <c r="S4" s="1049"/>
      <c r="T4" s="1048"/>
      <c r="U4" s="1049"/>
      <c r="V4" s="1048"/>
      <c r="W4" s="1049"/>
      <c r="X4" s="1048"/>
      <c r="Y4" s="1049"/>
      <c r="Z4" s="1048"/>
      <c r="AA4" s="1049"/>
      <c r="AB4" s="1048"/>
      <c r="AC4" s="1049"/>
      <c r="AD4" s="1048"/>
      <c r="AE4" s="1049"/>
      <c r="AF4" s="1044"/>
    </row>
    <row r="5" spans="1:33" ht="56.25" x14ac:dyDescent="0.25">
      <c r="A5" s="24"/>
      <c r="B5" s="3">
        <v>2024</v>
      </c>
      <c r="C5" s="4">
        <v>45505</v>
      </c>
      <c r="D5" s="4">
        <v>45505</v>
      </c>
      <c r="E5" s="4">
        <v>45505</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45"/>
    </row>
    <row r="6" spans="1:33"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3" ht="112.5" x14ac:dyDescent="0.25">
      <c r="A7" s="49" t="s">
        <v>75</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3" ht="18.75" x14ac:dyDescent="0.25">
      <c r="A8" s="6"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3" ht="56.25" customHeight="1" x14ac:dyDescent="0.25">
      <c r="A9" s="50" t="s">
        <v>49</v>
      </c>
      <c r="B9" s="873">
        <f t="shared" ref="B9:E10" si="0">B10</f>
        <v>853.42</v>
      </c>
      <c r="C9" s="873">
        <f>C10</f>
        <v>317.7</v>
      </c>
      <c r="D9" s="873">
        <f t="shared" si="0"/>
        <v>317.7</v>
      </c>
      <c r="E9" s="873">
        <f t="shared" si="0"/>
        <v>209.35</v>
      </c>
      <c r="F9" s="30"/>
      <c r="G9" s="30"/>
      <c r="H9" s="30">
        <f t="shared" ref="H9:Q10" si="1">H10</f>
        <v>0</v>
      </c>
      <c r="I9" s="30">
        <f t="shared" si="1"/>
        <v>0</v>
      </c>
      <c r="J9" s="30">
        <f t="shared" si="1"/>
        <v>0</v>
      </c>
      <c r="K9" s="30">
        <f t="shared" si="1"/>
        <v>0</v>
      </c>
      <c r="L9" s="30">
        <f t="shared" si="1"/>
        <v>0</v>
      </c>
      <c r="M9" s="30">
        <f t="shared" si="1"/>
        <v>0</v>
      </c>
      <c r="N9" s="30">
        <f t="shared" si="1"/>
        <v>2.7</v>
      </c>
      <c r="O9" s="30">
        <f t="shared" si="1"/>
        <v>0</v>
      </c>
      <c r="P9" s="30">
        <f t="shared" si="1"/>
        <v>4.4000000000000004</v>
      </c>
      <c r="Q9" s="30">
        <f t="shared" si="1"/>
        <v>3.36</v>
      </c>
      <c r="R9" s="30">
        <f t="shared" ref="R9:AA10" si="2">R10</f>
        <v>68.3</v>
      </c>
      <c r="S9" s="30">
        <f t="shared" si="2"/>
        <v>5.04</v>
      </c>
      <c r="T9" s="30">
        <f t="shared" si="2"/>
        <v>242.3</v>
      </c>
      <c r="U9" s="30">
        <f t="shared" si="2"/>
        <v>200.95</v>
      </c>
      <c r="V9" s="30">
        <f t="shared" si="2"/>
        <v>248.9</v>
      </c>
      <c r="W9" s="30">
        <f t="shared" si="2"/>
        <v>0</v>
      </c>
      <c r="X9" s="30">
        <f t="shared" si="2"/>
        <v>282.42</v>
      </c>
      <c r="Y9" s="30">
        <f t="shared" si="2"/>
        <v>0</v>
      </c>
      <c r="Z9" s="30">
        <f t="shared" si="2"/>
        <v>4.4000000000000004</v>
      </c>
      <c r="AA9" s="30">
        <f t="shared" si="2"/>
        <v>0</v>
      </c>
      <c r="AB9" s="30">
        <f t="shared" ref="AB9:AE10" si="3">AB10</f>
        <v>0</v>
      </c>
      <c r="AC9" s="30">
        <f t="shared" si="3"/>
        <v>0</v>
      </c>
      <c r="AD9" s="30">
        <f t="shared" si="3"/>
        <v>0</v>
      </c>
      <c r="AE9" s="30">
        <f t="shared" si="3"/>
        <v>0</v>
      </c>
      <c r="AF9" s="21"/>
    </row>
    <row r="10" spans="1:33" ht="18.75" x14ac:dyDescent="0.3">
      <c r="A10" s="13" t="s">
        <v>31</v>
      </c>
      <c r="B10" s="47">
        <f t="shared" si="0"/>
        <v>853.42</v>
      </c>
      <c r="C10" s="47">
        <f t="shared" si="0"/>
        <v>317.7</v>
      </c>
      <c r="D10" s="47">
        <f t="shared" si="0"/>
        <v>317.7</v>
      </c>
      <c r="E10" s="47">
        <f t="shared" si="0"/>
        <v>209.35</v>
      </c>
      <c r="F10" s="32">
        <f>E10/B10*100</f>
        <v>24.530711724590471</v>
      </c>
      <c r="G10" s="32">
        <f>E10/C10*100</f>
        <v>65.895498898331766</v>
      </c>
      <c r="H10" s="47">
        <f t="shared" si="1"/>
        <v>0</v>
      </c>
      <c r="I10" s="47">
        <f t="shared" si="1"/>
        <v>0</v>
      </c>
      <c r="J10" s="47">
        <f t="shared" si="1"/>
        <v>0</v>
      </c>
      <c r="K10" s="47">
        <f t="shared" si="1"/>
        <v>0</v>
      </c>
      <c r="L10" s="47">
        <f t="shared" si="1"/>
        <v>0</v>
      </c>
      <c r="M10" s="47">
        <f t="shared" si="1"/>
        <v>0</v>
      </c>
      <c r="N10" s="47">
        <f t="shared" si="1"/>
        <v>2.7</v>
      </c>
      <c r="O10" s="47">
        <f t="shared" si="1"/>
        <v>0</v>
      </c>
      <c r="P10" s="47">
        <f t="shared" si="1"/>
        <v>4.4000000000000004</v>
      </c>
      <c r="Q10" s="47">
        <f t="shared" si="1"/>
        <v>3.36</v>
      </c>
      <c r="R10" s="47">
        <f t="shared" si="2"/>
        <v>68.3</v>
      </c>
      <c r="S10" s="47">
        <f t="shared" si="2"/>
        <v>5.04</v>
      </c>
      <c r="T10" s="47">
        <f t="shared" si="2"/>
        <v>242.3</v>
      </c>
      <c r="U10" s="47">
        <f t="shared" si="2"/>
        <v>200.95</v>
      </c>
      <c r="V10" s="47">
        <f t="shared" si="2"/>
        <v>248.9</v>
      </c>
      <c r="W10" s="47">
        <f t="shared" si="2"/>
        <v>0</v>
      </c>
      <c r="X10" s="47">
        <f t="shared" si="2"/>
        <v>282.42</v>
      </c>
      <c r="Y10" s="47">
        <f t="shared" si="2"/>
        <v>0</v>
      </c>
      <c r="Z10" s="47">
        <f t="shared" si="2"/>
        <v>4.4000000000000004</v>
      </c>
      <c r="AA10" s="47">
        <f t="shared" si="2"/>
        <v>0</v>
      </c>
      <c r="AB10" s="47">
        <f t="shared" si="3"/>
        <v>0</v>
      </c>
      <c r="AC10" s="47">
        <f t="shared" si="3"/>
        <v>0</v>
      </c>
      <c r="AD10" s="47">
        <f t="shared" si="3"/>
        <v>0</v>
      </c>
      <c r="AE10" s="47">
        <f t="shared" si="3"/>
        <v>0</v>
      </c>
      <c r="AF10" s="29"/>
    </row>
    <row r="11" spans="1:33" ht="18.75" x14ac:dyDescent="0.3">
      <c r="A11" s="17" t="s">
        <v>33</v>
      </c>
      <c r="B11" s="47">
        <f>H11+J11+L11+N11+P11+R11+T11+V11+X11+Z11+AB11+AD11</f>
        <v>853.42</v>
      </c>
      <c r="C11" s="47">
        <f>N11+P11+R11+T11</f>
        <v>317.7</v>
      </c>
      <c r="D11" s="47">
        <f>N11+P11+R11+T11</f>
        <v>317.7</v>
      </c>
      <c r="E11" s="32">
        <f>Q11+S11+U11</f>
        <v>209.35</v>
      </c>
      <c r="F11" s="32">
        <f t="shared" ref="F11:F17" si="4">E11/B11*100</f>
        <v>24.530711724590471</v>
      </c>
      <c r="G11" s="32">
        <f t="shared" ref="G11:G17" si="5">E11/C11*100</f>
        <v>65.895498898331766</v>
      </c>
      <c r="H11" s="32">
        <v>0</v>
      </c>
      <c r="I11" s="32"/>
      <c r="J11" s="32">
        <v>0</v>
      </c>
      <c r="K11" s="32"/>
      <c r="L11" s="32">
        <v>0</v>
      </c>
      <c r="M11" s="32"/>
      <c r="N11" s="32">
        <v>2.7</v>
      </c>
      <c r="O11" s="32"/>
      <c r="P11" s="32">
        <v>4.4000000000000004</v>
      </c>
      <c r="Q11" s="32">
        <v>3.36</v>
      </c>
      <c r="R11" s="32">
        <v>68.3</v>
      </c>
      <c r="S11" s="32">
        <v>5.04</v>
      </c>
      <c r="T11" s="32">
        <v>242.3</v>
      </c>
      <c r="U11" s="32">
        <v>200.95</v>
      </c>
      <c r="V11" s="32">
        <v>248.9</v>
      </c>
      <c r="W11" s="32"/>
      <c r="X11" s="32">
        <v>282.42</v>
      </c>
      <c r="Y11" s="32"/>
      <c r="Z11" s="32">
        <v>4.4000000000000004</v>
      </c>
      <c r="AA11" s="32"/>
      <c r="AB11" s="32">
        <v>0</v>
      </c>
      <c r="AC11" s="32"/>
      <c r="AD11" s="32">
        <v>0</v>
      </c>
      <c r="AE11" s="32"/>
      <c r="AF11" s="29"/>
      <c r="AG11" s="71">
        <f>C11-E11</f>
        <v>108.35</v>
      </c>
    </row>
    <row r="12" spans="1:33" ht="112.5" x14ac:dyDescent="0.3">
      <c r="A12" s="51" t="s">
        <v>50</v>
      </c>
      <c r="B12" s="874">
        <f t="shared" ref="B12:E13" si="6">B13</f>
        <v>5317.1</v>
      </c>
      <c r="C12" s="47">
        <f t="shared" si="6"/>
        <v>3210.4700000000003</v>
      </c>
      <c r="D12" s="47">
        <f>D13</f>
        <v>3210.4700000000003</v>
      </c>
      <c r="E12" s="47">
        <f t="shared" si="6"/>
        <v>3210.4700000000003</v>
      </c>
      <c r="F12" s="32">
        <f t="shared" si="4"/>
        <v>60.380094412367647</v>
      </c>
      <c r="G12" s="32">
        <f t="shared" si="5"/>
        <v>100</v>
      </c>
      <c r="H12" s="47">
        <f>H13</f>
        <v>441.3</v>
      </c>
      <c r="I12" s="47">
        <f t="shared" ref="I12:AE13" si="7">I13</f>
        <v>441.3</v>
      </c>
      <c r="J12" s="47">
        <f t="shared" si="7"/>
        <v>232.47</v>
      </c>
      <c r="K12" s="47">
        <f t="shared" si="7"/>
        <v>232.47</v>
      </c>
      <c r="L12" s="47">
        <f t="shared" si="7"/>
        <v>232.48</v>
      </c>
      <c r="M12" s="47">
        <f t="shared" si="7"/>
        <v>232.48</v>
      </c>
      <c r="N12" s="47">
        <f t="shared" si="7"/>
        <v>232.48</v>
      </c>
      <c r="O12" s="47">
        <f t="shared" si="7"/>
        <v>232.48</v>
      </c>
      <c r="P12" s="47">
        <f t="shared" si="7"/>
        <v>232.47</v>
      </c>
      <c r="Q12" s="47">
        <f t="shared" si="7"/>
        <v>232.47</v>
      </c>
      <c r="R12" s="47">
        <f t="shared" si="7"/>
        <v>232.48</v>
      </c>
      <c r="S12" s="47">
        <f t="shared" si="7"/>
        <v>232.48</v>
      </c>
      <c r="T12" s="47">
        <f t="shared" si="7"/>
        <v>1606.79</v>
      </c>
      <c r="U12" s="47">
        <f t="shared" si="7"/>
        <v>1606.79</v>
      </c>
      <c r="V12" s="47">
        <f t="shared" si="7"/>
        <v>232.48</v>
      </c>
      <c r="W12" s="47">
        <f t="shared" si="7"/>
        <v>0</v>
      </c>
      <c r="X12" s="47">
        <f t="shared" si="7"/>
        <v>232.48</v>
      </c>
      <c r="Y12" s="47">
        <f t="shared" si="7"/>
        <v>0</v>
      </c>
      <c r="Z12" s="47">
        <f t="shared" si="7"/>
        <v>1176.71</v>
      </c>
      <c r="AA12" s="47">
        <f t="shared" si="7"/>
        <v>0</v>
      </c>
      <c r="AB12" s="47">
        <f t="shared" si="7"/>
        <v>232.47</v>
      </c>
      <c r="AC12" s="47">
        <f t="shared" si="7"/>
        <v>0</v>
      </c>
      <c r="AD12" s="47">
        <f t="shared" si="7"/>
        <v>232.49</v>
      </c>
      <c r="AE12" s="47">
        <f t="shared" si="7"/>
        <v>0</v>
      </c>
      <c r="AF12" s="29"/>
      <c r="AG12" s="71">
        <f t="shared" ref="AG12:AG68" si="8">C12-E12</f>
        <v>0</v>
      </c>
    </row>
    <row r="13" spans="1:33" ht="18.75" x14ac:dyDescent="0.3">
      <c r="A13" s="13" t="s">
        <v>31</v>
      </c>
      <c r="B13" s="47">
        <f t="shared" si="6"/>
        <v>5317.1</v>
      </c>
      <c r="C13" s="47">
        <f t="shared" si="6"/>
        <v>3210.4700000000003</v>
      </c>
      <c r="D13" s="47">
        <f t="shared" si="6"/>
        <v>3210.4700000000003</v>
      </c>
      <c r="E13" s="47">
        <f t="shared" si="6"/>
        <v>3210.4700000000003</v>
      </c>
      <c r="F13" s="32">
        <f>E13/B13*100</f>
        <v>60.380094412367647</v>
      </c>
      <c r="G13" s="32">
        <f t="shared" si="5"/>
        <v>100</v>
      </c>
      <c r="H13" s="32">
        <f>H14</f>
        <v>441.3</v>
      </c>
      <c r="I13" s="32">
        <f t="shared" si="7"/>
        <v>441.3</v>
      </c>
      <c r="J13" s="32">
        <f t="shared" si="7"/>
        <v>232.47</v>
      </c>
      <c r="K13" s="32">
        <f t="shared" si="7"/>
        <v>232.47</v>
      </c>
      <c r="L13" s="32">
        <f t="shared" si="7"/>
        <v>232.48</v>
      </c>
      <c r="M13" s="32">
        <f t="shared" si="7"/>
        <v>232.48</v>
      </c>
      <c r="N13" s="32">
        <f t="shared" si="7"/>
        <v>232.48</v>
      </c>
      <c r="O13" s="32">
        <f t="shared" si="7"/>
        <v>232.48</v>
      </c>
      <c r="P13" s="32">
        <f t="shared" si="7"/>
        <v>232.47</v>
      </c>
      <c r="Q13" s="32">
        <f t="shared" si="7"/>
        <v>232.47</v>
      </c>
      <c r="R13" s="32">
        <f t="shared" si="7"/>
        <v>232.48</v>
      </c>
      <c r="S13" s="32">
        <f t="shared" si="7"/>
        <v>232.48</v>
      </c>
      <c r="T13" s="32">
        <f t="shared" si="7"/>
        <v>1606.79</v>
      </c>
      <c r="U13" s="32">
        <f>U14</f>
        <v>1606.79</v>
      </c>
      <c r="V13" s="32">
        <f t="shared" si="7"/>
        <v>232.48</v>
      </c>
      <c r="W13" s="32">
        <f t="shared" si="7"/>
        <v>0</v>
      </c>
      <c r="X13" s="32">
        <f t="shared" si="7"/>
        <v>232.48</v>
      </c>
      <c r="Y13" s="32">
        <f t="shared" si="7"/>
        <v>0</v>
      </c>
      <c r="Z13" s="32">
        <f t="shared" si="7"/>
        <v>1176.71</v>
      </c>
      <c r="AA13" s="32">
        <f t="shared" si="7"/>
        <v>0</v>
      </c>
      <c r="AB13" s="32">
        <f t="shared" si="7"/>
        <v>232.47</v>
      </c>
      <c r="AC13" s="32">
        <f t="shared" si="7"/>
        <v>0</v>
      </c>
      <c r="AD13" s="32">
        <f t="shared" si="7"/>
        <v>232.49</v>
      </c>
      <c r="AE13" s="32">
        <f t="shared" si="7"/>
        <v>0</v>
      </c>
      <c r="AF13" s="29"/>
      <c r="AG13" s="71">
        <f t="shared" si="8"/>
        <v>0</v>
      </c>
    </row>
    <row r="14" spans="1:33" ht="93.75" x14ac:dyDescent="0.3">
      <c r="A14" s="13" t="s">
        <v>33</v>
      </c>
      <c r="B14" s="47">
        <f>H14+J14+L14+N14+P14+R14+T14+V14+X14+Z14+AB14+AD14</f>
        <v>5317.1</v>
      </c>
      <c r="C14" s="47">
        <f>H14+J14+L14+N14+P14+R14+T14</f>
        <v>3210.4700000000003</v>
      </c>
      <c r="D14" s="47">
        <f>H14+J14+L14+N14+P14+R14+T14</f>
        <v>3210.4700000000003</v>
      </c>
      <c r="E14" s="32">
        <f>I14+K14+M14+O14+Q14+S14+U14</f>
        <v>3210.4700000000003</v>
      </c>
      <c r="F14" s="32">
        <f>E14/B14*100</f>
        <v>60.380094412367647</v>
      </c>
      <c r="G14" s="32">
        <f t="shared" si="5"/>
        <v>100</v>
      </c>
      <c r="H14" s="32">
        <v>441.3</v>
      </c>
      <c r="I14" s="32">
        <v>441.3</v>
      </c>
      <c r="J14" s="32">
        <v>232.47</v>
      </c>
      <c r="K14" s="32">
        <v>232.47</v>
      </c>
      <c r="L14" s="32">
        <v>232.48</v>
      </c>
      <c r="M14" s="32">
        <v>232.48</v>
      </c>
      <c r="N14" s="32">
        <v>232.48</v>
      </c>
      <c r="O14" s="32">
        <v>232.48</v>
      </c>
      <c r="P14" s="32">
        <v>232.47</v>
      </c>
      <c r="Q14" s="32">
        <v>232.47</v>
      </c>
      <c r="R14" s="32">
        <v>232.48</v>
      </c>
      <c r="S14" s="32">
        <v>232.48</v>
      </c>
      <c r="T14" s="32">
        <v>1606.79</v>
      </c>
      <c r="U14" s="32">
        <v>1606.79</v>
      </c>
      <c r="V14" s="32">
        <v>232.48</v>
      </c>
      <c r="W14" s="32"/>
      <c r="X14" s="32">
        <v>232.48</v>
      </c>
      <c r="Y14" s="32"/>
      <c r="Z14" s="32">
        <v>1176.71</v>
      </c>
      <c r="AA14" s="32"/>
      <c r="AB14" s="32">
        <v>232.47</v>
      </c>
      <c r="AC14" s="32"/>
      <c r="AD14" s="32">
        <v>232.49</v>
      </c>
      <c r="AE14" s="32"/>
      <c r="AF14" s="710" t="s">
        <v>506</v>
      </c>
      <c r="AG14" s="71">
        <f t="shared" si="8"/>
        <v>0</v>
      </c>
    </row>
    <row r="15" spans="1:33" ht="75" x14ac:dyDescent="0.3">
      <c r="A15" s="50" t="s">
        <v>51</v>
      </c>
      <c r="B15" s="874">
        <f t="shared" ref="B15:E16" si="9">B16</f>
        <v>10.15</v>
      </c>
      <c r="C15" s="874">
        <f t="shared" si="9"/>
        <v>0</v>
      </c>
      <c r="D15" s="874">
        <f t="shared" si="9"/>
        <v>0</v>
      </c>
      <c r="E15" s="874">
        <f t="shared" si="9"/>
        <v>0</v>
      </c>
      <c r="F15" s="32">
        <f t="shared" si="4"/>
        <v>0</v>
      </c>
      <c r="G15" s="32" t="e">
        <f t="shared" si="5"/>
        <v>#DIV/0!</v>
      </c>
      <c r="H15" s="47">
        <f>H16</f>
        <v>0</v>
      </c>
      <c r="I15" s="47">
        <f t="shared" ref="I15:AE16" si="10">I16</f>
        <v>0</v>
      </c>
      <c r="J15" s="47">
        <f t="shared" si="10"/>
        <v>0</v>
      </c>
      <c r="K15" s="47">
        <f t="shared" si="10"/>
        <v>0</v>
      </c>
      <c r="L15" s="47">
        <f t="shared" si="10"/>
        <v>0</v>
      </c>
      <c r="M15" s="47">
        <f t="shared" si="10"/>
        <v>0</v>
      </c>
      <c r="N15" s="47">
        <f t="shared" si="10"/>
        <v>0</v>
      </c>
      <c r="O15" s="47">
        <f t="shared" si="10"/>
        <v>0</v>
      </c>
      <c r="P15" s="47">
        <f t="shared" si="10"/>
        <v>0</v>
      </c>
      <c r="Q15" s="47">
        <f t="shared" si="10"/>
        <v>0</v>
      </c>
      <c r="R15" s="47">
        <f t="shared" si="10"/>
        <v>0</v>
      </c>
      <c r="S15" s="47">
        <f t="shared" si="10"/>
        <v>0</v>
      </c>
      <c r="T15" s="47">
        <f t="shared" si="10"/>
        <v>0</v>
      </c>
      <c r="U15" s="47">
        <f t="shared" si="10"/>
        <v>0</v>
      </c>
      <c r="V15" s="47">
        <f t="shared" si="10"/>
        <v>0</v>
      </c>
      <c r="W15" s="47">
        <f t="shared" si="10"/>
        <v>0</v>
      </c>
      <c r="X15" s="47">
        <f t="shared" si="10"/>
        <v>0</v>
      </c>
      <c r="Y15" s="47">
        <f t="shared" si="10"/>
        <v>0</v>
      </c>
      <c r="Z15" s="47">
        <f t="shared" si="10"/>
        <v>0</v>
      </c>
      <c r="AA15" s="47">
        <f t="shared" si="10"/>
        <v>0</v>
      </c>
      <c r="AB15" s="47">
        <f t="shared" si="10"/>
        <v>0</v>
      </c>
      <c r="AC15" s="47">
        <f t="shared" si="10"/>
        <v>0</v>
      </c>
      <c r="AD15" s="47">
        <f t="shared" si="10"/>
        <v>10.15</v>
      </c>
      <c r="AE15" s="47">
        <f t="shared" si="10"/>
        <v>0</v>
      </c>
      <c r="AF15" s="29"/>
      <c r="AG15" s="71">
        <f t="shared" si="8"/>
        <v>0</v>
      </c>
    </row>
    <row r="16" spans="1:33" ht="18.75" x14ac:dyDescent="0.3">
      <c r="A16" s="12" t="s">
        <v>31</v>
      </c>
      <c r="B16" s="47">
        <f t="shared" si="9"/>
        <v>10.15</v>
      </c>
      <c r="C16" s="35">
        <f t="shared" si="9"/>
        <v>0</v>
      </c>
      <c r="D16" s="35">
        <f t="shared" si="9"/>
        <v>0</v>
      </c>
      <c r="E16" s="35">
        <f t="shared" si="9"/>
        <v>0</v>
      </c>
      <c r="F16" s="32">
        <f t="shared" si="4"/>
        <v>0</v>
      </c>
      <c r="G16" s="32" t="e">
        <f t="shared" si="5"/>
        <v>#DIV/0!</v>
      </c>
      <c r="H16" s="32">
        <f>H17</f>
        <v>0</v>
      </c>
      <c r="I16" s="32">
        <f t="shared" si="10"/>
        <v>0</v>
      </c>
      <c r="J16" s="32">
        <f t="shared" si="10"/>
        <v>0</v>
      </c>
      <c r="K16" s="32">
        <f t="shared" si="10"/>
        <v>0</v>
      </c>
      <c r="L16" s="32">
        <f t="shared" si="10"/>
        <v>0</v>
      </c>
      <c r="M16" s="32">
        <f t="shared" si="10"/>
        <v>0</v>
      </c>
      <c r="N16" s="32">
        <f t="shared" si="10"/>
        <v>0</v>
      </c>
      <c r="O16" s="32">
        <f t="shared" si="10"/>
        <v>0</v>
      </c>
      <c r="P16" s="32">
        <f t="shared" si="10"/>
        <v>0</v>
      </c>
      <c r="Q16" s="32">
        <f t="shared" si="10"/>
        <v>0</v>
      </c>
      <c r="R16" s="32">
        <f t="shared" si="10"/>
        <v>0</v>
      </c>
      <c r="S16" s="32">
        <f t="shared" si="10"/>
        <v>0</v>
      </c>
      <c r="T16" s="32">
        <f t="shared" si="10"/>
        <v>0</v>
      </c>
      <c r="U16" s="32">
        <f t="shared" si="10"/>
        <v>0</v>
      </c>
      <c r="V16" s="32">
        <f t="shared" si="10"/>
        <v>0</v>
      </c>
      <c r="W16" s="32">
        <f t="shared" si="10"/>
        <v>0</v>
      </c>
      <c r="X16" s="32">
        <f t="shared" si="10"/>
        <v>0</v>
      </c>
      <c r="Y16" s="32">
        <f t="shared" si="10"/>
        <v>0</v>
      </c>
      <c r="Z16" s="32">
        <f t="shared" si="10"/>
        <v>0</v>
      </c>
      <c r="AA16" s="32">
        <f t="shared" si="10"/>
        <v>0</v>
      </c>
      <c r="AB16" s="32">
        <f t="shared" si="10"/>
        <v>0</v>
      </c>
      <c r="AC16" s="32">
        <f t="shared" si="10"/>
        <v>0</v>
      </c>
      <c r="AD16" s="32">
        <f t="shared" si="10"/>
        <v>10.15</v>
      </c>
      <c r="AE16" s="32">
        <f t="shared" si="10"/>
        <v>0</v>
      </c>
      <c r="AF16" s="29"/>
      <c r="AG16" s="71">
        <f t="shared" si="8"/>
        <v>0</v>
      </c>
    </row>
    <row r="17" spans="1:33" ht="18.75" x14ac:dyDescent="0.3">
      <c r="A17" s="13" t="s">
        <v>33</v>
      </c>
      <c r="B17" s="47">
        <f>H17+J17+L17+N17+P17+R17+T17+V17+X17+Z17+AB17+AD17</f>
        <v>10.15</v>
      </c>
      <c r="C17" s="32">
        <f>I17+K17+M17+O17+Q17+S17+U17+W17+Y17+AA17+AC17+AE17</f>
        <v>0</v>
      </c>
      <c r="D17" s="32">
        <f>I17</f>
        <v>0</v>
      </c>
      <c r="E17" s="32">
        <f>I17</f>
        <v>0</v>
      </c>
      <c r="F17" s="32">
        <f t="shared" si="4"/>
        <v>0</v>
      </c>
      <c r="G17" s="32" t="e">
        <f t="shared" si="5"/>
        <v>#DIV/0!</v>
      </c>
      <c r="H17" s="32"/>
      <c r="I17" s="32"/>
      <c r="J17" s="32"/>
      <c r="K17" s="32"/>
      <c r="L17" s="32"/>
      <c r="M17" s="32"/>
      <c r="N17" s="32"/>
      <c r="O17" s="32"/>
      <c r="P17" s="32"/>
      <c r="Q17" s="32"/>
      <c r="R17" s="32"/>
      <c r="S17" s="32"/>
      <c r="T17" s="32"/>
      <c r="U17" s="32"/>
      <c r="V17" s="32"/>
      <c r="W17" s="32"/>
      <c r="X17" s="32"/>
      <c r="Y17" s="32"/>
      <c r="Z17" s="32"/>
      <c r="AA17" s="32"/>
      <c r="AB17" s="32"/>
      <c r="AC17" s="32"/>
      <c r="AD17" s="32">
        <v>10.15</v>
      </c>
      <c r="AE17" s="32"/>
      <c r="AF17" s="29"/>
      <c r="AG17" s="71">
        <f t="shared" si="8"/>
        <v>0</v>
      </c>
    </row>
    <row r="18" spans="1:33" ht="75" x14ac:dyDescent="0.3">
      <c r="A18" s="48" t="s">
        <v>52</v>
      </c>
      <c r="B18" s="875">
        <f t="shared" ref="B18:E19" si="11">B19</f>
        <v>58.11</v>
      </c>
      <c r="C18" s="875">
        <f t="shared" si="11"/>
        <v>45.84</v>
      </c>
      <c r="D18" s="875">
        <f t="shared" si="11"/>
        <v>45.84</v>
      </c>
      <c r="E18" s="875">
        <f t="shared" si="11"/>
        <v>45.84</v>
      </c>
      <c r="F18" s="29"/>
      <c r="G18" s="29"/>
      <c r="H18" s="58">
        <f>H19</f>
        <v>0</v>
      </c>
      <c r="I18" s="58">
        <f t="shared" ref="I18:AE19" si="12">I19</f>
        <v>0</v>
      </c>
      <c r="J18" s="58">
        <f t="shared" si="12"/>
        <v>0</v>
      </c>
      <c r="K18" s="58">
        <f t="shared" si="12"/>
        <v>0</v>
      </c>
      <c r="L18" s="58">
        <f t="shared" si="12"/>
        <v>0</v>
      </c>
      <c r="M18" s="58">
        <f t="shared" si="12"/>
        <v>0</v>
      </c>
      <c r="N18" s="58">
        <f t="shared" si="12"/>
        <v>0</v>
      </c>
      <c r="O18" s="58">
        <f t="shared" si="12"/>
        <v>0</v>
      </c>
      <c r="P18" s="58">
        <f t="shared" si="12"/>
        <v>0</v>
      </c>
      <c r="Q18" s="58">
        <f t="shared" si="12"/>
        <v>0</v>
      </c>
      <c r="R18" s="58">
        <f t="shared" si="12"/>
        <v>45.84</v>
      </c>
      <c r="S18" s="58">
        <f t="shared" si="12"/>
        <v>45.84</v>
      </c>
      <c r="T18" s="58">
        <f t="shared" si="12"/>
        <v>0</v>
      </c>
      <c r="U18" s="58">
        <f t="shared" si="12"/>
        <v>0</v>
      </c>
      <c r="V18" s="58">
        <f t="shared" si="12"/>
        <v>0</v>
      </c>
      <c r="W18" s="58">
        <f t="shared" si="12"/>
        <v>0</v>
      </c>
      <c r="X18" s="58">
        <f t="shared" si="12"/>
        <v>0</v>
      </c>
      <c r="Y18" s="58">
        <f t="shared" si="12"/>
        <v>0</v>
      </c>
      <c r="Z18" s="58">
        <f t="shared" si="12"/>
        <v>0</v>
      </c>
      <c r="AA18" s="58">
        <f t="shared" si="12"/>
        <v>0</v>
      </c>
      <c r="AB18" s="58">
        <f t="shared" si="12"/>
        <v>0</v>
      </c>
      <c r="AC18" s="58">
        <f t="shared" si="12"/>
        <v>0</v>
      </c>
      <c r="AD18" s="58">
        <f t="shared" si="12"/>
        <v>12.27</v>
      </c>
      <c r="AE18" s="58">
        <f t="shared" si="12"/>
        <v>0</v>
      </c>
      <c r="AF18" s="29"/>
      <c r="AG18" s="71">
        <f t="shared" si="8"/>
        <v>0</v>
      </c>
    </row>
    <row r="19" spans="1:33" ht="18.75" x14ac:dyDescent="0.3">
      <c r="A19" s="13" t="s">
        <v>31</v>
      </c>
      <c r="B19" s="47">
        <f t="shared" si="11"/>
        <v>58.11</v>
      </c>
      <c r="C19" s="47">
        <f t="shared" si="11"/>
        <v>45.84</v>
      </c>
      <c r="D19" s="47">
        <f t="shared" si="11"/>
        <v>45.84</v>
      </c>
      <c r="E19" s="47">
        <f t="shared" si="11"/>
        <v>45.84</v>
      </c>
      <c r="F19" s="32">
        <f>E19/B19*100</f>
        <v>78.884873515745994</v>
      </c>
      <c r="G19" s="32">
        <f>E19/C19*100</f>
        <v>100</v>
      </c>
      <c r="H19" s="47">
        <f>H20</f>
        <v>0</v>
      </c>
      <c r="I19" s="47">
        <f t="shared" si="12"/>
        <v>0</v>
      </c>
      <c r="J19" s="47">
        <f t="shared" si="12"/>
        <v>0</v>
      </c>
      <c r="K19" s="47">
        <f t="shared" si="12"/>
        <v>0</v>
      </c>
      <c r="L19" s="47">
        <f t="shared" si="12"/>
        <v>0</v>
      </c>
      <c r="M19" s="47">
        <f t="shared" si="12"/>
        <v>0</v>
      </c>
      <c r="N19" s="47">
        <f t="shared" si="12"/>
        <v>0</v>
      </c>
      <c r="O19" s="47">
        <f t="shared" si="12"/>
        <v>0</v>
      </c>
      <c r="P19" s="47">
        <f t="shared" si="12"/>
        <v>0</v>
      </c>
      <c r="Q19" s="47">
        <f t="shared" si="12"/>
        <v>0</v>
      </c>
      <c r="R19" s="47">
        <f t="shared" si="12"/>
        <v>45.84</v>
      </c>
      <c r="S19" s="47">
        <f t="shared" si="12"/>
        <v>45.84</v>
      </c>
      <c r="T19" s="47">
        <f t="shared" si="12"/>
        <v>0</v>
      </c>
      <c r="U19" s="47">
        <f t="shared" si="12"/>
        <v>0</v>
      </c>
      <c r="V19" s="47">
        <f t="shared" si="12"/>
        <v>0</v>
      </c>
      <c r="W19" s="47">
        <f t="shared" si="12"/>
        <v>0</v>
      </c>
      <c r="X19" s="47">
        <f t="shared" si="12"/>
        <v>0</v>
      </c>
      <c r="Y19" s="47">
        <f t="shared" si="12"/>
        <v>0</v>
      </c>
      <c r="Z19" s="47">
        <f t="shared" si="12"/>
        <v>0</v>
      </c>
      <c r="AA19" s="47">
        <f t="shared" si="12"/>
        <v>0</v>
      </c>
      <c r="AB19" s="47">
        <f t="shared" si="12"/>
        <v>0</v>
      </c>
      <c r="AC19" s="47">
        <f t="shared" si="12"/>
        <v>0</v>
      </c>
      <c r="AD19" s="47">
        <f t="shared" si="12"/>
        <v>12.27</v>
      </c>
      <c r="AE19" s="47">
        <f t="shared" si="12"/>
        <v>0</v>
      </c>
      <c r="AF19" s="29"/>
      <c r="AG19" s="71">
        <f t="shared" si="8"/>
        <v>0</v>
      </c>
    </row>
    <row r="20" spans="1:33" ht="18.75" x14ac:dyDescent="0.3">
      <c r="A20" s="13" t="s">
        <v>33</v>
      </c>
      <c r="B20" s="47">
        <f>H20+J20+L20+N20+P20+R20+T20+V20+X20+Z20+AB20+AD20</f>
        <v>58.11</v>
      </c>
      <c r="C20" s="47">
        <f>I20+K20+M20+O20+Q20+S20+U20+W20+Y20+AA20+AC20+AE20</f>
        <v>45.84</v>
      </c>
      <c r="D20" s="47">
        <f>H20+J20+L20+N20+P20+R20</f>
        <v>45.84</v>
      </c>
      <c r="E20" s="47">
        <f>I20+K20+M20+O20+Q20+S20</f>
        <v>45.84</v>
      </c>
      <c r="F20" s="32">
        <f>E20/B20*100</f>
        <v>78.884873515745994</v>
      </c>
      <c r="G20" s="32">
        <f>E20/C20*100</f>
        <v>100</v>
      </c>
      <c r="H20" s="29"/>
      <c r="I20" s="29"/>
      <c r="J20" s="29"/>
      <c r="K20" s="29"/>
      <c r="L20" s="29"/>
      <c r="M20" s="29"/>
      <c r="N20" s="29"/>
      <c r="O20" s="29"/>
      <c r="P20" s="29"/>
      <c r="Q20" s="29"/>
      <c r="R20" s="29">
        <v>45.84</v>
      </c>
      <c r="S20" s="29">
        <v>45.84</v>
      </c>
      <c r="T20" s="29"/>
      <c r="U20" s="29"/>
      <c r="V20" s="29"/>
      <c r="W20" s="29"/>
      <c r="X20" s="29"/>
      <c r="Y20" s="29"/>
      <c r="Z20" s="29"/>
      <c r="AA20" s="29"/>
      <c r="AB20" s="29"/>
      <c r="AC20" s="29"/>
      <c r="AD20" s="47">
        <v>12.27</v>
      </c>
      <c r="AE20" s="29"/>
      <c r="AF20" s="29"/>
      <c r="AG20" s="71">
        <f t="shared" si="8"/>
        <v>0</v>
      </c>
    </row>
    <row r="21" spans="1:33" ht="18.75" x14ac:dyDescent="0.3">
      <c r="A21" s="54" t="s">
        <v>53</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71">
        <f t="shared" si="8"/>
        <v>0</v>
      </c>
    </row>
    <row r="22" spans="1:33" ht="18.75" x14ac:dyDescent="0.3">
      <c r="A22" s="13" t="s">
        <v>31</v>
      </c>
      <c r="B22" s="41">
        <f>B23</f>
        <v>6238.78</v>
      </c>
      <c r="C22" s="41">
        <f>C23</f>
        <v>3574.01</v>
      </c>
      <c r="D22" s="41">
        <f>D23</f>
        <v>3574.01</v>
      </c>
      <c r="E22" s="41">
        <f>E23</f>
        <v>3465.6600000000003</v>
      </c>
      <c r="F22" s="32">
        <f>E22/B22*100</f>
        <v>55.550283869602723</v>
      </c>
      <c r="G22" s="32">
        <f>E22/C22*100</f>
        <v>96.968391246806803</v>
      </c>
      <c r="H22" s="41">
        <f>H23</f>
        <v>441.3</v>
      </c>
      <c r="I22" s="41">
        <f t="shared" ref="I22:AE22" si="13">I23</f>
        <v>441.3</v>
      </c>
      <c r="J22" s="41">
        <f t="shared" si="13"/>
        <v>232.47</v>
      </c>
      <c r="K22" s="41">
        <f t="shared" si="13"/>
        <v>232.47</v>
      </c>
      <c r="L22" s="41">
        <f t="shared" si="13"/>
        <v>232.48</v>
      </c>
      <c r="M22" s="41">
        <f t="shared" si="13"/>
        <v>232.48</v>
      </c>
      <c r="N22" s="41">
        <f t="shared" si="13"/>
        <v>235.17999999999998</v>
      </c>
      <c r="O22" s="41">
        <f t="shared" si="13"/>
        <v>232.48</v>
      </c>
      <c r="P22" s="41">
        <f t="shared" si="13"/>
        <v>236.87</v>
      </c>
      <c r="Q22" s="41">
        <f t="shared" si="13"/>
        <v>235.83</v>
      </c>
      <c r="R22" s="41">
        <f t="shared" si="13"/>
        <v>346.62</v>
      </c>
      <c r="S22" s="41">
        <f t="shared" si="13"/>
        <v>283.36</v>
      </c>
      <c r="T22" s="41">
        <f t="shared" si="13"/>
        <v>1849.09</v>
      </c>
      <c r="U22" s="41">
        <f t="shared" si="13"/>
        <v>1807.74</v>
      </c>
      <c r="V22" s="41">
        <f t="shared" si="13"/>
        <v>481.38</v>
      </c>
      <c r="W22" s="41">
        <f t="shared" si="13"/>
        <v>0</v>
      </c>
      <c r="X22" s="41">
        <f t="shared" si="13"/>
        <v>514.9</v>
      </c>
      <c r="Y22" s="41">
        <f t="shared" si="13"/>
        <v>0</v>
      </c>
      <c r="Z22" s="41">
        <f t="shared" si="13"/>
        <v>1181.1100000000001</v>
      </c>
      <c r="AA22" s="41">
        <f t="shared" si="13"/>
        <v>0</v>
      </c>
      <c r="AB22" s="41">
        <f t="shared" si="13"/>
        <v>232.47</v>
      </c>
      <c r="AC22" s="41">
        <f t="shared" si="13"/>
        <v>0</v>
      </c>
      <c r="AD22" s="41">
        <f t="shared" si="13"/>
        <v>254.91000000000003</v>
      </c>
      <c r="AE22" s="41">
        <f t="shared" si="13"/>
        <v>0</v>
      </c>
      <c r="AF22" s="29"/>
      <c r="AG22" s="71">
        <f t="shared" si="8"/>
        <v>108.34999999999991</v>
      </c>
    </row>
    <row r="23" spans="1:33" ht="18.75" x14ac:dyDescent="0.3">
      <c r="A23" s="13" t="s">
        <v>33</v>
      </c>
      <c r="B23" s="41">
        <f>B11+B14+B17+B20</f>
        <v>6238.78</v>
      </c>
      <c r="C23" s="41">
        <f>C11+C14+C17+C20</f>
        <v>3574.01</v>
      </c>
      <c r="D23" s="41">
        <f>D11+D14+D17+D20</f>
        <v>3574.01</v>
      </c>
      <c r="E23" s="41">
        <f>E11+E14+E17+E20</f>
        <v>3465.6600000000003</v>
      </c>
      <c r="F23" s="32">
        <f>E23/B23*100</f>
        <v>55.550283869602723</v>
      </c>
      <c r="G23" s="32">
        <f>E23/C23*100</f>
        <v>96.968391246806803</v>
      </c>
      <c r="H23" s="41">
        <f>H11+H14+H17+H20</f>
        <v>441.3</v>
      </c>
      <c r="I23" s="41">
        <f t="shared" ref="I23:AE23" si="14">I11+I14+I17+I20</f>
        <v>441.3</v>
      </c>
      <c r="J23" s="41">
        <f t="shared" si="14"/>
        <v>232.47</v>
      </c>
      <c r="K23" s="41">
        <f t="shared" si="14"/>
        <v>232.47</v>
      </c>
      <c r="L23" s="41">
        <f t="shared" si="14"/>
        <v>232.48</v>
      </c>
      <c r="M23" s="41">
        <v>232.48</v>
      </c>
      <c r="N23" s="41">
        <f t="shared" si="14"/>
        <v>235.17999999999998</v>
      </c>
      <c r="O23" s="41">
        <f t="shared" si="14"/>
        <v>232.48</v>
      </c>
      <c r="P23" s="41">
        <f t="shared" si="14"/>
        <v>236.87</v>
      </c>
      <c r="Q23" s="41">
        <f t="shared" si="14"/>
        <v>235.83</v>
      </c>
      <c r="R23" s="41">
        <f t="shared" si="14"/>
        <v>346.62</v>
      </c>
      <c r="S23" s="41">
        <f t="shared" si="14"/>
        <v>283.36</v>
      </c>
      <c r="T23" s="41">
        <f t="shared" si="14"/>
        <v>1849.09</v>
      </c>
      <c r="U23" s="41">
        <f t="shared" si="14"/>
        <v>1807.74</v>
      </c>
      <c r="V23" s="41">
        <f t="shared" si="14"/>
        <v>481.38</v>
      </c>
      <c r="W23" s="41">
        <f t="shared" si="14"/>
        <v>0</v>
      </c>
      <c r="X23" s="41">
        <f t="shared" si="14"/>
        <v>514.9</v>
      </c>
      <c r="Y23" s="41">
        <f t="shared" si="14"/>
        <v>0</v>
      </c>
      <c r="Z23" s="41">
        <f t="shared" si="14"/>
        <v>1181.1100000000001</v>
      </c>
      <c r="AA23" s="41">
        <f t="shared" si="14"/>
        <v>0</v>
      </c>
      <c r="AB23" s="41">
        <f t="shared" si="14"/>
        <v>232.47</v>
      </c>
      <c r="AC23" s="41">
        <f t="shared" si="14"/>
        <v>0</v>
      </c>
      <c r="AD23" s="41">
        <f t="shared" si="14"/>
        <v>254.91000000000003</v>
      </c>
      <c r="AE23" s="41">
        <f t="shared" si="14"/>
        <v>0</v>
      </c>
      <c r="AF23" s="29"/>
      <c r="AG23" s="71">
        <f t="shared" si="8"/>
        <v>108.34999999999991</v>
      </c>
    </row>
    <row r="24" spans="1:33" ht="37.5" x14ac:dyDescent="0.3">
      <c r="A24" s="28" t="s">
        <v>72</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71">
        <f t="shared" si="8"/>
        <v>0</v>
      </c>
    </row>
    <row r="25" spans="1:33" ht="18.75" x14ac:dyDescent="0.3">
      <c r="A25" s="8" t="s">
        <v>31</v>
      </c>
      <c r="B25" s="41">
        <f>B26</f>
        <v>6238.78</v>
      </c>
      <c r="C25" s="41">
        <f>C26</f>
        <v>3574.01</v>
      </c>
      <c r="D25" s="41">
        <f>D26</f>
        <v>3574.01</v>
      </c>
      <c r="E25" s="41">
        <f>E26</f>
        <v>3465.6600000000003</v>
      </c>
      <c r="F25" s="32">
        <f>E25/B25*100</f>
        <v>55.550283869602723</v>
      </c>
      <c r="G25" s="32">
        <f>E25/C25*100</f>
        <v>96.968391246806803</v>
      </c>
      <c r="H25" s="41">
        <f>H26</f>
        <v>441.3</v>
      </c>
      <c r="I25" s="41">
        <f t="shared" ref="I25:AE25" si="15">I26</f>
        <v>441.3</v>
      </c>
      <c r="J25" s="41">
        <f t="shared" si="15"/>
        <v>232.47</v>
      </c>
      <c r="K25" s="41">
        <f t="shared" si="15"/>
        <v>232.47</v>
      </c>
      <c r="L25" s="41">
        <f t="shared" si="15"/>
        <v>232.48</v>
      </c>
      <c r="M25" s="41">
        <f t="shared" si="15"/>
        <v>232.48</v>
      </c>
      <c r="N25" s="41">
        <f t="shared" si="15"/>
        <v>235.17999999999998</v>
      </c>
      <c r="O25" s="41">
        <f t="shared" si="15"/>
        <v>232.48</v>
      </c>
      <c r="P25" s="41">
        <f t="shared" si="15"/>
        <v>236.87</v>
      </c>
      <c r="Q25" s="41">
        <f t="shared" si="15"/>
        <v>235.83</v>
      </c>
      <c r="R25" s="41">
        <f t="shared" si="15"/>
        <v>346.62</v>
      </c>
      <c r="S25" s="41">
        <f t="shared" si="15"/>
        <v>283.36</v>
      </c>
      <c r="T25" s="41">
        <f t="shared" si="15"/>
        <v>1849.09</v>
      </c>
      <c r="U25" s="41">
        <f t="shared" si="15"/>
        <v>1807.74</v>
      </c>
      <c r="V25" s="41">
        <f t="shared" si="15"/>
        <v>481.38</v>
      </c>
      <c r="W25" s="41">
        <f t="shared" si="15"/>
        <v>0</v>
      </c>
      <c r="X25" s="41">
        <f t="shared" si="15"/>
        <v>514.9</v>
      </c>
      <c r="Y25" s="41">
        <f t="shared" si="15"/>
        <v>0</v>
      </c>
      <c r="Z25" s="41">
        <f t="shared" si="15"/>
        <v>1181.1100000000001</v>
      </c>
      <c r="AA25" s="41">
        <f t="shared" si="15"/>
        <v>0</v>
      </c>
      <c r="AB25" s="41">
        <f t="shared" si="15"/>
        <v>232.47</v>
      </c>
      <c r="AC25" s="41">
        <f t="shared" si="15"/>
        <v>0</v>
      </c>
      <c r="AD25" s="41">
        <f t="shared" si="15"/>
        <v>254.91000000000003</v>
      </c>
      <c r="AE25" s="41">
        <f t="shared" si="15"/>
        <v>0</v>
      </c>
      <c r="AF25" s="29"/>
      <c r="AG25" s="71">
        <f t="shared" si="8"/>
        <v>108.34999999999991</v>
      </c>
    </row>
    <row r="26" spans="1:33" ht="18.75" x14ac:dyDescent="0.3">
      <c r="A26" s="13" t="s">
        <v>33</v>
      </c>
      <c r="B26" s="41">
        <f>B23</f>
        <v>6238.78</v>
      </c>
      <c r="C26" s="41">
        <f>C23</f>
        <v>3574.01</v>
      </c>
      <c r="D26" s="41">
        <f>D23</f>
        <v>3574.01</v>
      </c>
      <c r="E26" s="41">
        <f>E23</f>
        <v>3465.6600000000003</v>
      </c>
      <c r="F26" s="32">
        <f>E26/B26*100</f>
        <v>55.550283869602723</v>
      </c>
      <c r="G26" s="32">
        <f>E26/C26*100</f>
        <v>96.968391246806803</v>
      </c>
      <c r="H26" s="41">
        <f>H23</f>
        <v>441.3</v>
      </c>
      <c r="I26" s="41">
        <f t="shared" ref="I26:AE26" si="16">I23</f>
        <v>441.3</v>
      </c>
      <c r="J26" s="41">
        <f t="shared" si="16"/>
        <v>232.47</v>
      </c>
      <c r="K26" s="41">
        <f t="shared" si="16"/>
        <v>232.47</v>
      </c>
      <c r="L26" s="41">
        <f t="shared" si="16"/>
        <v>232.48</v>
      </c>
      <c r="M26" s="41">
        <v>232.48</v>
      </c>
      <c r="N26" s="41">
        <f t="shared" si="16"/>
        <v>235.17999999999998</v>
      </c>
      <c r="O26" s="41">
        <f t="shared" si="16"/>
        <v>232.48</v>
      </c>
      <c r="P26" s="41">
        <f t="shared" si="16"/>
        <v>236.87</v>
      </c>
      <c r="Q26" s="41">
        <f t="shared" si="16"/>
        <v>235.83</v>
      </c>
      <c r="R26" s="41">
        <f t="shared" si="16"/>
        <v>346.62</v>
      </c>
      <c r="S26" s="41">
        <f t="shared" si="16"/>
        <v>283.36</v>
      </c>
      <c r="T26" s="41">
        <f t="shared" si="16"/>
        <v>1849.09</v>
      </c>
      <c r="U26" s="41">
        <f t="shared" si="16"/>
        <v>1807.74</v>
      </c>
      <c r="V26" s="41">
        <f t="shared" si="16"/>
        <v>481.38</v>
      </c>
      <c r="W26" s="41">
        <f t="shared" si="16"/>
        <v>0</v>
      </c>
      <c r="X26" s="41">
        <f t="shared" si="16"/>
        <v>514.9</v>
      </c>
      <c r="Y26" s="41">
        <f t="shared" si="16"/>
        <v>0</v>
      </c>
      <c r="Z26" s="41">
        <f t="shared" si="16"/>
        <v>1181.1100000000001</v>
      </c>
      <c r="AA26" s="41">
        <f t="shared" si="16"/>
        <v>0</v>
      </c>
      <c r="AB26" s="41">
        <f t="shared" si="16"/>
        <v>232.47</v>
      </c>
      <c r="AC26" s="41">
        <f t="shared" si="16"/>
        <v>0</v>
      </c>
      <c r="AD26" s="41">
        <f t="shared" si="16"/>
        <v>254.91000000000003</v>
      </c>
      <c r="AE26" s="41">
        <f t="shared" si="16"/>
        <v>0</v>
      </c>
      <c r="AF26" s="29"/>
      <c r="AG26" s="71">
        <f t="shared" si="8"/>
        <v>108.34999999999991</v>
      </c>
    </row>
    <row r="27" spans="1:33" ht="56.25" x14ac:dyDescent="0.3">
      <c r="A27" s="55" t="s">
        <v>55</v>
      </c>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71">
        <f t="shared" si="8"/>
        <v>0</v>
      </c>
    </row>
    <row r="28" spans="1:33" ht="18.75" x14ac:dyDescent="0.3">
      <c r="A28" s="52" t="s">
        <v>54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71">
        <f t="shared" si="8"/>
        <v>0</v>
      </c>
    </row>
    <row r="29" spans="1:33" ht="75" x14ac:dyDescent="0.3">
      <c r="A29" s="51" t="s">
        <v>56</v>
      </c>
      <c r="B29" s="41"/>
      <c r="C29" s="41"/>
      <c r="D29" s="41"/>
      <c r="E29" s="41"/>
      <c r="F29" s="41"/>
      <c r="G29" s="29"/>
      <c r="H29" s="29"/>
      <c r="I29" s="29"/>
      <c r="J29" s="29"/>
      <c r="K29" s="29"/>
      <c r="L29" s="29"/>
      <c r="M29" s="29"/>
      <c r="N29" s="29"/>
      <c r="O29" s="29"/>
      <c r="P29" s="29"/>
      <c r="Q29" s="29"/>
      <c r="R29" s="29">
        <f t="shared" ref="R29:Z30" si="17">R30</f>
        <v>10.08</v>
      </c>
      <c r="S29" s="29">
        <f t="shared" si="17"/>
        <v>10.08</v>
      </c>
      <c r="T29" s="29">
        <f t="shared" si="17"/>
        <v>110.08</v>
      </c>
      <c r="U29" s="29">
        <f t="shared" si="17"/>
        <v>98.48</v>
      </c>
      <c r="V29" s="29">
        <f t="shared" si="17"/>
        <v>26.62</v>
      </c>
      <c r="W29" s="29">
        <f t="shared" si="17"/>
        <v>0</v>
      </c>
      <c r="X29" s="29">
        <f t="shared" si="17"/>
        <v>36.700000000000003</v>
      </c>
      <c r="Y29" s="29">
        <f t="shared" si="17"/>
        <v>0</v>
      </c>
      <c r="Z29" s="29">
        <f t="shared" si="17"/>
        <v>36.700000000000003</v>
      </c>
      <c r="AA29" s="29">
        <f t="shared" ref="AA29:AE30" si="18">AA30</f>
        <v>0</v>
      </c>
      <c r="AB29" s="29">
        <f t="shared" si="18"/>
        <v>19.3</v>
      </c>
      <c r="AC29" s="29">
        <f t="shared" si="18"/>
        <v>0</v>
      </c>
      <c r="AD29" s="29">
        <f t="shared" si="18"/>
        <v>59.52</v>
      </c>
      <c r="AE29" s="29">
        <f t="shared" si="18"/>
        <v>0</v>
      </c>
      <c r="AF29" s="29"/>
      <c r="AG29" s="71">
        <f t="shared" si="8"/>
        <v>0</v>
      </c>
    </row>
    <row r="30" spans="1:33" ht="18.75" x14ac:dyDescent="0.3">
      <c r="A30" s="13" t="s">
        <v>31</v>
      </c>
      <c r="B30" s="874">
        <f>B31</f>
        <v>299</v>
      </c>
      <c r="C30" s="876">
        <f>C31</f>
        <v>120.16</v>
      </c>
      <c r="D30" s="876">
        <f>D31</f>
        <v>120.16</v>
      </c>
      <c r="E30" s="41">
        <f>E31</f>
        <v>108.56</v>
      </c>
      <c r="F30" s="32">
        <f>E30/B30*100</f>
        <v>36.307692307692307</v>
      </c>
      <c r="G30" s="32">
        <f>E30/C30*100</f>
        <v>90.346205059920109</v>
      </c>
      <c r="H30" s="29"/>
      <c r="I30" s="29"/>
      <c r="J30" s="29"/>
      <c r="K30" s="29"/>
      <c r="L30" s="29"/>
      <c r="M30" s="29"/>
      <c r="N30" s="29"/>
      <c r="O30" s="29"/>
      <c r="P30" s="29"/>
      <c r="Q30" s="29"/>
      <c r="R30" s="29">
        <f t="shared" si="17"/>
        <v>10.08</v>
      </c>
      <c r="S30" s="29">
        <f t="shared" si="17"/>
        <v>10.08</v>
      </c>
      <c r="T30" s="29">
        <f t="shared" si="17"/>
        <v>110.08</v>
      </c>
      <c r="U30" s="29">
        <f t="shared" si="17"/>
        <v>98.48</v>
      </c>
      <c r="V30" s="29">
        <f t="shared" si="17"/>
        <v>26.62</v>
      </c>
      <c r="W30" s="29">
        <f t="shared" si="17"/>
        <v>0</v>
      </c>
      <c r="X30" s="29">
        <f t="shared" si="17"/>
        <v>36.700000000000003</v>
      </c>
      <c r="Y30" s="29">
        <f t="shared" si="17"/>
        <v>0</v>
      </c>
      <c r="Z30" s="29">
        <f t="shared" si="17"/>
        <v>36.700000000000003</v>
      </c>
      <c r="AA30" s="29">
        <f t="shared" si="18"/>
        <v>0</v>
      </c>
      <c r="AB30" s="29">
        <f t="shared" si="18"/>
        <v>19.3</v>
      </c>
      <c r="AC30" s="29">
        <f t="shared" si="18"/>
        <v>0</v>
      </c>
      <c r="AD30" s="29">
        <f t="shared" si="18"/>
        <v>59.52</v>
      </c>
      <c r="AE30" s="29">
        <f t="shared" si="18"/>
        <v>0</v>
      </c>
      <c r="AF30" s="29"/>
      <c r="AG30" s="71">
        <f t="shared" si="8"/>
        <v>11.599999999999994</v>
      </c>
    </row>
    <row r="31" spans="1:33" ht="18.75" x14ac:dyDescent="0.3">
      <c r="A31" s="13" t="s">
        <v>33</v>
      </c>
      <c r="B31" s="47">
        <f>H31+J31+L31+N31+P31+R31+T31+V31+X31+Z31+AB31+AD31</f>
        <v>299</v>
      </c>
      <c r="C31" s="32">
        <f>H31+J31+L31+N31+P31+R31+T31</f>
        <v>120.16</v>
      </c>
      <c r="D31" s="32">
        <f>H31+J31+L31+N31+P31+R31+T31</f>
        <v>120.16</v>
      </c>
      <c r="E31" s="32">
        <f>I31+K31+M31+O31+Q31+S31+U31</f>
        <v>108.56</v>
      </c>
      <c r="F31" s="32">
        <f>E31/B31*100</f>
        <v>36.307692307692307</v>
      </c>
      <c r="G31" s="32">
        <f>E31/C31*100</f>
        <v>90.346205059920109</v>
      </c>
      <c r="H31" s="29"/>
      <c r="I31" s="29"/>
      <c r="J31" s="29"/>
      <c r="K31" s="29"/>
      <c r="L31" s="29"/>
      <c r="M31" s="29"/>
      <c r="N31" s="29"/>
      <c r="O31" s="29"/>
      <c r="P31" s="29"/>
      <c r="Q31" s="29"/>
      <c r="R31" s="29">
        <v>10.08</v>
      </c>
      <c r="S31" s="29">
        <v>10.08</v>
      </c>
      <c r="T31" s="29">
        <v>110.08</v>
      </c>
      <c r="U31" s="29">
        <v>98.48</v>
      </c>
      <c r="V31" s="29">
        <v>26.62</v>
      </c>
      <c r="W31" s="29"/>
      <c r="X31" s="29">
        <v>36.700000000000003</v>
      </c>
      <c r="Y31" s="29"/>
      <c r="Z31" s="29">
        <v>36.700000000000003</v>
      </c>
      <c r="AA31" s="29"/>
      <c r="AB31" s="29">
        <v>19.3</v>
      </c>
      <c r="AC31" s="29"/>
      <c r="AD31" s="29">
        <v>59.52</v>
      </c>
      <c r="AE31" s="29"/>
      <c r="AF31" s="29"/>
      <c r="AG31" s="71">
        <f t="shared" si="8"/>
        <v>11.599999999999994</v>
      </c>
    </row>
    <row r="32" spans="1:33" ht="56.25" x14ac:dyDescent="0.3">
      <c r="A32" s="51" t="s">
        <v>57</v>
      </c>
      <c r="B32" s="29"/>
      <c r="C32" s="29"/>
      <c r="D32" s="29"/>
      <c r="E32" s="29"/>
      <c r="F32" s="29"/>
      <c r="G32" s="29"/>
      <c r="H32" s="29"/>
      <c r="I32" s="29"/>
      <c r="J32" s="29"/>
      <c r="K32" s="29"/>
      <c r="L32" s="29"/>
      <c r="M32" s="29"/>
      <c r="N32" s="29"/>
      <c r="O32" s="29"/>
      <c r="P32" s="29"/>
      <c r="Q32" s="29"/>
      <c r="R32" s="29"/>
      <c r="S32" s="29">
        <f t="shared" ref="S32:V33" si="19">S33</f>
        <v>0</v>
      </c>
      <c r="T32" s="29">
        <f t="shared" si="19"/>
        <v>51.97</v>
      </c>
      <c r="U32" s="29">
        <f t="shared" si="19"/>
        <v>44.17</v>
      </c>
      <c r="V32" s="29">
        <f t="shared" si="19"/>
        <v>0</v>
      </c>
      <c r="W32" s="29"/>
      <c r="X32" s="29"/>
      <c r="Y32" s="29"/>
      <c r="Z32" s="29"/>
      <c r="AA32" s="29"/>
      <c r="AB32" s="29"/>
      <c r="AC32" s="29"/>
      <c r="AD32" s="29"/>
      <c r="AE32" s="29"/>
      <c r="AF32" s="29"/>
      <c r="AG32" s="71">
        <f t="shared" si="8"/>
        <v>0</v>
      </c>
    </row>
    <row r="33" spans="1:33" ht="18.75" x14ac:dyDescent="0.3">
      <c r="A33" s="13" t="s">
        <v>31</v>
      </c>
      <c r="B33" s="874">
        <f>B34</f>
        <v>51.97</v>
      </c>
      <c r="C33" s="876">
        <f>C34</f>
        <v>44.17</v>
      </c>
      <c r="D33" s="876">
        <f>D34</f>
        <v>0</v>
      </c>
      <c r="E33" s="876">
        <f>E34</f>
        <v>44.17</v>
      </c>
      <c r="F33" s="32">
        <f>E33/B33*100</f>
        <v>84.991341158360598</v>
      </c>
      <c r="G33" s="32">
        <f>E33/C33*100</f>
        <v>100</v>
      </c>
      <c r="H33" s="29"/>
      <c r="I33" s="29"/>
      <c r="J33" s="29"/>
      <c r="K33" s="29"/>
      <c r="L33" s="29"/>
      <c r="M33" s="29"/>
      <c r="N33" s="29"/>
      <c r="O33" s="29"/>
      <c r="P33" s="29"/>
      <c r="Q33" s="29"/>
      <c r="R33" s="29"/>
      <c r="S33" s="29">
        <f t="shared" si="19"/>
        <v>0</v>
      </c>
      <c r="T33" s="29">
        <f t="shared" si="19"/>
        <v>51.97</v>
      </c>
      <c r="U33" s="29">
        <f t="shared" si="19"/>
        <v>44.17</v>
      </c>
      <c r="V33" s="29">
        <f t="shared" si="19"/>
        <v>0</v>
      </c>
      <c r="W33" s="29"/>
      <c r="X33" s="29"/>
      <c r="Y33" s="29"/>
      <c r="Z33" s="29"/>
      <c r="AA33" s="29"/>
      <c r="AB33" s="29"/>
      <c r="AC33" s="29"/>
      <c r="AD33" s="29"/>
      <c r="AE33" s="29"/>
      <c r="AF33" s="29"/>
      <c r="AG33" s="71">
        <f t="shared" si="8"/>
        <v>0</v>
      </c>
    </row>
    <row r="34" spans="1:33" ht="18.75" x14ac:dyDescent="0.3">
      <c r="A34" s="13" t="s">
        <v>33</v>
      </c>
      <c r="B34" s="47">
        <f>T34</f>
        <v>51.97</v>
      </c>
      <c r="C34" s="32">
        <f>I34+K34+M34+O34+Q34+S34+U34+W34+Y34+AA34+AC34+AE34</f>
        <v>44.17</v>
      </c>
      <c r="D34" s="32">
        <f>I34</f>
        <v>0</v>
      </c>
      <c r="E34" s="32">
        <f>I34+U34</f>
        <v>44.17</v>
      </c>
      <c r="F34" s="32">
        <f>E34/B34*100</f>
        <v>84.991341158360598</v>
      </c>
      <c r="G34" s="32">
        <f>E34/C34*100</f>
        <v>100</v>
      </c>
      <c r="H34" s="29"/>
      <c r="I34" s="29"/>
      <c r="J34" s="29"/>
      <c r="K34" s="29"/>
      <c r="L34" s="29"/>
      <c r="M34" s="29"/>
      <c r="N34" s="29"/>
      <c r="O34" s="29"/>
      <c r="P34" s="29"/>
      <c r="Q34" s="29"/>
      <c r="R34" s="29"/>
      <c r="S34" s="29"/>
      <c r="T34" s="29">
        <v>51.97</v>
      </c>
      <c r="U34" s="29">
        <v>44.17</v>
      </c>
      <c r="V34" s="29"/>
      <c r="W34" s="29"/>
      <c r="X34" s="29"/>
      <c r="Y34" s="29"/>
      <c r="Z34" s="29"/>
      <c r="AA34" s="29"/>
      <c r="AB34" s="29"/>
      <c r="AC34" s="29"/>
      <c r="AD34" s="29"/>
      <c r="AE34" s="29"/>
      <c r="AF34" s="29"/>
      <c r="AG34" s="71">
        <f t="shared" si="8"/>
        <v>0</v>
      </c>
    </row>
    <row r="35" spans="1:33" ht="56.25" x14ac:dyDescent="0.3">
      <c r="A35" s="48" t="s">
        <v>58</v>
      </c>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71">
        <f t="shared" si="8"/>
        <v>0</v>
      </c>
    </row>
    <row r="36" spans="1:33" ht="18.75" x14ac:dyDescent="0.3">
      <c r="A36" s="13" t="s">
        <v>31</v>
      </c>
      <c r="B36" s="872">
        <f>B37</f>
        <v>1357</v>
      </c>
      <c r="C36" s="872">
        <f>C37</f>
        <v>1357</v>
      </c>
      <c r="D36" s="872">
        <f>D37</f>
        <v>1357</v>
      </c>
      <c r="E36" s="872">
        <f>E37</f>
        <v>1357</v>
      </c>
      <c r="F36" s="32">
        <f>E36/B36*100</f>
        <v>100</v>
      </c>
      <c r="G36" s="47">
        <f>E36/C36*100</f>
        <v>100</v>
      </c>
      <c r="H36" s="41">
        <f>H37</f>
        <v>0</v>
      </c>
      <c r="I36" s="41">
        <f t="shared" ref="I36:AE36" si="20">I37</f>
        <v>0</v>
      </c>
      <c r="J36" s="41">
        <f t="shared" si="20"/>
        <v>1357</v>
      </c>
      <c r="K36" s="41">
        <f t="shared" si="20"/>
        <v>1357</v>
      </c>
      <c r="L36" s="41">
        <f t="shared" si="20"/>
        <v>0</v>
      </c>
      <c r="M36" s="41">
        <f t="shared" si="20"/>
        <v>0</v>
      </c>
      <c r="N36" s="41">
        <f t="shared" si="20"/>
        <v>0</v>
      </c>
      <c r="O36" s="41">
        <f t="shared" si="20"/>
        <v>0</v>
      </c>
      <c r="P36" s="41">
        <f t="shared" si="20"/>
        <v>0</v>
      </c>
      <c r="Q36" s="41">
        <f t="shared" si="20"/>
        <v>0</v>
      </c>
      <c r="R36" s="41">
        <f t="shared" si="20"/>
        <v>0</v>
      </c>
      <c r="S36" s="41">
        <f t="shared" si="20"/>
        <v>0</v>
      </c>
      <c r="T36" s="41">
        <f t="shared" si="20"/>
        <v>0</v>
      </c>
      <c r="U36" s="41">
        <f t="shared" si="20"/>
        <v>0</v>
      </c>
      <c r="V36" s="41">
        <f t="shared" si="20"/>
        <v>0</v>
      </c>
      <c r="W36" s="41">
        <f t="shared" si="20"/>
        <v>0</v>
      </c>
      <c r="X36" s="41">
        <f t="shared" si="20"/>
        <v>0</v>
      </c>
      <c r="Y36" s="41">
        <f t="shared" si="20"/>
        <v>0</v>
      </c>
      <c r="Z36" s="41">
        <f t="shared" si="20"/>
        <v>0</v>
      </c>
      <c r="AA36" s="41">
        <f t="shared" si="20"/>
        <v>0</v>
      </c>
      <c r="AB36" s="41">
        <f t="shared" si="20"/>
        <v>0</v>
      </c>
      <c r="AC36" s="41">
        <f t="shared" si="20"/>
        <v>0</v>
      </c>
      <c r="AD36" s="41">
        <f t="shared" si="20"/>
        <v>0</v>
      </c>
      <c r="AE36" s="41">
        <f t="shared" si="20"/>
        <v>0</v>
      </c>
      <c r="AF36" s="29"/>
      <c r="AG36" s="71">
        <f t="shared" si="8"/>
        <v>0</v>
      </c>
    </row>
    <row r="37" spans="1:33" ht="18.75" x14ac:dyDescent="0.3">
      <c r="A37" s="14" t="s">
        <v>74</v>
      </c>
      <c r="B37" s="47">
        <f>H37+J37+L37+N37+P37+R37+T37+V37+X37+Z37+AB37+AD37</f>
        <v>1357</v>
      </c>
      <c r="C37" s="32">
        <f>H37+J37</f>
        <v>1357</v>
      </c>
      <c r="D37" s="32">
        <f>H37+J37</f>
        <v>1357</v>
      </c>
      <c r="E37" s="32">
        <f>I37+K37</f>
        <v>1357</v>
      </c>
      <c r="F37" s="32">
        <f>E37/B37*100</f>
        <v>100</v>
      </c>
      <c r="G37" s="47">
        <f>E37/C37*100</f>
        <v>100</v>
      </c>
      <c r="H37" s="47"/>
      <c r="I37" s="47"/>
      <c r="J37" s="47">
        <v>1357</v>
      </c>
      <c r="K37" s="47">
        <v>1357</v>
      </c>
      <c r="L37" s="47"/>
      <c r="M37" s="47"/>
      <c r="N37" s="47"/>
      <c r="O37" s="47"/>
      <c r="P37" s="47"/>
      <c r="Q37" s="47"/>
      <c r="R37" s="47"/>
      <c r="S37" s="47"/>
      <c r="T37" s="47"/>
      <c r="U37" s="47"/>
      <c r="V37" s="47"/>
      <c r="W37" s="47"/>
      <c r="X37" s="47"/>
      <c r="Y37" s="47"/>
      <c r="Z37" s="47"/>
      <c r="AA37" s="47"/>
      <c r="AB37" s="47"/>
      <c r="AC37" s="47"/>
      <c r="AD37" s="47"/>
      <c r="AE37" s="47"/>
      <c r="AF37" s="47"/>
      <c r="AG37" s="71">
        <f t="shared" si="8"/>
        <v>0</v>
      </c>
    </row>
    <row r="38" spans="1:33" ht="18.75" x14ac:dyDescent="0.3">
      <c r="A38" s="56" t="s">
        <v>35</v>
      </c>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71">
        <f t="shared" si="8"/>
        <v>0</v>
      </c>
    </row>
    <row r="39" spans="1:33" ht="18.75" x14ac:dyDescent="0.3">
      <c r="A39" s="13" t="s">
        <v>31</v>
      </c>
      <c r="B39" s="41">
        <f>B40+B41</f>
        <v>1707.97</v>
      </c>
      <c r="C39" s="41">
        <f>C40+C41</f>
        <v>1521.33</v>
      </c>
      <c r="D39" s="41">
        <f>D40+D41</f>
        <v>1477.16</v>
      </c>
      <c r="E39" s="41">
        <f>E40+E41</f>
        <v>1509.73</v>
      </c>
      <c r="F39" s="32">
        <f>E39/B39*100</f>
        <v>88.393238757121026</v>
      </c>
      <c r="G39" s="47">
        <f>E39/C39*100</f>
        <v>99.237509284639103</v>
      </c>
      <c r="H39" s="41">
        <f t="shared" ref="H39:AE39" si="21">H40+H41</f>
        <v>0</v>
      </c>
      <c r="I39" s="41">
        <f t="shared" si="21"/>
        <v>0</v>
      </c>
      <c r="J39" s="41">
        <f t="shared" si="21"/>
        <v>1357</v>
      </c>
      <c r="K39" s="41">
        <f t="shared" si="21"/>
        <v>1357</v>
      </c>
      <c r="L39" s="41">
        <f t="shared" si="21"/>
        <v>0</v>
      </c>
      <c r="M39" s="41">
        <f t="shared" si="21"/>
        <v>0</v>
      </c>
      <c r="N39" s="41">
        <f t="shared" si="21"/>
        <v>0</v>
      </c>
      <c r="O39" s="41">
        <f t="shared" si="21"/>
        <v>0</v>
      </c>
      <c r="P39" s="41">
        <f t="shared" si="21"/>
        <v>0</v>
      </c>
      <c r="Q39" s="41">
        <f t="shared" si="21"/>
        <v>0</v>
      </c>
      <c r="R39" s="41">
        <f t="shared" si="21"/>
        <v>10.08</v>
      </c>
      <c r="S39" s="41">
        <f t="shared" si="21"/>
        <v>10.08</v>
      </c>
      <c r="T39" s="41">
        <f t="shared" si="21"/>
        <v>162.05000000000001</v>
      </c>
      <c r="U39" s="41">
        <f t="shared" si="21"/>
        <v>142.65</v>
      </c>
      <c r="V39" s="41">
        <f t="shared" si="21"/>
        <v>26.62</v>
      </c>
      <c r="W39" s="41">
        <f t="shared" si="21"/>
        <v>0</v>
      </c>
      <c r="X39" s="41">
        <f t="shared" si="21"/>
        <v>36.700000000000003</v>
      </c>
      <c r="Y39" s="41">
        <f t="shared" si="21"/>
        <v>0</v>
      </c>
      <c r="Z39" s="41">
        <f t="shared" si="21"/>
        <v>36.700000000000003</v>
      </c>
      <c r="AA39" s="41">
        <f t="shared" si="21"/>
        <v>0</v>
      </c>
      <c r="AB39" s="41">
        <f t="shared" si="21"/>
        <v>19.3</v>
      </c>
      <c r="AC39" s="41">
        <f t="shared" si="21"/>
        <v>0</v>
      </c>
      <c r="AD39" s="41">
        <f t="shared" si="21"/>
        <v>59.52</v>
      </c>
      <c r="AE39" s="41">
        <f t="shared" si="21"/>
        <v>0</v>
      </c>
      <c r="AF39" s="29"/>
      <c r="AG39" s="71">
        <f t="shared" si="8"/>
        <v>11.599999999999909</v>
      </c>
    </row>
    <row r="40" spans="1:33" ht="18.75" x14ac:dyDescent="0.3">
      <c r="A40" s="13" t="s">
        <v>33</v>
      </c>
      <c r="B40" s="41">
        <f>B31+B34</f>
        <v>350.97</v>
      </c>
      <c r="C40" s="41">
        <f>C31+C34</f>
        <v>164.32999999999998</v>
      </c>
      <c r="D40" s="41">
        <f>D31+D34</f>
        <v>120.16</v>
      </c>
      <c r="E40" s="41">
        <f>E31+E34</f>
        <v>152.73000000000002</v>
      </c>
      <c r="F40" s="32">
        <f>E40/B40*100</f>
        <v>43.516539875203009</v>
      </c>
      <c r="G40" s="47">
        <f>E40/C40*100</f>
        <v>92.941033286679271</v>
      </c>
      <c r="H40" s="41">
        <f>H31+H34</f>
        <v>0</v>
      </c>
      <c r="I40" s="41">
        <f>I31+I34</f>
        <v>0</v>
      </c>
      <c r="J40" s="41">
        <f>J31+J34</f>
        <v>0</v>
      </c>
      <c r="K40" s="41">
        <f>K31+K34</f>
        <v>0</v>
      </c>
      <c r="L40" s="41">
        <f t="shared" ref="L40:AE40" si="22">L31+L34</f>
        <v>0</v>
      </c>
      <c r="M40" s="41">
        <f t="shared" si="22"/>
        <v>0</v>
      </c>
      <c r="N40" s="41">
        <f t="shared" si="22"/>
        <v>0</v>
      </c>
      <c r="O40" s="41">
        <f t="shared" si="22"/>
        <v>0</v>
      </c>
      <c r="P40" s="41">
        <f t="shared" si="22"/>
        <v>0</v>
      </c>
      <c r="Q40" s="41">
        <f t="shared" si="22"/>
        <v>0</v>
      </c>
      <c r="R40" s="41">
        <f t="shared" si="22"/>
        <v>10.08</v>
      </c>
      <c r="S40" s="41">
        <f t="shared" si="22"/>
        <v>10.08</v>
      </c>
      <c r="T40" s="41">
        <f t="shared" si="22"/>
        <v>162.05000000000001</v>
      </c>
      <c r="U40" s="41">
        <f t="shared" si="22"/>
        <v>142.65</v>
      </c>
      <c r="V40" s="41">
        <f t="shared" si="22"/>
        <v>26.62</v>
      </c>
      <c r="W40" s="41">
        <f t="shared" si="22"/>
        <v>0</v>
      </c>
      <c r="X40" s="41">
        <f t="shared" si="22"/>
        <v>36.700000000000003</v>
      </c>
      <c r="Y40" s="41">
        <f t="shared" si="22"/>
        <v>0</v>
      </c>
      <c r="Z40" s="41">
        <f t="shared" si="22"/>
        <v>36.700000000000003</v>
      </c>
      <c r="AA40" s="41">
        <f t="shared" si="22"/>
        <v>0</v>
      </c>
      <c r="AB40" s="41">
        <f t="shared" si="22"/>
        <v>19.3</v>
      </c>
      <c r="AC40" s="41">
        <f t="shared" si="22"/>
        <v>0</v>
      </c>
      <c r="AD40" s="41">
        <f t="shared" si="22"/>
        <v>59.52</v>
      </c>
      <c r="AE40" s="41">
        <f t="shared" si="22"/>
        <v>0</v>
      </c>
      <c r="AF40" s="29"/>
      <c r="AG40" s="71">
        <f t="shared" si="8"/>
        <v>11.599999999999966</v>
      </c>
    </row>
    <row r="41" spans="1:33" ht="18.75" x14ac:dyDescent="0.3">
      <c r="A41" s="14" t="s">
        <v>74</v>
      </c>
      <c r="B41" s="41">
        <f>B37</f>
        <v>1357</v>
      </c>
      <c r="C41" s="41">
        <f>C37</f>
        <v>1357</v>
      </c>
      <c r="D41" s="41">
        <f>D37</f>
        <v>1357</v>
      </c>
      <c r="E41" s="41">
        <f>E37</f>
        <v>1357</v>
      </c>
      <c r="F41" s="32">
        <f>E41/B41*100</f>
        <v>100</v>
      </c>
      <c r="G41" s="47">
        <f>E41/C41*100</f>
        <v>100</v>
      </c>
      <c r="H41" s="41">
        <f>H37</f>
        <v>0</v>
      </c>
      <c r="I41" s="41">
        <f>I37</f>
        <v>0</v>
      </c>
      <c r="J41" s="41">
        <f>J37</f>
        <v>1357</v>
      </c>
      <c r="K41" s="41">
        <f>K37</f>
        <v>1357</v>
      </c>
      <c r="L41" s="41">
        <f t="shared" ref="L41:AE41" si="23">L37</f>
        <v>0</v>
      </c>
      <c r="M41" s="41">
        <f t="shared" si="23"/>
        <v>0</v>
      </c>
      <c r="N41" s="41">
        <f t="shared" si="23"/>
        <v>0</v>
      </c>
      <c r="O41" s="41">
        <f t="shared" si="23"/>
        <v>0</v>
      </c>
      <c r="P41" s="41">
        <f t="shared" si="23"/>
        <v>0</v>
      </c>
      <c r="Q41" s="41">
        <f t="shared" si="23"/>
        <v>0</v>
      </c>
      <c r="R41" s="41">
        <f t="shared" si="23"/>
        <v>0</v>
      </c>
      <c r="S41" s="41">
        <f t="shared" si="23"/>
        <v>0</v>
      </c>
      <c r="T41" s="41">
        <f t="shared" si="23"/>
        <v>0</v>
      </c>
      <c r="U41" s="41">
        <f t="shared" si="23"/>
        <v>0</v>
      </c>
      <c r="V41" s="41">
        <f t="shared" si="23"/>
        <v>0</v>
      </c>
      <c r="W41" s="41">
        <f t="shared" si="23"/>
        <v>0</v>
      </c>
      <c r="X41" s="41">
        <f t="shared" si="23"/>
        <v>0</v>
      </c>
      <c r="Y41" s="41">
        <f t="shared" si="23"/>
        <v>0</v>
      </c>
      <c r="Z41" s="41">
        <f t="shared" si="23"/>
        <v>0</v>
      </c>
      <c r="AA41" s="41">
        <f t="shared" si="23"/>
        <v>0</v>
      </c>
      <c r="AB41" s="41">
        <f t="shared" si="23"/>
        <v>0</v>
      </c>
      <c r="AC41" s="41">
        <f t="shared" si="23"/>
        <v>0</v>
      </c>
      <c r="AD41" s="41">
        <f t="shared" si="23"/>
        <v>0</v>
      </c>
      <c r="AE41" s="41">
        <f t="shared" si="23"/>
        <v>0</v>
      </c>
      <c r="AF41" s="29"/>
      <c r="AG41" s="71">
        <f t="shared" si="8"/>
        <v>0</v>
      </c>
    </row>
    <row r="42" spans="1:33" ht="37.5" x14ac:dyDescent="0.3">
      <c r="A42" s="28" t="s">
        <v>73</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71">
        <f t="shared" si="8"/>
        <v>0</v>
      </c>
    </row>
    <row r="43" spans="1:33" ht="18.75" x14ac:dyDescent="0.3">
      <c r="A43" s="8" t="s">
        <v>31</v>
      </c>
      <c r="B43" s="41">
        <f>B44+B45</f>
        <v>1707.97</v>
      </c>
      <c r="C43" s="41">
        <f>C44+C45</f>
        <v>1521.33</v>
      </c>
      <c r="D43" s="41">
        <f>D44+D45</f>
        <v>1477.16</v>
      </c>
      <c r="E43" s="41">
        <f>E44+E45</f>
        <v>1509.73</v>
      </c>
      <c r="F43" s="32">
        <f>E43/B43*100</f>
        <v>88.393238757121026</v>
      </c>
      <c r="G43" s="47">
        <f>E43/C43*100</f>
        <v>99.237509284639103</v>
      </c>
      <c r="H43" s="41">
        <f>H44+H45</f>
        <v>0</v>
      </c>
      <c r="I43" s="41">
        <f t="shared" ref="I43:AE43" si="24">I44+I45</f>
        <v>0</v>
      </c>
      <c r="J43" s="41">
        <f t="shared" si="24"/>
        <v>1357</v>
      </c>
      <c r="K43" s="41">
        <f t="shared" si="24"/>
        <v>1357</v>
      </c>
      <c r="L43" s="41">
        <f t="shared" si="24"/>
        <v>0</v>
      </c>
      <c r="M43" s="41">
        <f t="shared" si="24"/>
        <v>0</v>
      </c>
      <c r="N43" s="41">
        <f t="shared" si="24"/>
        <v>0</v>
      </c>
      <c r="O43" s="41">
        <f t="shared" si="24"/>
        <v>0</v>
      </c>
      <c r="P43" s="41">
        <f t="shared" si="24"/>
        <v>0</v>
      </c>
      <c r="Q43" s="41">
        <f t="shared" si="24"/>
        <v>0</v>
      </c>
      <c r="R43" s="41">
        <f t="shared" si="24"/>
        <v>10.08</v>
      </c>
      <c r="S43" s="41">
        <f t="shared" si="24"/>
        <v>10.08</v>
      </c>
      <c r="T43" s="41">
        <f t="shared" si="24"/>
        <v>162.05000000000001</v>
      </c>
      <c r="U43" s="41">
        <f t="shared" si="24"/>
        <v>142.65</v>
      </c>
      <c r="V43" s="41">
        <f t="shared" si="24"/>
        <v>26.62</v>
      </c>
      <c r="W43" s="41">
        <f t="shared" si="24"/>
        <v>0</v>
      </c>
      <c r="X43" s="41">
        <f t="shared" si="24"/>
        <v>36.700000000000003</v>
      </c>
      <c r="Y43" s="41">
        <f t="shared" si="24"/>
        <v>0</v>
      </c>
      <c r="Z43" s="41">
        <f t="shared" si="24"/>
        <v>36.700000000000003</v>
      </c>
      <c r="AA43" s="41">
        <f t="shared" si="24"/>
        <v>0</v>
      </c>
      <c r="AB43" s="41">
        <f t="shared" si="24"/>
        <v>19.3</v>
      </c>
      <c r="AC43" s="41">
        <f t="shared" si="24"/>
        <v>0</v>
      </c>
      <c r="AD43" s="41">
        <f t="shared" si="24"/>
        <v>59.52</v>
      </c>
      <c r="AE43" s="41">
        <f t="shared" si="24"/>
        <v>0</v>
      </c>
      <c r="AF43" s="29"/>
      <c r="AG43" s="71">
        <f t="shared" si="8"/>
        <v>11.599999999999909</v>
      </c>
    </row>
    <row r="44" spans="1:33" ht="18.75" x14ac:dyDescent="0.3">
      <c r="A44" s="13" t="s">
        <v>33</v>
      </c>
      <c r="B44" s="41">
        <f t="shared" ref="B44:E45" si="25">B40</f>
        <v>350.97</v>
      </c>
      <c r="C44" s="41">
        <f t="shared" si="25"/>
        <v>164.32999999999998</v>
      </c>
      <c r="D44" s="41">
        <f t="shared" si="25"/>
        <v>120.16</v>
      </c>
      <c r="E44" s="41">
        <f t="shared" si="25"/>
        <v>152.73000000000002</v>
      </c>
      <c r="F44" s="32">
        <f>E44/B44*100</f>
        <v>43.516539875203009</v>
      </c>
      <c r="G44" s="47">
        <f>E44/C44*100</f>
        <v>92.941033286679271</v>
      </c>
      <c r="H44" s="41">
        <f>H40</f>
        <v>0</v>
      </c>
      <c r="I44" s="41">
        <f t="shared" ref="I44:AE44" si="26">I40</f>
        <v>0</v>
      </c>
      <c r="J44" s="41">
        <f t="shared" si="26"/>
        <v>0</v>
      </c>
      <c r="K44" s="41">
        <f t="shared" si="26"/>
        <v>0</v>
      </c>
      <c r="L44" s="41">
        <f t="shared" si="26"/>
        <v>0</v>
      </c>
      <c r="M44" s="41">
        <f t="shared" si="26"/>
        <v>0</v>
      </c>
      <c r="N44" s="41">
        <f t="shared" si="26"/>
        <v>0</v>
      </c>
      <c r="O44" s="41">
        <f t="shared" si="26"/>
        <v>0</v>
      </c>
      <c r="P44" s="41">
        <f t="shared" si="26"/>
        <v>0</v>
      </c>
      <c r="Q44" s="41">
        <f t="shared" si="26"/>
        <v>0</v>
      </c>
      <c r="R44" s="41">
        <f t="shared" si="26"/>
        <v>10.08</v>
      </c>
      <c r="S44" s="41">
        <f t="shared" si="26"/>
        <v>10.08</v>
      </c>
      <c r="T44" s="41">
        <f t="shared" si="26"/>
        <v>162.05000000000001</v>
      </c>
      <c r="U44" s="41">
        <f t="shared" si="26"/>
        <v>142.65</v>
      </c>
      <c r="V44" s="41">
        <f t="shared" si="26"/>
        <v>26.62</v>
      </c>
      <c r="W44" s="41">
        <f t="shared" si="26"/>
        <v>0</v>
      </c>
      <c r="X44" s="41">
        <f t="shared" si="26"/>
        <v>36.700000000000003</v>
      </c>
      <c r="Y44" s="41">
        <f t="shared" si="26"/>
        <v>0</v>
      </c>
      <c r="Z44" s="41">
        <f t="shared" si="26"/>
        <v>36.700000000000003</v>
      </c>
      <c r="AA44" s="41">
        <f t="shared" si="26"/>
        <v>0</v>
      </c>
      <c r="AB44" s="41">
        <f t="shared" si="26"/>
        <v>19.3</v>
      </c>
      <c r="AC44" s="41">
        <f t="shared" si="26"/>
        <v>0</v>
      </c>
      <c r="AD44" s="41">
        <f t="shared" si="26"/>
        <v>59.52</v>
      </c>
      <c r="AE44" s="41">
        <f t="shared" si="26"/>
        <v>0</v>
      </c>
      <c r="AF44" s="29"/>
      <c r="AG44" s="71">
        <f t="shared" si="8"/>
        <v>11.599999999999966</v>
      </c>
    </row>
    <row r="45" spans="1:33" ht="18.75" x14ac:dyDescent="0.3">
      <c r="A45" s="14" t="s">
        <v>74</v>
      </c>
      <c r="B45" s="41">
        <f t="shared" si="25"/>
        <v>1357</v>
      </c>
      <c r="C45" s="41">
        <f t="shared" si="25"/>
        <v>1357</v>
      </c>
      <c r="D45" s="41">
        <f t="shared" si="25"/>
        <v>1357</v>
      </c>
      <c r="E45" s="41">
        <f t="shared" si="25"/>
        <v>1357</v>
      </c>
      <c r="F45" s="32">
        <f>E45/B45*100</f>
        <v>100</v>
      </c>
      <c r="G45" s="47">
        <f>E45/C45*100</f>
        <v>100</v>
      </c>
      <c r="H45" s="41">
        <f>H41</f>
        <v>0</v>
      </c>
      <c r="I45" s="41">
        <f t="shared" ref="I45:AE45" si="27">I41</f>
        <v>0</v>
      </c>
      <c r="J45" s="41">
        <f t="shared" si="27"/>
        <v>1357</v>
      </c>
      <c r="K45" s="41">
        <f t="shared" si="27"/>
        <v>1357</v>
      </c>
      <c r="L45" s="41">
        <f t="shared" si="27"/>
        <v>0</v>
      </c>
      <c r="M45" s="41">
        <f t="shared" si="27"/>
        <v>0</v>
      </c>
      <c r="N45" s="41">
        <f t="shared" si="27"/>
        <v>0</v>
      </c>
      <c r="O45" s="41">
        <f t="shared" si="27"/>
        <v>0</v>
      </c>
      <c r="P45" s="41">
        <f t="shared" si="27"/>
        <v>0</v>
      </c>
      <c r="Q45" s="41">
        <f t="shared" si="27"/>
        <v>0</v>
      </c>
      <c r="R45" s="41">
        <f t="shared" si="27"/>
        <v>0</v>
      </c>
      <c r="S45" s="41">
        <f t="shared" si="27"/>
        <v>0</v>
      </c>
      <c r="T45" s="41">
        <f t="shared" si="27"/>
        <v>0</v>
      </c>
      <c r="U45" s="41">
        <f t="shared" si="27"/>
        <v>0</v>
      </c>
      <c r="V45" s="41">
        <f t="shared" si="27"/>
        <v>0</v>
      </c>
      <c r="W45" s="41">
        <f t="shared" si="27"/>
        <v>0</v>
      </c>
      <c r="X45" s="41">
        <f t="shared" si="27"/>
        <v>0</v>
      </c>
      <c r="Y45" s="41">
        <f t="shared" si="27"/>
        <v>0</v>
      </c>
      <c r="Z45" s="41">
        <f t="shared" si="27"/>
        <v>0</v>
      </c>
      <c r="AA45" s="41">
        <f t="shared" si="27"/>
        <v>0</v>
      </c>
      <c r="AB45" s="41">
        <f t="shared" si="27"/>
        <v>0</v>
      </c>
      <c r="AC45" s="41">
        <f t="shared" si="27"/>
        <v>0</v>
      </c>
      <c r="AD45" s="41">
        <f t="shared" si="27"/>
        <v>0</v>
      </c>
      <c r="AE45" s="41">
        <f t="shared" si="27"/>
        <v>0</v>
      </c>
      <c r="AF45" s="29"/>
      <c r="AG45" s="71">
        <f t="shared" si="8"/>
        <v>0</v>
      </c>
    </row>
    <row r="46" spans="1:33" ht="131.25" x14ac:dyDescent="0.3">
      <c r="A46" s="55" t="s">
        <v>59</v>
      </c>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71">
        <f t="shared" si="8"/>
        <v>0</v>
      </c>
    </row>
    <row r="47" spans="1:33" ht="18.75" x14ac:dyDescent="0.3">
      <c r="A47" s="52" t="s">
        <v>54</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71">
        <f t="shared" si="8"/>
        <v>0</v>
      </c>
    </row>
    <row r="48" spans="1:33" ht="150" x14ac:dyDescent="0.3">
      <c r="A48" s="50" t="s">
        <v>60</v>
      </c>
      <c r="B48" s="53"/>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71">
        <f t="shared" si="8"/>
        <v>0</v>
      </c>
    </row>
    <row r="49" spans="1:33" ht="18.75" x14ac:dyDescent="0.3">
      <c r="A49" s="877" t="s">
        <v>31</v>
      </c>
      <c r="B49" s="869">
        <f>B50+B51</f>
        <v>8815.7899999999991</v>
      </c>
      <c r="C49" s="869">
        <f>C50+C51</f>
        <v>5825.4900000000007</v>
      </c>
      <c r="D49" s="869">
        <f>D50+D51</f>
        <v>5825.4900000000007</v>
      </c>
      <c r="E49" s="875">
        <f>E50+E51</f>
        <v>5654.84</v>
      </c>
      <c r="F49" s="32">
        <f>E49/B49*100</f>
        <v>64.14444990182389</v>
      </c>
      <c r="G49" s="47">
        <f>E49/C49*100</f>
        <v>97.070632684975848</v>
      </c>
      <c r="H49" s="41">
        <f>H50</f>
        <v>1146.0999999999999</v>
      </c>
      <c r="I49" s="685">
        <f t="shared" ref="I49:AE49" si="28">I50</f>
        <v>760.22</v>
      </c>
      <c r="J49" s="685">
        <f t="shared" si="28"/>
        <v>746.3</v>
      </c>
      <c r="K49" s="689">
        <f t="shared" si="28"/>
        <v>1037.3499999999999</v>
      </c>
      <c r="L49" s="685">
        <f t="shared" si="28"/>
        <v>833.8</v>
      </c>
      <c r="M49" s="685">
        <f t="shared" si="28"/>
        <v>898.63</v>
      </c>
      <c r="N49" s="685">
        <f t="shared" si="28"/>
        <v>913.5</v>
      </c>
      <c r="O49" s="685">
        <f t="shared" si="28"/>
        <v>599.34</v>
      </c>
      <c r="P49" s="685">
        <f>P50+P51</f>
        <v>721.18999999999994</v>
      </c>
      <c r="Q49" s="685">
        <f>Q50+Q51</f>
        <v>512.80000000000007</v>
      </c>
      <c r="R49" s="685">
        <f t="shared" si="28"/>
        <v>619.5</v>
      </c>
      <c r="S49" s="685">
        <f t="shared" si="28"/>
        <v>1042.1599999999999</v>
      </c>
      <c r="T49" s="685">
        <f t="shared" si="28"/>
        <v>845.1</v>
      </c>
      <c r="U49" s="685">
        <f t="shared" si="28"/>
        <v>804.34</v>
      </c>
      <c r="V49" s="685">
        <f t="shared" si="28"/>
        <v>676.3</v>
      </c>
      <c r="W49" s="685">
        <f t="shared" si="28"/>
        <v>0</v>
      </c>
      <c r="X49" s="685">
        <f t="shared" si="28"/>
        <v>534.9</v>
      </c>
      <c r="Y49" s="685">
        <f t="shared" si="28"/>
        <v>0</v>
      </c>
      <c r="Z49" s="685">
        <f t="shared" si="28"/>
        <v>637.20000000000005</v>
      </c>
      <c r="AA49" s="685">
        <f t="shared" si="28"/>
        <v>0</v>
      </c>
      <c r="AB49" s="685">
        <f t="shared" si="28"/>
        <v>637.6</v>
      </c>
      <c r="AC49" s="685">
        <f t="shared" si="28"/>
        <v>0</v>
      </c>
      <c r="AD49" s="685">
        <f t="shared" si="28"/>
        <v>504.3</v>
      </c>
      <c r="AE49" s="685">
        <f t="shared" si="28"/>
        <v>0</v>
      </c>
      <c r="AF49" s="686"/>
      <c r="AG49" s="71">
        <f t="shared" si="8"/>
        <v>170.65000000000055</v>
      </c>
    </row>
    <row r="50" spans="1:33" s="46" customFormat="1" ht="93.75" x14ac:dyDescent="0.3">
      <c r="A50" s="15" t="s">
        <v>33</v>
      </c>
      <c r="B50" s="47">
        <f>H50+J50+L50+N50+P50+R50+T50+V50+X50+Z50+AB50+AD50</f>
        <v>8770.9</v>
      </c>
      <c r="C50" s="32">
        <f>H50+J50+L50+N50+P50+R50+T50</f>
        <v>5780.6</v>
      </c>
      <c r="D50" s="32">
        <f>H50+J50+L50+N50+P50+R50+T50</f>
        <v>5780.6</v>
      </c>
      <c r="E50" s="32">
        <f>I50+K50+M50+O50+Q50+S50+U50</f>
        <v>5609.95</v>
      </c>
      <c r="F50" s="32">
        <f>E50/B50*100</f>
        <v>63.960939014240267</v>
      </c>
      <c r="G50" s="47">
        <f>E50/C50*100</f>
        <v>97.047884302667526</v>
      </c>
      <c r="H50" s="47">
        <v>1146.0999999999999</v>
      </c>
      <c r="I50" s="686">
        <v>760.22</v>
      </c>
      <c r="J50" s="686">
        <v>746.3</v>
      </c>
      <c r="K50" s="683">
        <v>1037.3499999999999</v>
      </c>
      <c r="L50" s="686">
        <v>833.8</v>
      </c>
      <c r="M50" s="686">
        <v>898.63</v>
      </c>
      <c r="N50" s="686">
        <v>913.5</v>
      </c>
      <c r="O50" s="686">
        <v>599.34</v>
      </c>
      <c r="P50" s="686">
        <v>676.3</v>
      </c>
      <c r="Q50" s="686">
        <v>467.91</v>
      </c>
      <c r="R50" s="686">
        <v>619.5</v>
      </c>
      <c r="S50" s="686">
        <f>1087.05-Q51</f>
        <v>1042.1599999999999</v>
      </c>
      <c r="T50" s="686">
        <v>845.1</v>
      </c>
      <c r="U50" s="686">
        <v>804.34</v>
      </c>
      <c r="V50" s="686">
        <v>676.3</v>
      </c>
      <c r="W50" s="686"/>
      <c r="X50" s="686">
        <v>534.9</v>
      </c>
      <c r="Y50" s="686"/>
      <c r="Z50" s="686">
        <v>637.20000000000005</v>
      </c>
      <c r="AA50" s="686"/>
      <c r="AB50" s="686">
        <v>637.6</v>
      </c>
      <c r="AC50" s="686"/>
      <c r="AD50" s="686">
        <v>504.3</v>
      </c>
      <c r="AE50" s="686"/>
      <c r="AF50" s="710" t="s">
        <v>506</v>
      </c>
      <c r="AG50" s="71">
        <f t="shared" si="8"/>
        <v>170.65000000000055</v>
      </c>
    </row>
    <row r="51" spans="1:33" s="46" customFormat="1" ht="18.75" x14ac:dyDescent="0.3">
      <c r="A51" s="929" t="s">
        <v>32</v>
      </c>
      <c r="B51" s="47">
        <f>H51+J51+L51+N51+P51+R51+T51+V51+X51+Z51+AB51+AD51</f>
        <v>44.89</v>
      </c>
      <c r="C51" s="32">
        <f>H51+J51+L51+N51+P51</f>
        <v>44.89</v>
      </c>
      <c r="D51" s="32">
        <f>H51+J51+L51+N51+P51</f>
        <v>44.89</v>
      </c>
      <c r="E51" s="32">
        <f>I51+K51+M51+O51+Q51</f>
        <v>44.89</v>
      </c>
      <c r="F51" s="32">
        <f>E51/B51*100</f>
        <v>100</v>
      </c>
      <c r="G51" s="47">
        <f>E51/C51*100</f>
        <v>100</v>
      </c>
      <c r="H51" s="47">
        <v>0</v>
      </c>
      <c r="I51" s="686">
        <v>0</v>
      </c>
      <c r="J51" s="686">
        <v>0</v>
      </c>
      <c r="K51" s="683">
        <v>0</v>
      </c>
      <c r="L51" s="686">
        <v>0</v>
      </c>
      <c r="M51" s="686">
        <v>0</v>
      </c>
      <c r="N51" s="686">
        <v>0</v>
      </c>
      <c r="O51" s="686">
        <v>0</v>
      </c>
      <c r="P51" s="686">
        <v>44.89</v>
      </c>
      <c r="Q51" s="686">
        <v>44.89</v>
      </c>
      <c r="R51" s="686">
        <v>0</v>
      </c>
      <c r="S51" s="686"/>
      <c r="T51" s="686">
        <v>0</v>
      </c>
      <c r="U51" s="686"/>
      <c r="V51" s="686"/>
      <c r="W51" s="686"/>
      <c r="X51" s="686"/>
      <c r="Y51" s="686"/>
      <c r="Z51" s="686"/>
      <c r="AA51" s="686"/>
      <c r="AB51" s="686"/>
      <c r="AC51" s="686"/>
      <c r="AD51" s="686"/>
      <c r="AE51" s="686"/>
      <c r="AF51" s="710"/>
      <c r="AG51" s="71"/>
    </row>
    <row r="52" spans="1:33" ht="112.5" x14ac:dyDescent="0.3">
      <c r="A52" s="51" t="s">
        <v>61</v>
      </c>
      <c r="B52" s="53"/>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71">
        <f t="shared" si="8"/>
        <v>0</v>
      </c>
    </row>
    <row r="53" spans="1:33" ht="18.75" x14ac:dyDescent="0.3">
      <c r="A53" s="19" t="s">
        <v>31</v>
      </c>
      <c r="B53" s="41">
        <f>B54</f>
        <v>37403.800000000003</v>
      </c>
      <c r="C53" s="41">
        <f>C54</f>
        <v>21648.91</v>
      </c>
      <c r="D53" s="41">
        <f>D54</f>
        <v>21648.91</v>
      </c>
      <c r="E53" s="41">
        <f>E54</f>
        <v>19086.02</v>
      </c>
      <c r="F53" s="32">
        <f>E53/B53*100</f>
        <v>51.026954480560796</v>
      </c>
      <c r="G53" s="47">
        <f>E53/C53*100</f>
        <v>88.161574878365698</v>
      </c>
      <c r="H53" s="41">
        <f>H54</f>
        <v>2514.42</v>
      </c>
      <c r="I53" s="41">
        <f>I54</f>
        <v>1209.1099999999999</v>
      </c>
      <c r="J53" s="41">
        <f t="shared" ref="J53:AE53" si="29">J54</f>
        <v>2858.69</v>
      </c>
      <c r="K53" s="41">
        <f t="shared" si="29"/>
        <v>3080.14</v>
      </c>
      <c r="L53" s="41">
        <f t="shared" si="29"/>
        <v>3034.13</v>
      </c>
      <c r="M53" s="41">
        <f t="shared" si="29"/>
        <v>2727.01</v>
      </c>
      <c r="N53" s="41">
        <f t="shared" si="29"/>
        <v>3178.8</v>
      </c>
      <c r="O53" s="41">
        <f t="shared" si="29"/>
        <v>2883.44</v>
      </c>
      <c r="P53" s="41">
        <f t="shared" si="29"/>
        <v>3166.67</v>
      </c>
      <c r="Q53" s="41">
        <f t="shared" si="29"/>
        <v>2880.97</v>
      </c>
      <c r="R53" s="41">
        <f t="shared" si="29"/>
        <v>3144.42</v>
      </c>
      <c r="S53" s="41">
        <f t="shared" si="29"/>
        <v>3258.38</v>
      </c>
      <c r="T53" s="41">
        <f t="shared" si="29"/>
        <v>3751.78</v>
      </c>
      <c r="U53" s="41">
        <f t="shared" si="29"/>
        <v>3046.97</v>
      </c>
      <c r="V53" s="41">
        <f t="shared" si="29"/>
        <v>3146.42</v>
      </c>
      <c r="W53" s="41">
        <f t="shared" si="29"/>
        <v>0</v>
      </c>
      <c r="X53" s="41">
        <f t="shared" si="29"/>
        <v>3196.68</v>
      </c>
      <c r="Y53" s="41">
        <f t="shared" si="29"/>
        <v>0</v>
      </c>
      <c r="Z53" s="41">
        <f t="shared" si="29"/>
        <v>3473.53</v>
      </c>
      <c r="AA53" s="41">
        <f t="shared" si="29"/>
        <v>0</v>
      </c>
      <c r="AB53" s="41">
        <f t="shared" si="29"/>
        <v>3197.1</v>
      </c>
      <c r="AC53" s="41">
        <f t="shared" si="29"/>
        <v>0</v>
      </c>
      <c r="AD53" s="41">
        <f t="shared" si="29"/>
        <v>2741.16</v>
      </c>
      <c r="AE53" s="41">
        <f t="shared" si="29"/>
        <v>0</v>
      </c>
      <c r="AF53" s="29"/>
      <c r="AG53" s="71">
        <f t="shared" si="8"/>
        <v>2562.8899999999994</v>
      </c>
    </row>
    <row r="54" spans="1:33" s="46" customFormat="1" ht="93.75" x14ac:dyDescent="0.3">
      <c r="A54" s="15" t="s">
        <v>33</v>
      </c>
      <c r="B54" s="874">
        <f>H54+J54+L54+N54+P54+R54+T54+V54+X54+Z54+AB54+AD54</f>
        <v>37403.800000000003</v>
      </c>
      <c r="C54" s="47">
        <f>H54+J54+L54+N54+P54+R54+T54</f>
        <v>21648.91</v>
      </c>
      <c r="D54" s="47">
        <f>H54+J54+L54+N54+P54+R54+T54</f>
        <v>21648.91</v>
      </c>
      <c r="E54" s="47">
        <f>I54+K54+M54+O54+Q54+S54+U54</f>
        <v>19086.02</v>
      </c>
      <c r="F54" s="32">
        <f>E54/B54*100</f>
        <v>51.026954480560796</v>
      </c>
      <c r="G54" s="47">
        <f>E54/C54*100</f>
        <v>88.161574878365698</v>
      </c>
      <c r="H54" s="47">
        <v>2514.42</v>
      </c>
      <c r="I54" s="47">
        <v>1209.1099999999999</v>
      </c>
      <c r="J54" s="47">
        <v>2858.69</v>
      </c>
      <c r="K54" s="47">
        <v>3080.14</v>
      </c>
      <c r="L54" s="47">
        <v>3034.13</v>
      </c>
      <c r="M54" s="47">
        <v>2727.01</v>
      </c>
      <c r="N54" s="47">
        <v>3178.8</v>
      </c>
      <c r="O54" s="47">
        <v>2883.44</v>
      </c>
      <c r="P54" s="47">
        <v>3166.67</v>
      </c>
      <c r="Q54" s="47">
        <v>2880.97</v>
      </c>
      <c r="R54" s="47">
        <v>3144.42</v>
      </c>
      <c r="S54" s="47">
        <v>3258.38</v>
      </c>
      <c r="T54" s="47">
        <v>3751.78</v>
      </c>
      <c r="U54" s="47">
        <v>3046.97</v>
      </c>
      <c r="V54" s="47">
        <v>3146.42</v>
      </c>
      <c r="W54" s="47"/>
      <c r="X54" s="47">
        <v>3196.68</v>
      </c>
      <c r="Y54" s="47"/>
      <c r="Z54" s="47">
        <v>3473.53</v>
      </c>
      <c r="AA54" s="47"/>
      <c r="AB54" s="47">
        <v>3197.1</v>
      </c>
      <c r="AC54" s="47"/>
      <c r="AD54" s="47">
        <v>2741.16</v>
      </c>
      <c r="AE54" s="47"/>
      <c r="AF54" s="710" t="s">
        <v>506</v>
      </c>
      <c r="AG54" s="71">
        <f t="shared" si="8"/>
        <v>2562.8899999999994</v>
      </c>
    </row>
    <row r="55" spans="1:33" ht="18.75" x14ac:dyDescent="0.3">
      <c r="A55" s="56" t="s">
        <v>62</v>
      </c>
      <c r="B55" s="29"/>
      <c r="C55" s="29"/>
      <c r="D55" s="29"/>
      <c r="E55" s="29"/>
      <c r="F55" s="29"/>
      <c r="G55" s="29"/>
      <c r="H55" s="29"/>
      <c r="I55" s="47"/>
      <c r="J55" s="47"/>
      <c r="K55" s="47"/>
      <c r="L55" s="47"/>
      <c r="M55" s="47"/>
      <c r="N55" s="47"/>
      <c r="O55" s="29"/>
      <c r="P55" s="29"/>
      <c r="Q55" s="29"/>
      <c r="R55" s="29"/>
      <c r="S55" s="29"/>
      <c r="T55" s="29"/>
      <c r="U55" s="29"/>
      <c r="V55" s="29"/>
      <c r="W55" s="29"/>
      <c r="X55" s="29"/>
      <c r="Y55" s="29"/>
      <c r="Z55" s="29"/>
      <c r="AA55" s="29"/>
      <c r="AB55" s="29"/>
      <c r="AC55" s="29"/>
      <c r="AD55" s="29"/>
      <c r="AE55" s="29"/>
      <c r="AF55" s="29"/>
      <c r="AG55" s="71">
        <f t="shared" si="8"/>
        <v>0</v>
      </c>
    </row>
    <row r="56" spans="1:33" ht="18.75" x14ac:dyDescent="0.3">
      <c r="A56" s="19" t="s">
        <v>31</v>
      </c>
      <c r="B56" s="41">
        <f>B57</f>
        <v>46174.700000000004</v>
      </c>
      <c r="C56" s="41">
        <f>C57</f>
        <v>27429.510000000002</v>
      </c>
      <c r="D56" s="41">
        <f>D57</f>
        <v>27429.510000000002</v>
      </c>
      <c r="E56" s="41">
        <f>E57</f>
        <v>24695.97</v>
      </c>
      <c r="F56" s="32">
        <f>E56/B56*100</f>
        <v>53.48376925026043</v>
      </c>
      <c r="G56" s="47">
        <f>E56/C56*100</f>
        <v>90.034309763462787</v>
      </c>
      <c r="H56" s="41">
        <f t="shared" ref="H56:AE56" si="30">H57</f>
        <v>3660.52</v>
      </c>
      <c r="I56" s="41">
        <f t="shared" si="30"/>
        <v>1969.33</v>
      </c>
      <c r="J56" s="41">
        <f t="shared" si="30"/>
        <v>3604.99</v>
      </c>
      <c r="K56" s="41">
        <f t="shared" si="30"/>
        <v>4117.49</v>
      </c>
      <c r="L56" s="41">
        <f t="shared" si="30"/>
        <v>3867.9300000000003</v>
      </c>
      <c r="M56" s="41">
        <f t="shared" si="30"/>
        <v>3625.6400000000003</v>
      </c>
      <c r="N56" s="41">
        <f t="shared" si="30"/>
        <v>4092.3</v>
      </c>
      <c r="O56" s="41">
        <f t="shared" si="30"/>
        <v>3482.78</v>
      </c>
      <c r="P56" s="41">
        <f t="shared" si="30"/>
        <v>3842.9700000000003</v>
      </c>
      <c r="Q56" s="41">
        <f t="shared" si="30"/>
        <v>3348.8799999999997</v>
      </c>
      <c r="R56" s="41">
        <f t="shared" si="30"/>
        <v>3763.92</v>
      </c>
      <c r="S56" s="41">
        <f t="shared" si="30"/>
        <v>4300.54</v>
      </c>
      <c r="T56" s="41">
        <f t="shared" si="30"/>
        <v>4596.88</v>
      </c>
      <c r="U56" s="41">
        <f t="shared" si="30"/>
        <v>3851.31</v>
      </c>
      <c r="V56" s="41">
        <f t="shared" si="30"/>
        <v>3822.7200000000003</v>
      </c>
      <c r="W56" s="41">
        <f t="shared" si="30"/>
        <v>0</v>
      </c>
      <c r="X56" s="41">
        <f t="shared" si="30"/>
        <v>3731.58</v>
      </c>
      <c r="Y56" s="41">
        <f t="shared" si="30"/>
        <v>0</v>
      </c>
      <c r="Z56" s="41">
        <f t="shared" si="30"/>
        <v>4110.7300000000005</v>
      </c>
      <c r="AA56" s="41">
        <f t="shared" si="30"/>
        <v>0</v>
      </c>
      <c r="AB56" s="41">
        <f t="shared" si="30"/>
        <v>3834.7</v>
      </c>
      <c r="AC56" s="41">
        <f t="shared" si="30"/>
        <v>0</v>
      </c>
      <c r="AD56" s="41">
        <f t="shared" si="30"/>
        <v>3245.46</v>
      </c>
      <c r="AE56" s="41">
        <f t="shared" si="30"/>
        <v>0</v>
      </c>
      <c r="AF56" s="29"/>
      <c r="AG56" s="71">
        <f t="shared" si="8"/>
        <v>2733.5400000000009</v>
      </c>
    </row>
    <row r="57" spans="1:33" ht="18.75" x14ac:dyDescent="0.3">
      <c r="A57" s="15" t="s">
        <v>33</v>
      </c>
      <c r="B57" s="41">
        <f>B50+B54</f>
        <v>46174.700000000004</v>
      </c>
      <c r="C57" s="41">
        <f>C50+C54</f>
        <v>27429.510000000002</v>
      </c>
      <c r="D57" s="41">
        <f>D50+D54</f>
        <v>27429.510000000002</v>
      </c>
      <c r="E57" s="41">
        <f>E50+E54</f>
        <v>24695.97</v>
      </c>
      <c r="F57" s="32">
        <f>E57/B57*100</f>
        <v>53.48376925026043</v>
      </c>
      <c r="G57" s="47">
        <f>E57/C57*100</f>
        <v>90.034309763462787</v>
      </c>
      <c r="H57" s="41">
        <f t="shared" ref="H57:AE57" si="31">H50+H54</f>
        <v>3660.52</v>
      </c>
      <c r="I57" s="41">
        <f t="shared" si="31"/>
        <v>1969.33</v>
      </c>
      <c r="J57" s="41">
        <f t="shared" si="31"/>
        <v>3604.99</v>
      </c>
      <c r="K57" s="41">
        <f t="shared" si="31"/>
        <v>4117.49</v>
      </c>
      <c r="L57" s="41">
        <f t="shared" si="31"/>
        <v>3867.9300000000003</v>
      </c>
      <c r="M57" s="41">
        <f t="shared" si="31"/>
        <v>3625.6400000000003</v>
      </c>
      <c r="N57" s="41">
        <f t="shared" si="31"/>
        <v>4092.3</v>
      </c>
      <c r="O57" s="41">
        <f t="shared" si="31"/>
        <v>3482.78</v>
      </c>
      <c r="P57" s="41">
        <f t="shared" si="31"/>
        <v>3842.9700000000003</v>
      </c>
      <c r="Q57" s="41">
        <f t="shared" si="31"/>
        <v>3348.8799999999997</v>
      </c>
      <c r="R57" s="41">
        <f t="shared" si="31"/>
        <v>3763.92</v>
      </c>
      <c r="S57" s="41">
        <f t="shared" si="31"/>
        <v>4300.54</v>
      </c>
      <c r="T57" s="41">
        <f t="shared" si="31"/>
        <v>4596.88</v>
      </c>
      <c r="U57" s="41">
        <f t="shared" si="31"/>
        <v>3851.31</v>
      </c>
      <c r="V57" s="41">
        <f t="shared" si="31"/>
        <v>3822.7200000000003</v>
      </c>
      <c r="W57" s="41">
        <f t="shared" si="31"/>
        <v>0</v>
      </c>
      <c r="X57" s="41">
        <f t="shared" si="31"/>
        <v>3731.58</v>
      </c>
      <c r="Y57" s="41">
        <f t="shared" si="31"/>
        <v>0</v>
      </c>
      <c r="Z57" s="41">
        <f t="shared" si="31"/>
        <v>4110.7300000000005</v>
      </c>
      <c r="AA57" s="41">
        <f t="shared" si="31"/>
        <v>0</v>
      </c>
      <c r="AB57" s="41">
        <f t="shared" si="31"/>
        <v>3834.7</v>
      </c>
      <c r="AC57" s="41">
        <f t="shared" si="31"/>
        <v>0</v>
      </c>
      <c r="AD57" s="41">
        <f t="shared" si="31"/>
        <v>3245.46</v>
      </c>
      <c r="AE57" s="41">
        <f t="shared" si="31"/>
        <v>0</v>
      </c>
      <c r="AF57" s="29"/>
      <c r="AG57" s="71">
        <f t="shared" si="8"/>
        <v>2733.5400000000009</v>
      </c>
    </row>
    <row r="58" spans="1:33" ht="37.5" x14ac:dyDescent="0.3">
      <c r="A58" s="28" t="s">
        <v>76</v>
      </c>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71">
        <f t="shared" si="8"/>
        <v>0</v>
      </c>
    </row>
    <row r="59" spans="1:33" ht="18.75" x14ac:dyDescent="0.3">
      <c r="A59" s="8" t="s">
        <v>31</v>
      </c>
      <c r="B59" s="41">
        <f>B60</f>
        <v>46174.700000000004</v>
      </c>
      <c r="C59" s="41">
        <f>C60</f>
        <v>27429.510000000002</v>
      </c>
      <c r="D59" s="41">
        <f>D60</f>
        <v>27429.510000000002</v>
      </c>
      <c r="E59" s="41">
        <f>E60</f>
        <v>24695.97</v>
      </c>
      <c r="F59" s="32">
        <f t="shared" ref="F59:F66" si="32">E59/B59*100</f>
        <v>53.48376925026043</v>
      </c>
      <c r="G59" s="47">
        <f>E59/C59*100</f>
        <v>90.034309763462787</v>
      </c>
      <c r="H59" s="41">
        <f t="shared" ref="H59:AE59" si="33">H60</f>
        <v>3660.52</v>
      </c>
      <c r="I59" s="41">
        <f t="shared" si="33"/>
        <v>1969.33</v>
      </c>
      <c r="J59" s="41">
        <f t="shared" si="33"/>
        <v>3604.99</v>
      </c>
      <c r="K59" s="41">
        <f t="shared" si="33"/>
        <v>4117.49</v>
      </c>
      <c r="L59" s="41">
        <f t="shared" si="33"/>
        <v>3867.9300000000003</v>
      </c>
      <c r="M59" s="41">
        <f t="shared" si="33"/>
        <v>2727.01</v>
      </c>
      <c r="N59" s="41">
        <f t="shared" si="33"/>
        <v>4092.3</v>
      </c>
      <c r="O59" s="41">
        <f t="shared" si="33"/>
        <v>3482.78</v>
      </c>
      <c r="P59" s="41">
        <f t="shared" si="33"/>
        <v>3842.9700000000003</v>
      </c>
      <c r="Q59" s="41">
        <f t="shared" si="33"/>
        <v>3348.8799999999997</v>
      </c>
      <c r="R59" s="41">
        <f t="shared" si="33"/>
        <v>3763.92</v>
      </c>
      <c r="S59" s="41">
        <f t="shared" si="33"/>
        <v>4300.54</v>
      </c>
      <c r="T59" s="41">
        <f t="shared" si="33"/>
        <v>4596.88</v>
      </c>
      <c r="U59" s="41">
        <f t="shared" si="33"/>
        <v>3851.31</v>
      </c>
      <c r="V59" s="41">
        <f t="shared" si="33"/>
        <v>3822.7200000000003</v>
      </c>
      <c r="W59" s="41">
        <f t="shared" si="33"/>
        <v>0</v>
      </c>
      <c r="X59" s="41">
        <f t="shared" si="33"/>
        <v>3731.58</v>
      </c>
      <c r="Y59" s="41">
        <f t="shared" si="33"/>
        <v>0</v>
      </c>
      <c r="Z59" s="41">
        <f t="shared" si="33"/>
        <v>4110.7300000000005</v>
      </c>
      <c r="AA59" s="41">
        <f t="shared" si="33"/>
        <v>0</v>
      </c>
      <c r="AB59" s="41">
        <f t="shared" si="33"/>
        <v>3834.7</v>
      </c>
      <c r="AC59" s="41">
        <f t="shared" si="33"/>
        <v>0</v>
      </c>
      <c r="AD59" s="41">
        <f t="shared" si="33"/>
        <v>3245.46</v>
      </c>
      <c r="AE59" s="41">
        <f t="shared" si="33"/>
        <v>0</v>
      </c>
      <c r="AF59" s="29"/>
      <c r="AG59" s="71">
        <f t="shared" si="8"/>
        <v>2733.5400000000009</v>
      </c>
    </row>
    <row r="60" spans="1:33" ht="18.75" x14ac:dyDescent="0.3">
      <c r="A60" s="13" t="s">
        <v>33</v>
      </c>
      <c r="B60" s="41">
        <f>B57</f>
        <v>46174.700000000004</v>
      </c>
      <c r="C60" s="41">
        <f>C57</f>
        <v>27429.510000000002</v>
      </c>
      <c r="D60" s="41">
        <f>D57</f>
        <v>27429.510000000002</v>
      </c>
      <c r="E60" s="41">
        <f>E57</f>
        <v>24695.97</v>
      </c>
      <c r="F60" s="32">
        <f t="shared" si="32"/>
        <v>53.48376925026043</v>
      </c>
      <c r="G60" s="47">
        <f>E60/C60*100</f>
        <v>90.034309763462787</v>
      </c>
      <c r="H60" s="41">
        <f t="shared" ref="H60:AE60" si="34">H57</f>
        <v>3660.52</v>
      </c>
      <c r="I60" s="41">
        <f t="shared" si="34"/>
        <v>1969.33</v>
      </c>
      <c r="J60" s="41">
        <f t="shared" si="34"/>
        <v>3604.99</v>
      </c>
      <c r="K60" s="41">
        <f t="shared" si="34"/>
        <v>4117.49</v>
      </c>
      <c r="L60" s="41">
        <f t="shared" si="34"/>
        <v>3867.9300000000003</v>
      </c>
      <c r="M60" s="41">
        <v>2727.01</v>
      </c>
      <c r="N60" s="41">
        <f t="shared" si="34"/>
        <v>4092.3</v>
      </c>
      <c r="O60" s="41">
        <f t="shared" si="34"/>
        <v>3482.78</v>
      </c>
      <c r="P60" s="41">
        <f t="shared" si="34"/>
        <v>3842.9700000000003</v>
      </c>
      <c r="Q60" s="41">
        <f t="shared" si="34"/>
        <v>3348.8799999999997</v>
      </c>
      <c r="R60" s="41">
        <f t="shared" si="34"/>
        <v>3763.92</v>
      </c>
      <c r="S60" s="41">
        <f t="shared" si="34"/>
        <v>4300.54</v>
      </c>
      <c r="T60" s="41">
        <f t="shared" si="34"/>
        <v>4596.88</v>
      </c>
      <c r="U60" s="41">
        <f t="shared" si="34"/>
        <v>3851.31</v>
      </c>
      <c r="V60" s="41">
        <f t="shared" si="34"/>
        <v>3822.7200000000003</v>
      </c>
      <c r="W60" s="41">
        <f t="shared" si="34"/>
        <v>0</v>
      </c>
      <c r="X60" s="41">
        <f t="shared" si="34"/>
        <v>3731.58</v>
      </c>
      <c r="Y60" s="41">
        <f t="shared" si="34"/>
        <v>0</v>
      </c>
      <c r="Z60" s="41">
        <f t="shared" si="34"/>
        <v>4110.7300000000005</v>
      </c>
      <c r="AA60" s="41">
        <f t="shared" si="34"/>
        <v>0</v>
      </c>
      <c r="AB60" s="41">
        <f t="shared" si="34"/>
        <v>3834.7</v>
      </c>
      <c r="AC60" s="41">
        <f t="shared" si="34"/>
        <v>0</v>
      </c>
      <c r="AD60" s="41">
        <f t="shared" si="34"/>
        <v>3245.46</v>
      </c>
      <c r="AE60" s="41">
        <f t="shared" si="34"/>
        <v>0</v>
      </c>
      <c r="AF60" s="29"/>
      <c r="AG60" s="71">
        <f t="shared" si="8"/>
        <v>2733.5400000000009</v>
      </c>
    </row>
    <row r="61" spans="1:33" ht="37.5" x14ac:dyDescent="0.3">
      <c r="A61" s="56" t="s">
        <v>63</v>
      </c>
      <c r="B61" s="869">
        <f>B62+B64+B63</f>
        <v>54166.340000000004</v>
      </c>
      <c r="C61" s="869">
        <f>C62+C64+C63</f>
        <v>32569.74</v>
      </c>
      <c r="D61" s="869">
        <f>D62+D64+D63</f>
        <v>32525.57</v>
      </c>
      <c r="E61" s="869">
        <f>E62+E64+E63</f>
        <v>29716.25</v>
      </c>
      <c r="F61" s="32">
        <f t="shared" si="32"/>
        <v>54.861100085403592</v>
      </c>
      <c r="G61" s="47">
        <f>E61/C61*100</f>
        <v>91.238830890268076</v>
      </c>
      <c r="H61" s="644">
        <f>H62+H64</f>
        <v>4101.82</v>
      </c>
      <c r="I61" s="41">
        <f t="shared" ref="I61:AE61" si="35">I62+I64</f>
        <v>2410.63</v>
      </c>
      <c r="J61" s="41">
        <f t="shared" si="35"/>
        <v>5194.4599999999991</v>
      </c>
      <c r="K61" s="41">
        <f t="shared" si="35"/>
        <v>5706.96</v>
      </c>
      <c r="L61" s="871">
        <f>L62+L64</f>
        <v>4100.41</v>
      </c>
      <c r="M61" s="41">
        <f t="shared" si="35"/>
        <v>3858.1200000000003</v>
      </c>
      <c r="N61" s="871">
        <f t="shared" si="35"/>
        <v>4327.4800000000005</v>
      </c>
      <c r="O61" s="41">
        <f t="shared" si="35"/>
        <v>3715.26</v>
      </c>
      <c r="P61" s="871">
        <f t="shared" si="35"/>
        <v>4079.84</v>
      </c>
      <c r="Q61" s="41">
        <f t="shared" si="35"/>
        <v>3584.7099999999996</v>
      </c>
      <c r="R61" s="871">
        <f t="shared" si="35"/>
        <v>4120.62</v>
      </c>
      <c r="S61" s="41">
        <f t="shared" si="35"/>
        <v>4593.9799999999996</v>
      </c>
      <c r="T61" s="871">
        <f t="shared" si="35"/>
        <v>6608.02</v>
      </c>
      <c r="U61" s="41">
        <f t="shared" si="35"/>
        <v>5801.7</v>
      </c>
      <c r="V61" s="871">
        <f t="shared" si="35"/>
        <v>4330.72</v>
      </c>
      <c r="W61" s="41">
        <f t="shared" si="35"/>
        <v>0</v>
      </c>
      <c r="X61" s="871">
        <f t="shared" si="35"/>
        <v>4283.18</v>
      </c>
      <c r="Y61" s="41">
        <f t="shared" si="35"/>
        <v>0</v>
      </c>
      <c r="Z61" s="871">
        <f t="shared" si="35"/>
        <v>5328.5400000000009</v>
      </c>
      <c r="AA61" s="41">
        <f t="shared" si="35"/>
        <v>0</v>
      </c>
      <c r="AB61" s="871">
        <f t="shared" si="35"/>
        <v>4086.47</v>
      </c>
      <c r="AC61" s="41">
        <f t="shared" si="35"/>
        <v>0</v>
      </c>
      <c r="AD61" s="871">
        <f t="shared" si="35"/>
        <v>3559.89</v>
      </c>
      <c r="AE61" s="41">
        <f t="shared" si="35"/>
        <v>0</v>
      </c>
      <c r="AF61" s="29"/>
      <c r="AG61" s="71">
        <f t="shared" si="8"/>
        <v>2853.4900000000016</v>
      </c>
    </row>
    <row r="62" spans="1:33" ht="18.75" x14ac:dyDescent="0.3">
      <c r="A62" s="15" t="s">
        <v>33</v>
      </c>
      <c r="B62" s="41">
        <f>B23+B40+B57</f>
        <v>52764.450000000004</v>
      </c>
      <c r="C62" s="41">
        <f>C23+C40+C57</f>
        <v>31167.850000000002</v>
      </c>
      <c r="D62" s="41">
        <f>D23+D40+D57</f>
        <v>31123.68</v>
      </c>
      <c r="E62" s="41">
        <f>E23+E40+E57</f>
        <v>28314.36</v>
      </c>
      <c r="F62" s="32">
        <f t="shared" si="32"/>
        <v>53.661812072332793</v>
      </c>
      <c r="G62" s="47">
        <f>E62/C62*100</f>
        <v>90.84476471748934</v>
      </c>
      <c r="H62" s="41">
        <f>H23+H40+H57</f>
        <v>4101.82</v>
      </c>
      <c r="I62" s="41">
        <f t="shared" ref="I62:AE62" si="36">I23+I40+I57</f>
        <v>2410.63</v>
      </c>
      <c r="J62" s="41">
        <f t="shared" si="36"/>
        <v>3837.4599999999996</v>
      </c>
      <c r="K62" s="41">
        <f t="shared" si="36"/>
        <v>4349.96</v>
      </c>
      <c r="L62" s="41">
        <f>L23+L40+L57</f>
        <v>4100.41</v>
      </c>
      <c r="M62" s="41">
        <f t="shared" si="36"/>
        <v>3858.1200000000003</v>
      </c>
      <c r="N62" s="41">
        <f t="shared" si="36"/>
        <v>4327.4800000000005</v>
      </c>
      <c r="O62" s="41">
        <f t="shared" si="36"/>
        <v>3715.26</v>
      </c>
      <c r="P62" s="41">
        <f t="shared" si="36"/>
        <v>4079.84</v>
      </c>
      <c r="Q62" s="41">
        <f t="shared" si="36"/>
        <v>3584.7099999999996</v>
      </c>
      <c r="R62" s="41">
        <f t="shared" si="36"/>
        <v>4120.62</v>
      </c>
      <c r="S62" s="41">
        <f t="shared" si="36"/>
        <v>4593.9799999999996</v>
      </c>
      <c r="T62" s="41">
        <f t="shared" si="36"/>
        <v>6608.02</v>
      </c>
      <c r="U62" s="41">
        <f t="shared" si="36"/>
        <v>5801.7</v>
      </c>
      <c r="V62" s="41">
        <f t="shared" si="36"/>
        <v>4330.72</v>
      </c>
      <c r="W62" s="41">
        <f t="shared" si="36"/>
        <v>0</v>
      </c>
      <c r="X62" s="41">
        <f t="shared" si="36"/>
        <v>4283.18</v>
      </c>
      <c r="Y62" s="41">
        <f t="shared" si="36"/>
        <v>0</v>
      </c>
      <c r="Z62" s="41">
        <f t="shared" si="36"/>
        <v>5328.5400000000009</v>
      </c>
      <c r="AA62" s="41">
        <f t="shared" si="36"/>
        <v>0</v>
      </c>
      <c r="AB62" s="41">
        <f t="shared" si="36"/>
        <v>4086.47</v>
      </c>
      <c r="AC62" s="41">
        <f t="shared" si="36"/>
        <v>0</v>
      </c>
      <c r="AD62" s="41">
        <f t="shared" si="36"/>
        <v>3559.89</v>
      </c>
      <c r="AE62" s="41">
        <f t="shared" si="36"/>
        <v>0</v>
      </c>
      <c r="AF62" s="29"/>
      <c r="AG62" s="71">
        <f t="shared" si="8"/>
        <v>2853.4900000000016</v>
      </c>
    </row>
    <row r="63" spans="1:33" ht="18.75" x14ac:dyDescent="0.3">
      <c r="A63" s="929" t="s">
        <v>32</v>
      </c>
      <c r="B63" s="41">
        <f>B51</f>
        <v>44.89</v>
      </c>
      <c r="C63" s="41">
        <f>C51</f>
        <v>44.89</v>
      </c>
      <c r="D63" s="41">
        <f>D51</f>
        <v>44.89</v>
      </c>
      <c r="E63" s="41">
        <f>E51</f>
        <v>44.89</v>
      </c>
      <c r="F63">
        <f t="shared" si="32"/>
        <v>100</v>
      </c>
      <c r="G63" s="930">
        <f>G51</f>
        <v>100</v>
      </c>
      <c r="H63" s="41"/>
      <c r="I63" s="41"/>
      <c r="J63" s="41"/>
      <c r="K63" s="41"/>
      <c r="L63" s="41"/>
      <c r="M63" s="41"/>
      <c r="N63" s="41"/>
      <c r="O63" s="41"/>
      <c r="P63" s="41"/>
      <c r="Q63" s="41"/>
      <c r="R63" s="41"/>
      <c r="S63" s="41"/>
      <c r="T63" s="41"/>
      <c r="U63" s="41"/>
      <c r="V63" s="41"/>
      <c r="W63" s="41"/>
      <c r="X63" s="41"/>
      <c r="Y63" s="41"/>
      <c r="Z63" s="41"/>
      <c r="AA63" s="41"/>
      <c r="AB63" s="41"/>
      <c r="AC63" s="41"/>
      <c r="AD63" s="41"/>
      <c r="AE63" s="41"/>
      <c r="AF63" s="29"/>
      <c r="AG63" s="71"/>
    </row>
    <row r="64" spans="1:33" ht="18.75" x14ac:dyDescent="0.3">
      <c r="A64" s="14" t="s">
        <v>74</v>
      </c>
      <c r="B64" s="41">
        <f>B41</f>
        <v>1357</v>
      </c>
      <c r="C64" s="41">
        <f>C41</f>
        <v>1357</v>
      </c>
      <c r="D64" s="41">
        <f>D41</f>
        <v>1357</v>
      </c>
      <c r="E64" s="41">
        <f>E41</f>
        <v>1357</v>
      </c>
      <c r="F64" s="32">
        <f t="shared" si="32"/>
        <v>100</v>
      </c>
      <c r="G64" s="47">
        <f>E64/C64*100</f>
        <v>100</v>
      </c>
      <c r="H64" s="41">
        <f>H41</f>
        <v>0</v>
      </c>
      <c r="I64" s="41">
        <f t="shared" ref="I64:AE64" si="37">I41</f>
        <v>0</v>
      </c>
      <c r="J64" s="41">
        <f t="shared" si="37"/>
        <v>1357</v>
      </c>
      <c r="K64" s="41">
        <f t="shared" si="37"/>
        <v>1357</v>
      </c>
      <c r="L64" s="41">
        <f t="shared" si="37"/>
        <v>0</v>
      </c>
      <c r="M64" s="41">
        <f t="shared" si="37"/>
        <v>0</v>
      </c>
      <c r="N64" s="41">
        <f t="shared" si="37"/>
        <v>0</v>
      </c>
      <c r="O64" s="41">
        <f t="shared" si="37"/>
        <v>0</v>
      </c>
      <c r="P64" s="41">
        <f t="shared" si="37"/>
        <v>0</v>
      </c>
      <c r="Q64" s="41">
        <f t="shared" si="37"/>
        <v>0</v>
      </c>
      <c r="R64" s="41">
        <f t="shared" si="37"/>
        <v>0</v>
      </c>
      <c r="S64" s="41">
        <f t="shared" si="37"/>
        <v>0</v>
      </c>
      <c r="T64" s="41">
        <f t="shared" si="37"/>
        <v>0</v>
      </c>
      <c r="U64" s="41">
        <f t="shared" si="37"/>
        <v>0</v>
      </c>
      <c r="V64" s="41">
        <f t="shared" si="37"/>
        <v>0</v>
      </c>
      <c r="W64" s="41">
        <f t="shared" si="37"/>
        <v>0</v>
      </c>
      <c r="X64" s="41">
        <f t="shared" si="37"/>
        <v>0</v>
      </c>
      <c r="Y64" s="41">
        <f t="shared" si="37"/>
        <v>0</v>
      </c>
      <c r="Z64" s="41">
        <f t="shared" si="37"/>
        <v>0</v>
      </c>
      <c r="AA64" s="41">
        <f t="shared" si="37"/>
        <v>0</v>
      </c>
      <c r="AB64" s="41">
        <f t="shared" si="37"/>
        <v>0</v>
      </c>
      <c r="AC64" s="41">
        <f t="shared" si="37"/>
        <v>0</v>
      </c>
      <c r="AD64" s="41">
        <f t="shared" si="37"/>
        <v>0</v>
      </c>
      <c r="AE64" s="41">
        <f t="shared" si="37"/>
        <v>0</v>
      </c>
      <c r="AF64" s="29"/>
      <c r="AG64" s="71">
        <f t="shared" si="8"/>
        <v>0</v>
      </c>
    </row>
    <row r="65" spans="1:33" ht="37.5" x14ac:dyDescent="0.3">
      <c r="A65" s="57" t="s">
        <v>100</v>
      </c>
      <c r="B65" s="41">
        <f>B66+B68+B67</f>
        <v>54166.340000000004</v>
      </c>
      <c r="C65" s="743">
        <f>C66+C68+C67</f>
        <v>32569.74</v>
      </c>
      <c r="D65" s="743">
        <f>D66+D68+D67</f>
        <v>32525.57</v>
      </c>
      <c r="E65" s="743">
        <f>E66+E68+E67</f>
        <v>29716.25</v>
      </c>
      <c r="F65" s="32">
        <f t="shared" si="32"/>
        <v>54.861100085403592</v>
      </c>
      <c r="G65" s="47">
        <f>E65/C65*100</f>
        <v>91.238830890268076</v>
      </c>
      <c r="H65" s="41">
        <f t="shared" ref="H65:AE65" si="38">H66+H68</f>
        <v>4101.82</v>
      </c>
      <c r="I65" s="41">
        <f t="shared" si="38"/>
        <v>2410.63</v>
      </c>
      <c r="J65" s="41">
        <f t="shared" si="38"/>
        <v>5194.4599999999991</v>
      </c>
      <c r="K65" s="41">
        <f t="shared" si="38"/>
        <v>5706.96</v>
      </c>
      <c r="L65" s="41">
        <f t="shared" si="38"/>
        <v>4100.41</v>
      </c>
      <c r="M65" s="41">
        <f t="shared" si="38"/>
        <v>3858.1200000000003</v>
      </c>
      <c r="N65" s="41">
        <f t="shared" si="38"/>
        <v>4327.4800000000005</v>
      </c>
      <c r="O65" s="41">
        <f t="shared" si="38"/>
        <v>3715.26</v>
      </c>
      <c r="P65" s="41">
        <f t="shared" si="38"/>
        <v>4079.84</v>
      </c>
      <c r="Q65" s="41">
        <f t="shared" si="38"/>
        <v>3584.7099999999996</v>
      </c>
      <c r="R65" s="41">
        <f t="shared" si="38"/>
        <v>4120.62</v>
      </c>
      <c r="S65" s="41">
        <f t="shared" si="38"/>
        <v>4593.9799999999996</v>
      </c>
      <c r="T65" s="41">
        <f t="shared" si="38"/>
        <v>6608.02</v>
      </c>
      <c r="U65" s="41">
        <f t="shared" si="38"/>
        <v>5801.7</v>
      </c>
      <c r="V65" s="41">
        <f t="shared" si="38"/>
        <v>4330.72</v>
      </c>
      <c r="W65" s="41">
        <f t="shared" si="38"/>
        <v>0</v>
      </c>
      <c r="X65" s="41">
        <f t="shared" si="38"/>
        <v>4283.18</v>
      </c>
      <c r="Y65" s="41">
        <f t="shared" si="38"/>
        <v>0</v>
      </c>
      <c r="Z65" s="41">
        <f t="shared" si="38"/>
        <v>5328.5400000000009</v>
      </c>
      <c r="AA65" s="41">
        <f t="shared" si="38"/>
        <v>0</v>
      </c>
      <c r="AB65" s="41">
        <f t="shared" si="38"/>
        <v>4086.47</v>
      </c>
      <c r="AC65" s="41">
        <f t="shared" si="38"/>
        <v>0</v>
      </c>
      <c r="AD65" s="41">
        <f t="shared" si="38"/>
        <v>3559.89</v>
      </c>
      <c r="AE65" s="41">
        <f t="shared" si="38"/>
        <v>0</v>
      </c>
      <c r="AF65" s="29"/>
      <c r="AG65" s="71">
        <f t="shared" si="8"/>
        <v>2853.4900000000016</v>
      </c>
    </row>
    <row r="66" spans="1:33" ht="18.75" x14ac:dyDescent="0.3">
      <c r="A66" s="15" t="s">
        <v>33</v>
      </c>
      <c r="B66" s="41">
        <f>B62</f>
        <v>52764.450000000004</v>
      </c>
      <c r="C66" s="41">
        <f>C62</f>
        <v>31167.850000000002</v>
      </c>
      <c r="D66" s="41">
        <f>D62</f>
        <v>31123.68</v>
      </c>
      <c r="E66" s="41">
        <f>E62</f>
        <v>28314.36</v>
      </c>
      <c r="F66" s="32">
        <f t="shared" si="32"/>
        <v>53.661812072332793</v>
      </c>
      <c r="G66" s="47">
        <f>E66/C66*100</f>
        <v>90.84476471748934</v>
      </c>
      <c r="H66" s="41">
        <f t="shared" ref="H66:AE66" si="39">H62</f>
        <v>4101.82</v>
      </c>
      <c r="I66" s="41">
        <f t="shared" si="39"/>
        <v>2410.63</v>
      </c>
      <c r="J66" s="41">
        <f t="shared" si="39"/>
        <v>3837.4599999999996</v>
      </c>
      <c r="K66" s="41">
        <f t="shared" si="39"/>
        <v>4349.96</v>
      </c>
      <c r="L66" s="41">
        <f t="shared" si="39"/>
        <v>4100.41</v>
      </c>
      <c r="M66" s="41">
        <f t="shared" si="39"/>
        <v>3858.1200000000003</v>
      </c>
      <c r="N66" s="41">
        <f t="shared" si="39"/>
        <v>4327.4800000000005</v>
      </c>
      <c r="O66" s="41">
        <f t="shared" si="39"/>
        <v>3715.26</v>
      </c>
      <c r="P66" s="41">
        <f t="shared" si="39"/>
        <v>4079.84</v>
      </c>
      <c r="Q66" s="41">
        <f t="shared" si="39"/>
        <v>3584.7099999999996</v>
      </c>
      <c r="R66" s="41">
        <f t="shared" si="39"/>
        <v>4120.62</v>
      </c>
      <c r="S66" s="41">
        <f t="shared" si="39"/>
        <v>4593.9799999999996</v>
      </c>
      <c r="T66" s="41">
        <f t="shared" si="39"/>
        <v>6608.02</v>
      </c>
      <c r="U66" s="41">
        <f t="shared" si="39"/>
        <v>5801.7</v>
      </c>
      <c r="V66" s="41">
        <f t="shared" si="39"/>
        <v>4330.72</v>
      </c>
      <c r="W66" s="41">
        <f t="shared" si="39"/>
        <v>0</v>
      </c>
      <c r="X66" s="41">
        <f t="shared" si="39"/>
        <v>4283.18</v>
      </c>
      <c r="Y66" s="41">
        <f t="shared" si="39"/>
        <v>0</v>
      </c>
      <c r="Z66" s="41">
        <f t="shared" si="39"/>
        <v>5328.5400000000009</v>
      </c>
      <c r="AA66" s="41">
        <f t="shared" si="39"/>
        <v>0</v>
      </c>
      <c r="AB66" s="41">
        <f t="shared" si="39"/>
        <v>4086.47</v>
      </c>
      <c r="AC66" s="41">
        <f t="shared" si="39"/>
        <v>0</v>
      </c>
      <c r="AD66" s="41">
        <f t="shared" si="39"/>
        <v>3559.89</v>
      </c>
      <c r="AE66" s="41">
        <f t="shared" si="39"/>
        <v>0</v>
      </c>
      <c r="AF66" s="29"/>
      <c r="AG66" s="71">
        <f t="shared" si="8"/>
        <v>2853.4900000000016</v>
      </c>
    </row>
    <row r="67" spans="1:33" ht="18.75" x14ac:dyDescent="0.3">
      <c r="A67" s="931" t="s">
        <v>32</v>
      </c>
      <c r="B67" s="41">
        <v>44.89</v>
      </c>
      <c r="C67" s="41">
        <v>44.89</v>
      </c>
      <c r="D67" s="41">
        <v>44.89</v>
      </c>
      <c r="E67" s="41">
        <v>44.89</v>
      </c>
      <c r="F67" s="32">
        <v>100</v>
      </c>
      <c r="G67" s="932">
        <v>100</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29"/>
      <c r="AG67" s="71"/>
    </row>
    <row r="68" spans="1:33" ht="18.75" x14ac:dyDescent="0.3">
      <c r="A68" s="14" t="s">
        <v>74</v>
      </c>
      <c r="B68" s="41">
        <f>B64</f>
        <v>1357</v>
      </c>
      <c r="C68" s="41">
        <f>C64</f>
        <v>1357</v>
      </c>
      <c r="D68" s="41">
        <f>D64</f>
        <v>1357</v>
      </c>
      <c r="E68" s="41">
        <f>E64</f>
        <v>1357</v>
      </c>
      <c r="F68" s="32">
        <f>E68/B68*100</f>
        <v>100</v>
      </c>
      <c r="G68" s="47">
        <f>E68/C68*100</f>
        <v>100</v>
      </c>
      <c r="H68" s="41">
        <f t="shared" ref="H68:AE68" si="40">H64</f>
        <v>0</v>
      </c>
      <c r="I68" s="41">
        <f t="shared" si="40"/>
        <v>0</v>
      </c>
      <c r="J68" s="41">
        <f t="shared" si="40"/>
        <v>1357</v>
      </c>
      <c r="K68" s="41">
        <f t="shared" si="40"/>
        <v>1357</v>
      </c>
      <c r="L68" s="41">
        <f t="shared" si="40"/>
        <v>0</v>
      </c>
      <c r="M68" s="41">
        <f t="shared" si="40"/>
        <v>0</v>
      </c>
      <c r="N68" s="41">
        <f t="shared" si="40"/>
        <v>0</v>
      </c>
      <c r="O68" s="41">
        <f t="shared" si="40"/>
        <v>0</v>
      </c>
      <c r="P68" s="41">
        <f t="shared" si="40"/>
        <v>0</v>
      </c>
      <c r="Q68" s="41">
        <f t="shared" si="40"/>
        <v>0</v>
      </c>
      <c r="R68" s="41">
        <f t="shared" si="40"/>
        <v>0</v>
      </c>
      <c r="S68" s="41">
        <f t="shared" si="40"/>
        <v>0</v>
      </c>
      <c r="T68" s="41">
        <f t="shared" si="40"/>
        <v>0</v>
      </c>
      <c r="U68" s="41">
        <f t="shared" si="40"/>
        <v>0</v>
      </c>
      <c r="V68" s="41">
        <f t="shared" si="40"/>
        <v>0</v>
      </c>
      <c r="W68" s="41">
        <f t="shared" si="40"/>
        <v>0</v>
      </c>
      <c r="X68" s="41">
        <f t="shared" si="40"/>
        <v>0</v>
      </c>
      <c r="Y68" s="41">
        <f t="shared" si="40"/>
        <v>0</v>
      </c>
      <c r="Z68" s="41">
        <f t="shared" si="40"/>
        <v>0</v>
      </c>
      <c r="AA68" s="41">
        <f t="shared" si="40"/>
        <v>0</v>
      </c>
      <c r="AB68" s="41">
        <f t="shared" si="40"/>
        <v>0</v>
      </c>
      <c r="AC68" s="41">
        <f t="shared" si="40"/>
        <v>0</v>
      </c>
      <c r="AD68" s="41">
        <f t="shared" si="40"/>
        <v>0</v>
      </c>
      <c r="AE68" s="41">
        <f t="shared" si="40"/>
        <v>0</v>
      </c>
      <c r="AF68" s="29"/>
      <c r="AG68" s="71">
        <f t="shared" si="8"/>
        <v>0</v>
      </c>
    </row>
    <row r="69" spans="1:33" ht="18.75"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row>
    <row r="71" spans="1:33" ht="37.5" x14ac:dyDescent="0.3">
      <c r="A71" s="9" t="s">
        <v>71</v>
      </c>
      <c r="B71" s="26"/>
      <c r="C71" s="26"/>
      <c r="D71" s="23" t="s">
        <v>70</v>
      </c>
    </row>
    <row r="72" spans="1:33" ht="18.75" x14ac:dyDescent="0.3">
      <c r="A72" s="9"/>
      <c r="B72" s="20" t="s">
        <v>68</v>
      </c>
      <c r="C72" s="20"/>
      <c r="D72" s="22"/>
    </row>
    <row r="73" spans="1:33" ht="37.5" x14ac:dyDescent="0.3">
      <c r="A73" s="637" t="s">
        <v>516</v>
      </c>
      <c r="B73" s="637"/>
      <c r="C73" s="637"/>
      <c r="D73" s="638"/>
    </row>
  </sheetData>
  <customSheetViews>
    <customSheetView guid="{7C130984-112A-4861-AA43-E2940708E3DC}" scale="60" state="hidden">
      <pane xSplit="1" ySplit="6" topLeftCell="B34" activePane="bottomRight" state="frozen"/>
      <selection pane="bottomRight" activeCell="E6" sqref="E6"/>
      <pageMargins left="0.7" right="0.7" top="0.75" bottom="0.75" header="0.3" footer="0.3"/>
      <pageSetup paperSize="9" orientation="portrait" r:id="rId1"/>
    </customSheetView>
    <customSheetView guid="{3C3F523F-5F34-4CF7-831E-F1ABC4278CEB}" scale="60">
      <pane xSplit="1" ySplit="6" topLeftCell="B34" activePane="bottomRight" state="frozen"/>
      <selection pane="bottomRight" activeCell="E6" sqref="E6"/>
      <pageMargins left="0.7" right="0.7" top="0.75" bottom="0.75" header="0.3" footer="0.3"/>
      <pageSetup paperSize="9" orientation="portrait" r:id="rId2"/>
    </customSheetView>
    <customSheetView guid="{D01FA037-9AEC-4167-ADB8-2F327C01ECE6}" scale="60">
      <pane xSplit="1" ySplit="6" topLeftCell="B34" activePane="bottomRight" state="frozen"/>
      <selection pane="bottomRight" activeCell="E6" sqref="E6"/>
      <pageMargins left="0.7" right="0.7" top="0.75" bottom="0.75" header="0.3" footer="0.3"/>
      <pageSetup paperSize="9" orientation="portrait" r:id="rId3"/>
    </customSheetView>
    <customSheetView guid="{602C8EDB-B9EF-4C85-B0D5-0558C3A0ABAB}" scale="60">
      <pane xSplit="1" ySplit="6" topLeftCell="B34" activePane="bottomRight" state="frozen"/>
      <selection pane="bottomRight" activeCell="E6" sqref="E6"/>
      <pageMargins left="0.7" right="0.7" top="0.75" bottom="0.75" header="0.3" footer="0.3"/>
      <pageSetup paperSize="9" orientation="portrait" r:id="rId4"/>
    </customSheetView>
    <customSheetView guid="{69DABE6F-6182-4403-A4A2-969F10F1C13A}" scale="60">
      <pane xSplit="1" ySplit="6" topLeftCell="B7" activePane="bottomRight" state="frozen"/>
      <selection pane="bottomRight" activeCell="E14" sqref="E14"/>
      <pageMargins left="0.7" right="0.7" top="0.75" bottom="0.75" header="0.3" footer="0.3"/>
      <pageSetup paperSize="9" orientation="portrait" r:id="rId5"/>
    </customSheetView>
    <customSheetView guid="{E508E171-4ED9-4B07-84DF-DA28C60E1969}" scale="60">
      <pane xSplit="1" ySplit="6" topLeftCell="Y7" activePane="bottomRight" state="frozen"/>
      <selection pane="bottomRight" activeCell="A9" sqref="A9"/>
      <pageMargins left="0.7" right="0.7" top="0.75" bottom="0.75" header="0.3" footer="0.3"/>
      <pageSetup paperSize="9" orientation="portrait" r:id="rId6"/>
    </customSheetView>
    <customSheetView guid="{AC2D5927-4079-4C74-AF69-1BFAC505648F}" scale="60">
      <pane xSplit="1" ySplit="6" topLeftCell="B31" activePane="bottomRight" state="frozen"/>
      <selection pane="bottomRight" activeCell="A67" sqref="A67:XFD67"/>
      <pageMargins left="0.7" right="0.7" top="0.75" bottom="0.75" header="0.3" footer="0.3"/>
      <pageSetup paperSize="9" orientation="portrait" r:id="rId7"/>
    </customSheetView>
    <customSheetView guid="{442F2C94-DD1B-4A01-8694-513D4D6F3BD9}" scale="60">
      <pane xSplit="1" ySplit="6" topLeftCell="B31" activePane="bottomRight" state="frozen"/>
      <selection pane="bottomRight" activeCell="A67" sqref="A67:XFD67"/>
      <pageMargins left="0.7" right="0.7" top="0.75" bottom="0.75" header="0.3" footer="0.3"/>
      <pageSetup paperSize="9" orientation="portrait" r:id="rId8"/>
    </customSheetView>
    <customSheetView guid="{CE1CCA00-200D-4EAA-9FBE-F8EE7C5F82FE}" scale="60">
      <pane xSplit="1" ySplit="6" topLeftCell="B7" activePane="bottomRight" state="frozen"/>
      <selection pane="bottomRight" activeCell="C14" sqref="C14"/>
      <pageMargins left="0.7" right="0.7" top="0.75" bottom="0.75" header="0.3" footer="0.3"/>
      <pageSetup paperSize="9" orientation="portrait" r:id="rId9"/>
    </customSheetView>
    <customSheetView guid="{4D0DFB57-2CBA-42F2-9A97-C453A6851FBA}" scale="60">
      <pane xSplit="1" ySplit="6" topLeftCell="B7" activePane="bottomRight" state="frozen"/>
      <selection pane="bottomRight" activeCell="B7" sqref="B7"/>
      <pageMargins left="0.7" right="0.7" top="0.75" bottom="0.75" header="0.3" footer="0.3"/>
      <pageSetup paperSize="9" orientation="portrait" r:id="rId10"/>
    </customSheetView>
    <customSheetView guid="{85F4575B-DBC5-482A-9916-255D8F0BC94E}" scale="60">
      <pane xSplit="1" ySplit="6" topLeftCell="B55" activePane="bottomRight" state="frozen"/>
      <selection pane="bottomRight" activeCell="A91" sqref="A91"/>
      <pageMargins left="0.7" right="0.7" top="0.75" bottom="0.75" header="0.3" footer="0.3"/>
      <pageSetup paperSize="9" orientation="portrait" r:id="rId11"/>
    </customSheetView>
    <customSheetView guid="{B1BF08D1-D416-4B47-ADD0-4F59132DC9E8}" scale="60">
      <pane xSplit="1" ySplit="6" topLeftCell="B49" activePane="bottomRight" state="frozen"/>
      <selection pane="bottomRight" activeCell="E6" sqref="E6"/>
      <pageMargins left="0.7" right="0.7" top="0.75" bottom="0.75" header="0.3" footer="0.3"/>
      <pageSetup paperSize="9" orientation="portrait" r:id="rId12"/>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13"/>
    </customSheetView>
    <customSheetView guid="{C236B307-BD63-48C4-A75F-B3F3717BF55C}" scale="60">
      <pane xSplit="1" ySplit="6" topLeftCell="G16" activePane="bottomRight" state="frozen"/>
      <selection pane="bottomRight" activeCell="W12" sqref="W12"/>
      <pageMargins left="0.7" right="0.7" top="0.75" bottom="0.75" header="0.3" footer="0.3"/>
      <pageSetup paperSize="9" orientation="portrait" r:id="rId14"/>
    </customSheetView>
    <customSheetView guid="{874882D1-E741-4CCA-BF0D-E72FA60B771D}" scale="60">
      <pane xSplit="1" ySplit="6" topLeftCell="G16" activePane="bottomRight" state="frozen"/>
      <selection pane="bottomRight" activeCell="W12" sqref="W12"/>
      <pageMargins left="0.7" right="0.7" top="0.75" bottom="0.75" header="0.3" footer="0.3"/>
      <pageSetup paperSize="9" orientation="portrait" r:id="rId15"/>
    </customSheetView>
    <customSheetView guid="{B82BA08A-1A30-4F4D-A478-74A6BD09EA97}" scale="60">
      <pane xSplit="1" ySplit="6" topLeftCell="G16" activePane="bottomRight" state="frozen"/>
      <selection pane="bottomRight" activeCell="W12" sqref="W12"/>
      <pageMargins left="0.7" right="0.7" top="0.75" bottom="0.75" header="0.3" footer="0.3"/>
      <pageSetup paperSize="9" orientation="portrait" r:id="rId16"/>
    </customSheetView>
    <customSheetView guid="{770624BF-07F3-44B6-94C3-4CC447CDD45C}" scale="60">
      <pane xSplit="1" ySplit="6" topLeftCell="G7" activePane="bottomRight" state="frozen"/>
      <selection pane="bottomRight" activeCell="W12" sqref="W12"/>
      <pageMargins left="0.7" right="0.7" top="0.75" bottom="0.75" header="0.3" footer="0.3"/>
      <pageSetup paperSize="9" orientation="portrait" r:id="rId17"/>
    </customSheetView>
    <customSheetView guid="{009B3074-D8EC-4952-BF50-43CD64449612}" scale="60">
      <pane xSplit="1" ySplit="6" topLeftCell="B7" activePane="bottomRight" state="frozen"/>
      <selection pane="bottomRight" activeCell="W12" sqref="W12"/>
      <pageMargins left="0.7" right="0.7" top="0.75" bottom="0.75" header="0.3" footer="0.3"/>
      <pageSetup paperSize="9" orientation="portrait" r:id="rId18"/>
    </customSheetView>
    <customSheetView guid="{F679EF4A-C5FD-4B86-B87B-D85968E0F2CA}" scale="60">
      <pane xSplit="1" ySplit="6" topLeftCell="B49" activePane="bottomRight" state="frozen"/>
      <selection pane="bottomRight" activeCell="E6" sqref="E6"/>
      <pageMargins left="0.7" right="0.7" top="0.75" bottom="0.75" header="0.3" footer="0.3"/>
      <pageSetup paperSize="9" orientation="portrait" r:id="rId19"/>
    </customSheetView>
    <customSheetView guid="{959E901C-5DDE-42EE-AE94-AB8976B5E00B}" scale="60">
      <pane xSplit="1" ySplit="6" topLeftCell="B49" activePane="bottomRight" state="frozen"/>
      <selection pane="bottomRight" activeCell="E6" sqref="E6"/>
      <pageMargins left="0.7" right="0.7" top="0.75" bottom="0.75" header="0.3" footer="0.3"/>
      <pageSetup paperSize="9" orientation="portrait" r:id="rId20"/>
    </customSheetView>
    <customSheetView guid="{533DC55B-6AD4-4674-9488-685EF2039F3E}" scale="60">
      <pane xSplit="1" ySplit="6" topLeftCell="B7" activePane="bottomRight" state="frozen"/>
      <selection pane="bottomRight" activeCell="E6" sqref="E6"/>
      <pageMargins left="0.7" right="0.7" top="0.75" bottom="0.75" header="0.3" footer="0.3"/>
      <pageSetup paperSize="9" orientation="portrait" r:id="rId21"/>
    </customSheetView>
    <customSheetView guid="{87218168-6C8E-4D5B-A5E5-DCCC26803AA3}" scale="60">
      <pane xSplit="1" ySplit="6" topLeftCell="B7" activePane="bottomRight" state="frozen"/>
      <selection pane="bottomRight" activeCell="B7" sqref="B7"/>
      <pageMargins left="0.7" right="0.7" top="0.75" bottom="0.75" header="0.3" footer="0.3"/>
      <pageSetup paperSize="9" orientation="portrait" r:id="rId22"/>
    </customSheetView>
    <customSheetView guid="{DAA8A688-7558-4B5B-8DBD-E2629BD9E9A8}" scale="60">
      <pane xSplit="1" ySplit="6" topLeftCell="B31" activePane="bottomRight" state="frozen"/>
      <selection pane="bottomRight" activeCell="A67" sqref="A67:XFD67"/>
      <pageMargins left="0.7" right="0.7" top="0.75" bottom="0.75" header="0.3" footer="0.3"/>
      <pageSetup paperSize="9" orientation="portrait" r:id="rId23"/>
    </customSheetView>
    <customSheetView guid="{391AB76E-B386-49C1-800F-016A48AA1A46}" scale="60">
      <pane xSplit="1" ySplit="6" topLeftCell="B31" activePane="bottomRight" state="frozen"/>
      <selection pane="bottomRight" activeCell="A67" sqref="A67:XFD67"/>
      <pageMargins left="0.7" right="0.7" top="0.75" bottom="0.75" header="0.3" footer="0.3"/>
      <pageSetup paperSize="9" orientation="portrait" r:id="rId24"/>
    </customSheetView>
    <customSheetView guid="{09C3E205-981E-4A4E-BE89-8B7044192060}" scale="60">
      <pane xSplit="1" ySplit="6" topLeftCell="B31" activePane="bottomRight" state="frozen"/>
      <selection pane="bottomRight" activeCell="A67" sqref="A67:XFD67"/>
      <pageMargins left="0.7" right="0.7" top="0.75" bottom="0.75" header="0.3" footer="0.3"/>
      <pageSetup paperSize="9" orientation="portrait" r:id="rId25"/>
    </customSheetView>
    <customSheetView guid="{84867370-1F3E-4368-AF79-FBCE46FFFE92}" scale="60">
      <pane xSplit="1" ySplit="6" topLeftCell="Y7" activePane="bottomRight" state="frozen"/>
      <selection pane="bottomRight" activeCell="A9" sqref="A9"/>
      <pageMargins left="0.7" right="0.7" top="0.75" bottom="0.75" header="0.3" footer="0.3"/>
      <pageSetup paperSize="9" orientation="portrait" r:id="rId26"/>
    </customSheetView>
    <customSheetView guid="{0C2B9C2A-7B94-41EF-A2E6-F8AC9A67DE25}" scale="60">
      <pane xSplit="1" ySplit="6" topLeftCell="Y7" activePane="bottomRight" state="frozen"/>
      <selection pane="bottomRight" activeCell="A9" sqref="A9"/>
      <pageMargins left="0.7" right="0.7" top="0.75" bottom="0.75" header="0.3" footer="0.3"/>
      <pageSetup paperSize="9" orientation="portrait" r:id="rId27"/>
    </customSheetView>
    <customSheetView guid="{CB4792DB-A624-4844-AEB6-A6ADA80946BB}" scale="60">
      <pane xSplit="1" ySplit="6" topLeftCell="Y7" activePane="bottomRight" state="frozen"/>
      <selection pane="bottomRight" activeCell="A9" sqref="A9"/>
      <pageMargins left="0.7" right="0.7" top="0.75" bottom="0.75" header="0.3" footer="0.3"/>
      <pageSetup paperSize="9" orientation="portrait" r:id="rId28"/>
    </customSheetView>
    <customSheetView guid="{74870EE6-26B9-40F7-9DC9-260EF16D8959}" scale="60">
      <pane xSplit="1" ySplit="6" topLeftCell="Y7" activePane="bottomRight" state="frozen"/>
      <selection pane="bottomRight" activeCell="A9" sqref="A9"/>
      <pageMargins left="0.7" right="0.7" top="0.75" bottom="0.75" header="0.3" footer="0.3"/>
      <pageSetup paperSize="9" orientation="portrait" r:id="rId29"/>
    </customSheetView>
    <customSheetView guid="{6A602CB8-B24C-4ED4-B378-B27354BE0A1A}" scale="60">
      <pane xSplit="1" ySplit="6" topLeftCell="Y7" activePane="bottomRight" state="frozen"/>
      <selection pane="bottomRight" activeCell="A9" sqref="A9"/>
      <pageMargins left="0.7" right="0.7" top="0.75" bottom="0.75" header="0.3" footer="0.3"/>
      <pageSetup paperSize="9" orientation="portrait" r:id="rId30"/>
    </customSheetView>
    <customSheetView guid="{4F41B9CC-959D-442C-80B0-1F0DB2C76D27}" scale="60">
      <pane xSplit="1" ySplit="5" topLeftCell="B34" activePane="bottomRight" state="frozen"/>
      <selection pane="bottomRight" activeCell="E6" sqref="E6"/>
      <pageMargins left="0.7" right="0.7" top="0.75" bottom="0.75" header="0.3" footer="0.3"/>
      <pageSetup paperSize="9" orientation="portrait" r:id="rId31"/>
    </customSheetView>
    <customSheetView guid="{47B983AB-FE5F-4725-860C-A2F29420596D}" scale="60">
      <pane xSplit="1" ySplit="6" topLeftCell="B34" activePane="bottomRight" state="frozen"/>
      <selection pane="bottomRight" activeCell="E6" sqref="E6"/>
      <pageMargins left="0.7" right="0.7" top="0.75" bottom="0.75" header="0.3" footer="0.3"/>
      <pageSetup paperSize="9" orientation="portrait" r:id="rId32"/>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 &quot;Безопасность жизнедеятельности населения города Когалыма&quot;"/>
  </hyperlinks>
  <pageMargins left="0.7" right="0.7" top="0.75" bottom="0.75" header="0.3" footer="0.3"/>
  <pageSetup paperSize="9" orientation="portrait" r:id="rId33"/>
  <legacyDrawing r:id="rId3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5"/>
  <sheetViews>
    <sheetView zoomScale="55" zoomScaleNormal="55" workbookViewId="0">
      <pane xSplit="1" ySplit="6" topLeftCell="AF43" activePane="bottomRight" state="frozen"/>
      <selection pane="topRight" activeCell="B1" sqref="B1"/>
      <selection pane="bottomLeft" activeCell="A7" sqref="A7"/>
      <selection pane="bottomRight" activeCell="AF51" sqref="AF51"/>
    </sheetView>
  </sheetViews>
  <sheetFormatPr defaultRowHeight="15.75" x14ac:dyDescent="0.25"/>
  <cols>
    <col min="1" max="1" width="46.140625" style="62" customWidth="1"/>
    <col min="2" max="2" width="23.42578125" customWidth="1"/>
    <col min="3" max="3" width="19.42578125" bestFit="1" customWidth="1"/>
    <col min="4" max="4" width="21" customWidth="1"/>
    <col min="5" max="5" width="18" customWidth="1"/>
    <col min="6" max="6" width="16.5703125" bestFit="1" customWidth="1"/>
    <col min="7" max="8" width="17.28515625" bestFit="1" customWidth="1"/>
    <col min="9" max="9" width="19.5703125" customWidth="1"/>
    <col min="10" max="12" width="17.28515625" bestFit="1" customWidth="1"/>
    <col min="13" max="13" width="24.28515625" customWidth="1"/>
    <col min="14" max="14" width="17.28515625" bestFit="1" customWidth="1"/>
    <col min="15" max="15" width="19" customWidth="1"/>
    <col min="16" max="16" width="17.28515625" bestFit="1" customWidth="1"/>
    <col min="17" max="17" width="13.5703125" bestFit="1" customWidth="1"/>
    <col min="18" max="18" width="17.28515625" bestFit="1" customWidth="1"/>
    <col min="19" max="19" width="13.5703125" bestFit="1" customWidth="1"/>
    <col min="20" max="20" width="17.28515625" bestFit="1" customWidth="1"/>
    <col min="21" max="21" width="13.5703125" bestFit="1" customWidth="1"/>
    <col min="22" max="22" width="17.28515625" bestFit="1" customWidth="1"/>
    <col min="23" max="23" width="13.5703125" bestFit="1" customWidth="1"/>
    <col min="24" max="24" width="17.28515625" bestFit="1" customWidth="1"/>
    <col min="25" max="25" width="13.5703125" bestFit="1" customWidth="1"/>
    <col min="26" max="26" width="17.28515625" bestFit="1" customWidth="1"/>
    <col min="27" max="27" width="13.5703125" bestFit="1" customWidth="1"/>
    <col min="28" max="28" width="17.28515625" bestFit="1" customWidth="1"/>
    <col min="29" max="29" width="13.5703125" bestFit="1" customWidth="1"/>
    <col min="30" max="30" width="17" bestFit="1" customWidth="1"/>
    <col min="31" max="31" width="15.42578125" bestFit="1" customWidth="1"/>
    <col min="32" max="32" width="186.28515625" customWidth="1"/>
    <col min="33" max="33" width="9.140625" style="715"/>
  </cols>
  <sheetData>
    <row r="1" spans="1:34" ht="18.75" x14ac:dyDescent="0.25">
      <c r="A1" s="1050" t="s">
        <v>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row>
    <row r="2" spans="1:34" ht="18.75" x14ac:dyDescent="0.25">
      <c r="A2" s="1051" t="s">
        <v>77</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 t="s">
        <v>1</v>
      </c>
    </row>
    <row r="3" spans="1:34" x14ac:dyDescent="0.25">
      <c r="A3" s="1043" t="s">
        <v>2</v>
      </c>
      <c r="B3" s="1052" t="s">
        <v>3</v>
      </c>
      <c r="C3" s="1052" t="s">
        <v>3</v>
      </c>
      <c r="D3" s="1052" t="s">
        <v>4</v>
      </c>
      <c r="E3" s="1054" t="s">
        <v>5</v>
      </c>
      <c r="F3" s="1046" t="s">
        <v>6</v>
      </c>
      <c r="G3" s="1047"/>
      <c r="H3" s="1046" t="s">
        <v>7</v>
      </c>
      <c r="I3" s="1047"/>
      <c r="J3" s="1046" t="s">
        <v>8</v>
      </c>
      <c r="K3" s="1047"/>
      <c r="L3" s="1046" t="s">
        <v>9</v>
      </c>
      <c r="M3" s="1047"/>
      <c r="N3" s="1046" t="s">
        <v>10</v>
      </c>
      <c r="O3" s="1047"/>
      <c r="P3" s="1046" t="s">
        <v>11</v>
      </c>
      <c r="Q3" s="1047"/>
      <c r="R3" s="1046" t="s">
        <v>12</v>
      </c>
      <c r="S3" s="1047"/>
      <c r="T3" s="1046" t="s">
        <v>13</v>
      </c>
      <c r="U3" s="1047"/>
      <c r="V3" s="1046" t="s">
        <v>14</v>
      </c>
      <c r="W3" s="1047"/>
      <c r="X3" s="1046" t="s">
        <v>15</v>
      </c>
      <c r="Y3" s="1047"/>
      <c r="Z3" s="1046" t="s">
        <v>16</v>
      </c>
      <c r="AA3" s="1047"/>
      <c r="AB3" s="1046" t="s">
        <v>17</v>
      </c>
      <c r="AC3" s="1047"/>
      <c r="AD3" s="1046" t="s">
        <v>18</v>
      </c>
      <c r="AE3" s="1047"/>
      <c r="AF3" s="1043" t="s">
        <v>19</v>
      </c>
    </row>
    <row r="4" spans="1:34" ht="42.75" customHeight="1" x14ac:dyDescent="0.25">
      <c r="A4" s="1044"/>
      <c r="B4" s="1053"/>
      <c r="C4" s="1053"/>
      <c r="D4" s="1053"/>
      <c r="E4" s="1055"/>
      <c r="F4" s="1048"/>
      <c r="G4" s="1049"/>
      <c r="H4" s="1048"/>
      <c r="I4" s="1049"/>
      <c r="J4" s="1048"/>
      <c r="K4" s="1049"/>
      <c r="L4" s="1048"/>
      <c r="M4" s="1049"/>
      <c r="N4" s="1048"/>
      <c r="O4" s="1049"/>
      <c r="P4" s="1048"/>
      <c r="Q4" s="1049"/>
      <c r="R4" s="1048"/>
      <c r="S4" s="1049"/>
      <c r="T4" s="1048"/>
      <c r="U4" s="1049"/>
      <c r="V4" s="1048"/>
      <c r="W4" s="1049"/>
      <c r="X4" s="1048"/>
      <c r="Y4" s="1049"/>
      <c r="Z4" s="1048"/>
      <c r="AA4" s="1049"/>
      <c r="AB4" s="1048"/>
      <c r="AC4" s="1049"/>
      <c r="AD4" s="1048"/>
      <c r="AE4" s="1049"/>
      <c r="AF4" s="1044"/>
    </row>
    <row r="5" spans="1:34" ht="56.25" x14ac:dyDescent="0.25">
      <c r="A5" s="59"/>
      <c r="B5" s="3">
        <v>2024</v>
      </c>
      <c r="C5" s="4">
        <v>45505</v>
      </c>
      <c r="D5" s="4">
        <v>45505</v>
      </c>
      <c r="E5" s="4">
        <v>45505</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45"/>
    </row>
    <row r="6" spans="1:34" ht="18.75"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4" ht="18.75" x14ac:dyDescent="0.25">
      <c r="A7" s="63" t="s">
        <v>78</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2"/>
    </row>
    <row r="8" spans="1:34" ht="18.75" x14ac:dyDescent="0.25">
      <c r="A8" s="64" t="s">
        <v>54</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2"/>
    </row>
    <row r="9" spans="1:34" ht="56.25" customHeight="1" x14ac:dyDescent="0.25">
      <c r="A9" s="68" t="s">
        <v>79</v>
      </c>
      <c r="B9" s="829">
        <f>B10</f>
        <v>52809.474000000002</v>
      </c>
      <c r="C9" s="829">
        <f t="shared" ref="C9:E10" si="0">C10</f>
        <v>39248.131999999998</v>
      </c>
      <c r="D9" s="829">
        <f t="shared" si="0"/>
        <v>39248.131999999998</v>
      </c>
      <c r="E9" s="829">
        <f t="shared" si="0"/>
        <v>33318.527000000002</v>
      </c>
      <c r="F9" s="30"/>
      <c r="G9" s="30"/>
      <c r="H9" s="829"/>
      <c r="I9" s="829"/>
      <c r="J9" s="829"/>
      <c r="K9" s="829"/>
      <c r="L9" s="829"/>
      <c r="M9" s="829"/>
      <c r="N9" s="829"/>
      <c r="O9" s="829"/>
      <c r="P9" s="829"/>
      <c r="Q9" s="829"/>
      <c r="R9" s="829"/>
      <c r="S9" s="829"/>
      <c r="T9" s="829"/>
      <c r="U9" s="829"/>
      <c r="V9" s="829"/>
      <c r="W9" s="829"/>
      <c r="X9" s="829"/>
      <c r="Y9" s="829"/>
      <c r="Z9" s="829"/>
      <c r="AA9" s="829"/>
      <c r="AB9" s="829"/>
      <c r="AC9" s="829"/>
      <c r="AD9" s="829"/>
      <c r="AE9" s="829"/>
      <c r="AF9" s="21"/>
      <c r="AG9" s="720"/>
      <c r="AH9" s="46"/>
    </row>
    <row r="10" spans="1:34" ht="18.75" x14ac:dyDescent="0.3">
      <c r="A10" s="13" t="s">
        <v>31</v>
      </c>
      <c r="B10" s="837">
        <f>B11</f>
        <v>52809.474000000002</v>
      </c>
      <c r="C10" s="830">
        <f t="shared" si="0"/>
        <v>39248.131999999998</v>
      </c>
      <c r="D10" s="830">
        <f>D11</f>
        <v>39248.131999999998</v>
      </c>
      <c r="E10" s="830">
        <f>E11</f>
        <v>33318.527000000002</v>
      </c>
      <c r="F10" s="32">
        <f>E10/B10*100</f>
        <v>63.091950130008868</v>
      </c>
      <c r="G10" s="32">
        <f>E10/C10*100</f>
        <v>84.892007089662272</v>
      </c>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29"/>
      <c r="AG10" s="716"/>
    </row>
    <row r="11" spans="1:34" ht="18.75" x14ac:dyDescent="0.3">
      <c r="A11" s="17" t="s">
        <v>33</v>
      </c>
      <c r="B11" s="830">
        <f>H11+J11+L11+N11+P11+R11+T11+V11+X11+Z11+AB11+AD11</f>
        <v>52809.474000000002</v>
      </c>
      <c r="C11" s="830">
        <f>H11+J11+L11+N11+P11+R11+T11</f>
        <v>39248.131999999998</v>
      </c>
      <c r="D11" s="830">
        <f>H11+J11+L11+N11+P11+R11+T11</f>
        <v>39248.131999999998</v>
      </c>
      <c r="E11" s="833">
        <f>I11+K11+M11+O11+Q11+S11+U11</f>
        <v>33318.527000000002</v>
      </c>
      <c r="F11" s="32">
        <f>E11/B11*100</f>
        <v>63.091950130008868</v>
      </c>
      <c r="G11" s="32">
        <f>E11/C11*100</f>
        <v>84.892007089662272</v>
      </c>
      <c r="H11" s="870">
        <v>7121.37</v>
      </c>
      <c r="I11" s="870">
        <v>4317.3140000000003</v>
      </c>
      <c r="J11" s="870">
        <v>5416.6620000000003</v>
      </c>
      <c r="K11" s="870">
        <v>5461.0829999999996</v>
      </c>
      <c r="L11" s="870">
        <v>4821.6400000000003</v>
      </c>
      <c r="M11" s="870">
        <v>3395.2550000000001</v>
      </c>
      <c r="N11" s="870">
        <v>13059.099</v>
      </c>
      <c r="O11" s="870">
        <v>4998.1279999999997</v>
      </c>
      <c r="P11" s="870">
        <v>3110.4140000000002</v>
      </c>
      <c r="Q11" s="870">
        <v>3146.828</v>
      </c>
      <c r="R11" s="870">
        <v>2742.58</v>
      </c>
      <c r="S11" s="870">
        <v>2766.3440000000001</v>
      </c>
      <c r="T11" s="870">
        <v>2976.3670000000002</v>
      </c>
      <c r="U11" s="870">
        <v>9233.5750000000007</v>
      </c>
      <c r="V11" s="870">
        <v>2536.33</v>
      </c>
      <c r="W11" s="870">
        <v>0</v>
      </c>
      <c r="X11" s="870">
        <v>2363.1950000000002</v>
      </c>
      <c r="Y11" s="870">
        <v>0</v>
      </c>
      <c r="Z11" s="870">
        <v>3509.5329999999999</v>
      </c>
      <c r="AA11" s="870">
        <v>0</v>
      </c>
      <c r="AB11" s="870">
        <v>2420.1689999999999</v>
      </c>
      <c r="AC11" s="870">
        <v>0</v>
      </c>
      <c r="AD11" s="870">
        <v>2732.1149999999998</v>
      </c>
      <c r="AE11" s="870">
        <v>0</v>
      </c>
      <c r="AF11" s="811" t="s">
        <v>526</v>
      </c>
      <c r="AG11" s="716"/>
    </row>
    <row r="12" spans="1:34" ht="18.75" x14ac:dyDescent="0.3">
      <c r="A12" s="54" t="s">
        <v>53</v>
      </c>
      <c r="B12" s="111"/>
      <c r="C12" s="111"/>
      <c r="D12" s="111"/>
      <c r="E12" s="111"/>
      <c r="F12" s="29"/>
      <c r="G12" s="29"/>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811"/>
      <c r="AG12" s="716"/>
    </row>
    <row r="13" spans="1:34" ht="18.75" x14ac:dyDescent="0.3">
      <c r="A13" s="13" t="s">
        <v>31</v>
      </c>
      <c r="B13" s="111">
        <f>B14</f>
        <v>52809.474000000002</v>
      </c>
      <c r="C13" s="111">
        <f>C14</f>
        <v>39248.131999999998</v>
      </c>
      <c r="D13" s="111">
        <f>D14</f>
        <v>39248.131999999998</v>
      </c>
      <c r="E13" s="111">
        <f>E14</f>
        <v>33318.527000000002</v>
      </c>
      <c r="F13" s="32">
        <f>E13/B13*100</f>
        <v>63.091950130008868</v>
      </c>
      <c r="G13" s="32">
        <f>E13/C13*100</f>
        <v>84.892007089662272</v>
      </c>
      <c r="H13" s="111">
        <f>H14</f>
        <v>7121.37</v>
      </c>
      <c r="I13" s="111">
        <f t="shared" ref="I13:AE13" si="1">I14</f>
        <v>4317.3140000000003</v>
      </c>
      <c r="J13" s="111">
        <f t="shared" si="1"/>
        <v>5416.6620000000003</v>
      </c>
      <c r="K13" s="111">
        <f t="shared" si="1"/>
        <v>5461.0829999999996</v>
      </c>
      <c r="L13" s="111">
        <f t="shared" si="1"/>
        <v>4821.6400000000003</v>
      </c>
      <c r="M13" s="111">
        <f t="shared" si="1"/>
        <v>3395.2550000000001</v>
      </c>
      <c r="N13" s="111">
        <f t="shared" si="1"/>
        <v>13059.099</v>
      </c>
      <c r="O13" s="111">
        <f t="shared" si="1"/>
        <v>4998.1279999999997</v>
      </c>
      <c r="P13" s="111">
        <f t="shared" si="1"/>
        <v>3110.4140000000002</v>
      </c>
      <c r="Q13" s="111">
        <f t="shared" si="1"/>
        <v>3146.828</v>
      </c>
      <c r="R13" s="111">
        <f t="shared" si="1"/>
        <v>2742.58</v>
      </c>
      <c r="S13" s="111">
        <f t="shared" si="1"/>
        <v>2766.3440000000001</v>
      </c>
      <c r="T13" s="111">
        <f t="shared" si="1"/>
        <v>2976.3670000000002</v>
      </c>
      <c r="U13" s="111">
        <f t="shared" si="1"/>
        <v>9233.5750000000007</v>
      </c>
      <c r="V13" s="111">
        <f t="shared" si="1"/>
        <v>2536.33</v>
      </c>
      <c r="W13" s="111">
        <f t="shared" si="1"/>
        <v>0</v>
      </c>
      <c r="X13" s="111">
        <f t="shared" si="1"/>
        <v>2363.1950000000002</v>
      </c>
      <c r="Y13" s="111">
        <f t="shared" si="1"/>
        <v>0</v>
      </c>
      <c r="Z13" s="111">
        <f t="shared" si="1"/>
        <v>3509.5329999999999</v>
      </c>
      <c r="AA13" s="111">
        <f t="shared" si="1"/>
        <v>0</v>
      </c>
      <c r="AB13" s="111">
        <f t="shared" si="1"/>
        <v>2420.1689999999999</v>
      </c>
      <c r="AC13" s="111">
        <f t="shared" si="1"/>
        <v>0</v>
      </c>
      <c r="AD13" s="111">
        <f t="shared" si="1"/>
        <v>2732.1149999999998</v>
      </c>
      <c r="AE13" s="111">
        <f t="shared" si="1"/>
        <v>0</v>
      </c>
      <c r="AF13" s="811"/>
      <c r="AG13" s="716"/>
    </row>
    <row r="14" spans="1:34" ht="18.75" x14ac:dyDescent="0.3">
      <c r="A14" s="13" t="s">
        <v>33</v>
      </c>
      <c r="B14" s="111">
        <f>B11</f>
        <v>52809.474000000002</v>
      </c>
      <c r="C14" s="111">
        <f>C11</f>
        <v>39248.131999999998</v>
      </c>
      <c r="D14" s="111">
        <f>D11</f>
        <v>39248.131999999998</v>
      </c>
      <c r="E14" s="111">
        <f>E11</f>
        <v>33318.527000000002</v>
      </c>
      <c r="F14" s="32">
        <f>E14/B14*100</f>
        <v>63.091950130008868</v>
      </c>
      <c r="G14" s="32">
        <f>E14/C14*100</f>
        <v>84.892007089662272</v>
      </c>
      <c r="H14" s="111">
        <f>H11</f>
        <v>7121.37</v>
      </c>
      <c r="I14" s="111">
        <f t="shared" ref="I14:AE14" si="2">I11</f>
        <v>4317.3140000000003</v>
      </c>
      <c r="J14" s="111">
        <f t="shared" si="2"/>
        <v>5416.6620000000003</v>
      </c>
      <c r="K14" s="111">
        <f t="shared" si="2"/>
        <v>5461.0829999999996</v>
      </c>
      <c r="L14" s="111">
        <f t="shared" si="2"/>
        <v>4821.6400000000003</v>
      </c>
      <c r="M14" s="111">
        <f t="shared" si="2"/>
        <v>3395.2550000000001</v>
      </c>
      <c r="N14" s="111">
        <f t="shared" si="2"/>
        <v>13059.099</v>
      </c>
      <c r="O14" s="111">
        <f t="shared" si="2"/>
        <v>4998.1279999999997</v>
      </c>
      <c r="P14" s="111">
        <f t="shared" si="2"/>
        <v>3110.4140000000002</v>
      </c>
      <c r="Q14" s="111">
        <f t="shared" si="2"/>
        <v>3146.828</v>
      </c>
      <c r="R14" s="111">
        <f t="shared" si="2"/>
        <v>2742.58</v>
      </c>
      <c r="S14" s="111">
        <f t="shared" si="2"/>
        <v>2766.3440000000001</v>
      </c>
      <c r="T14" s="111">
        <f t="shared" si="2"/>
        <v>2976.3670000000002</v>
      </c>
      <c r="U14" s="111">
        <f t="shared" si="2"/>
        <v>9233.5750000000007</v>
      </c>
      <c r="V14" s="111">
        <f t="shared" si="2"/>
        <v>2536.33</v>
      </c>
      <c r="W14" s="111">
        <f t="shared" si="2"/>
        <v>0</v>
      </c>
      <c r="X14" s="111">
        <f t="shared" si="2"/>
        <v>2363.1950000000002</v>
      </c>
      <c r="Y14" s="111">
        <f t="shared" si="2"/>
        <v>0</v>
      </c>
      <c r="Z14" s="111">
        <f t="shared" si="2"/>
        <v>3509.5329999999999</v>
      </c>
      <c r="AA14" s="111">
        <f t="shared" si="2"/>
        <v>0</v>
      </c>
      <c r="AB14" s="111">
        <f t="shared" si="2"/>
        <v>2420.1689999999999</v>
      </c>
      <c r="AC14" s="111">
        <f t="shared" si="2"/>
        <v>0</v>
      </c>
      <c r="AD14" s="111">
        <f t="shared" si="2"/>
        <v>2732.1149999999998</v>
      </c>
      <c r="AE14" s="111">
        <f t="shared" si="2"/>
        <v>0</v>
      </c>
      <c r="AF14" s="811"/>
      <c r="AG14" s="716"/>
    </row>
    <row r="15" spans="1:34" ht="37.5" x14ac:dyDescent="0.3">
      <c r="A15" s="28" t="s">
        <v>72</v>
      </c>
      <c r="B15" s="111"/>
      <c r="C15" s="111"/>
      <c r="D15" s="111"/>
      <c r="E15" s="111"/>
      <c r="F15" s="29"/>
      <c r="G15" s="29"/>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29"/>
      <c r="AG15" s="716"/>
    </row>
    <row r="16" spans="1:34" ht="18.75" x14ac:dyDescent="0.3">
      <c r="A16" s="8" t="s">
        <v>31</v>
      </c>
      <c r="B16" s="111">
        <f>B17</f>
        <v>52809.474000000002</v>
      </c>
      <c r="C16" s="111">
        <f>C17</f>
        <v>39248.131999999998</v>
      </c>
      <c r="D16" s="111">
        <f>D17</f>
        <v>39248.131999999998</v>
      </c>
      <c r="E16" s="111">
        <f>E17</f>
        <v>33318.527000000002</v>
      </c>
      <c r="F16" s="32">
        <f>E16/B16*100</f>
        <v>63.091950130008868</v>
      </c>
      <c r="G16" s="32">
        <f>E16/C16*100</f>
        <v>84.892007089662272</v>
      </c>
      <c r="H16" s="111">
        <f>H17</f>
        <v>7121.37</v>
      </c>
      <c r="I16" s="111">
        <f t="shared" ref="I16:AE16" si="3">I17</f>
        <v>4317.3140000000003</v>
      </c>
      <c r="J16" s="111">
        <f t="shared" si="3"/>
        <v>5416.6620000000003</v>
      </c>
      <c r="K16" s="111">
        <f t="shared" si="3"/>
        <v>5461.0829999999996</v>
      </c>
      <c r="L16" s="111">
        <f t="shared" si="3"/>
        <v>4821.6400000000003</v>
      </c>
      <c r="M16" s="111">
        <f t="shared" si="3"/>
        <v>3395.2550000000001</v>
      </c>
      <c r="N16" s="111">
        <f t="shared" si="3"/>
        <v>13059.099</v>
      </c>
      <c r="O16" s="111">
        <f t="shared" si="3"/>
        <v>4998.1279999999997</v>
      </c>
      <c r="P16" s="111">
        <f t="shared" si="3"/>
        <v>3110.4140000000002</v>
      </c>
      <c r="Q16" s="111">
        <f t="shared" si="3"/>
        <v>3146.828</v>
      </c>
      <c r="R16" s="111">
        <f t="shared" si="3"/>
        <v>2742.58</v>
      </c>
      <c r="S16" s="111">
        <f t="shared" si="3"/>
        <v>2766.3440000000001</v>
      </c>
      <c r="T16" s="111">
        <f t="shared" si="3"/>
        <v>2976.3670000000002</v>
      </c>
      <c r="U16" s="111">
        <f t="shared" si="3"/>
        <v>9233.5750000000007</v>
      </c>
      <c r="V16" s="111">
        <f t="shared" si="3"/>
        <v>2536.33</v>
      </c>
      <c r="W16" s="111">
        <f t="shared" si="3"/>
        <v>0</v>
      </c>
      <c r="X16" s="111">
        <f t="shared" si="3"/>
        <v>2363.1950000000002</v>
      </c>
      <c r="Y16" s="111">
        <f t="shared" si="3"/>
        <v>0</v>
      </c>
      <c r="Z16" s="111">
        <f t="shared" si="3"/>
        <v>3509.5329999999999</v>
      </c>
      <c r="AA16" s="111">
        <f t="shared" si="3"/>
        <v>0</v>
      </c>
      <c r="AB16" s="111">
        <f t="shared" si="3"/>
        <v>2420.1689999999999</v>
      </c>
      <c r="AC16" s="111">
        <f t="shared" si="3"/>
        <v>0</v>
      </c>
      <c r="AD16" s="111">
        <f t="shared" si="3"/>
        <v>2732.1149999999998</v>
      </c>
      <c r="AE16" s="111">
        <f t="shared" si="3"/>
        <v>0</v>
      </c>
      <c r="AF16" s="29"/>
      <c r="AG16" s="716"/>
    </row>
    <row r="17" spans="1:34" ht="18.75" x14ac:dyDescent="0.3">
      <c r="A17" s="13" t="s">
        <v>33</v>
      </c>
      <c r="B17" s="111">
        <f>B14</f>
        <v>52809.474000000002</v>
      </c>
      <c r="C17" s="111">
        <f>C14</f>
        <v>39248.131999999998</v>
      </c>
      <c r="D17" s="111">
        <f>D14</f>
        <v>39248.131999999998</v>
      </c>
      <c r="E17" s="111">
        <f>E14</f>
        <v>33318.527000000002</v>
      </c>
      <c r="F17" s="32">
        <f>E17/B17*100</f>
        <v>63.091950130008868</v>
      </c>
      <c r="G17" s="32">
        <f>E17/C17*100</f>
        <v>84.892007089662272</v>
      </c>
      <c r="H17" s="111">
        <f>H14</f>
        <v>7121.37</v>
      </c>
      <c r="I17" s="111">
        <f t="shared" ref="I17:AE17" si="4">I14</f>
        <v>4317.3140000000003</v>
      </c>
      <c r="J17" s="111">
        <f t="shared" si="4"/>
        <v>5416.6620000000003</v>
      </c>
      <c r="K17" s="111">
        <f t="shared" si="4"/>
        <v>5461.0829999999996</v>
      </c>
      <c r="L17" s="111">
        <f t="shared" si="4"/>
        <v>4821.6400000000003</v>
      </c>
      <c r="M17" s="111">
        <f t="shared" si="4"/>
        <v>3395.2550000000001</v>
      </c>
      <c r="N17" s="111">
        <f t="shared" si="4"/>
        <v>13059.099</v>
      </c>
      <c r="O17" s="111">
        <f t="shared" si="4"/>
        <v>4998.1279999999997</v>
      </c>
      <c r="P17" s="111">
        <f t="shared" si="4"/>
        <v>3110.4140000000002</v>
      </c>
      <c r="Q17" s="111">
        <f t="shared" si="4"/>
        <v>3146.828</v>
      </c>
      <c r="R17" s="111">
        <f t="shared" si="4"/>
        <v>2742.58</v>
      </c>
      <c r="S17" s="111">
        <f t="shared" si="4"/>
        <v>2766.3440000000001</v>
      </c>
      <c r="T17" s="111">
        <f t="shared" si="4"/>
        <v>2976.3670000000002</v>
      </c>
      <c r="U17" s="111">
        <f t="shared" si="4"/>
        <v>9233.5750000000007</v>
      </c>
      <c r="V17" s="111">
        <f t="shared" si="4"/>
        <v>2536.33</v>
      </c>
      <c r="W17" s="111">
        <f t="shared" si="4"/>
        <v>0</v>
      </c>
      <c r="X17" s="111">
        <f t="shared" si="4"/>
        <v>2363.1950000000002</v>
      </c>
      <c r="Y17" s="111">
        <f t="shared" si="4"/>
        <v>0</v>
      </c>
      <c r="Z17" s="111">
        <f t="shared" si="4"/>
        <v>3509.5329999999999</v>
      </c>
      <c r="AA17" s="111">
        <f t="shared" si="4"/>
        <v>0</v>
      </c>
      <c r="AB17" s="111">
        <f t="shared" si="4"/>
        <v>2420.1689999999999</v>
      </c>
      <c r="AC17" s="111">
        <f t="shared" si="4"/>
        <v>0</v>
      </c>
      <c r="AD17" s="111">
        <f t="shared" si="4"/>
        <v>2732.1149999999998</v>
      </c>
      <c r="AE17" s="111">
        <f t="shared" si="4"/>
        <v>0</v>
      </c>
      <c r="AF17" s="29"/>
      <c r="AG17" s="716"/>
    </row>
    <row r="18" spans="1:34" ht="18.75" x14ac:dyDescent="0.3">
      <c r="A18" s="60" t="s">
        <v>80</v>
      </c>
      <c r="B18" s="111"/>
      <c r="C18" s="111"/>
      <c r="D18" s="111"/>
      <c r="E18" s="111"/>
      <c r="F18" s="29"/>
      <c r="G18" s="29"/>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29"/>
      <c r="AG18" s="716"/>
    </row>
    <row r="19" spans="1:34" ht="18.75" x14ac:dyDescent="0.3">
      <c r="A19" s="52" t="s">
        <v>54</v>
      </c>
      <c r="B19" s="111"/>
      <c r="C19" s="111"/>
      <c r="D19" s="111"/>
      <c r="E19" s="111"/>
      <c r="F19" s="29"/>
      <c r="G19" s="29"/>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29"/>
      <c r="AG19" s="716"/>
    </row>
    <row r="20" spans="1:34" ht="75" x14ac:dyDescent="0.3">
      <c r="A20" s="69" t="s">
        <v>81</v>
      </c>
      <c r="B20" s="111"/>
      <c r="C20" s="111"/>
      <c r="D20" s="111"/>
      <c r="E20" s="111"/>
      <c r="F20" s="41"/>
      <c r="G20" s="29"/>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29"/>
      <c r="AG20" s="716"/>
    </row>
    <row r="21" spans="1:34" ht="18.75" x14ac:dyDescent="0.3">
      <c r="A21" s="13" t="s">
        <v>31</v>
      </c>
      <c r="B21" s="837">
        <f>B22</f>
        <v>303206.89500000002</v>
      </c>
      <c r="C21" s="830">
        <f>C22</f>
        <v>188696.31300000002</v>
      </c>
      <c r="D21" s="830">
        <f>D22</f>
        <v>188696.31300000002</v>
      </c>
      <c r="E21" s="830">
        <f>E22</f>
        <v>176181.15600000002</v>
      </c>
      <c r="F21" s="32">
        <f>E21/B21*100</f>
        <v>58.105920051719139</v>
      </c>
      <c r="G21" s="32">
        <f>E21/C21*100</f>
        <v>93.367566752615886</v>
      </c>
      <c r="H21" s="830">
        <f>H22</f>
        <v>21721.720999999998</v>
      </c>
      <c r="I21" s="830">
        <f t="shared" ref="I21:AE21" si="5">I22</f>
        <v>17924.219000000001</v>
      </c>
      <c r="J21" s="830">
        <f t="shared" si="5"/>
        <v>30109.53</v>
      </c>
      <c r="K21" s="830">
        <f t="shared" si="5"/>
        <v>29266.189000000002</v>
      </c>
      <c r="L21" s="830">
        <f t="shared" si="5"/>
        <v>23693.165000000001</v>
      </c>
      <c r="M21" s="830">
        <f t="shared" si="5"/>
        <v>21758.616999999998</v>
      </c>
      <c r="N21" s="830">
        <f t="shared" si="5"/>
        <v>27926.390000000003</v>
      </c>
      <c r="O21" s="830">
        <f t="shared" si="5"/>
        <v>25990.671999999999</v>
      </c>
      <c r="P21" s="830">
        <f t="shared" si="5"/>
        <v>23995.38</v>
      </c>
      <c r="Q21" s="830">
        <f t="shared" si="5"/>
        <v>23249.977999999999</v>
      </c>
      <c r="R21" s="830">
        <f t="shared" si="5"/>
        <v>27946.826999999997</v>
      </c>
      <c r="S21" s="830">
        <f t="shared" si="5"/>
        <v>25449.1</v>
      </c>
      <c r="T21" s="830">
        <f t="shared" si="5"/>
        <v>33303.300000000003</v>
      </c>
      <c r="U21" s="830">
        <f t="shared" si="5"/>
        <v>32542.381000000001</v>
      </c>
      <c r="V21" s="830">
        <f t="shared" si="5"/>
        <v>23975.320000000003</v>
      </c>
      <c r="W21" s="830">
        <f t="shared" si="5"/>
        <v>0</v>
      </c>
      <c r="X21" s="830">
        <f t="shared" si="5"/>
        <v>19985.218000000001</v>
      </c>
      <c r="Y21" s="830">
        <f t="shared" si="5"/>
        <v>0</v>
      </c>
      <c r="Z21" s="830">
        <f t="shared" si="5"/>
        <v>23346.466999999997</v>
      </c>
      <c r="AA21" s="830">
        <f t="shared" si="5"/>
        <v>0</v>
      </c>
      <c r="AB21" s="830">
        <f t="shared" si="5"/>
        <v>20277.643</v>
      </c>
      <c r="AC21" s="830">
        <f t="shared" si="5"/>
        <v>0</v>
      </c>
      <c r="AD21" s="830">
        <f t="shared" si="5"/>
        <v>26925.934000000001</v>
      </c>
      <c r="AE21" s="830">
        <f t="shared" si="5"/>
        <v>0</v>
      </c>
      <c r="AF21" s="29"/>
      <c r="AG21" s="716"/>
    </row>
    <row r="22" spans="1:34" ht="18.75" x14ac:dyDescent="0.3">
      <c r="A22" s="13" t="s">
        <v>33</v>
      </c>
      <c r="B22" s="830">
        <f>B25+B28+B37+B40</f>
        <v>303206.89500000002</v>
      </c>
      <c r="C22" s="830">
        <f>C25+C28+C37+C40</f>
        <v>188696.31300000002</v>
      </c>
      <c r="D22" s="830">
        <f>D24+D27+D36+D39</f>
        <v>188696.31300000002</v>
      </c>
      <c r="E22" s="830">
        <f>E25+E28+E37+E40</f>
        <v>176181.15600000002</v>
      </c>
      <c r="F22" s="32">
        <f>E22/B22*100</f>
        <v>58.105920051719139</v>
      </c>
      <c r="G22" s="32">
        <f>E22/C22*100</f>
        <v>93.367566752615886</v>
      </c>
      <c r="H22" s="830">
        <f>H25+H28+H37+H40</f>
        <v>21721.720999999998</v>
      </c>
      <c r="I22" s="830">
        <f>I25+I28+I37+I40</f>
        <v>17924.219000000001</v>
      </c>
      <c r="J22" s="830">
        <f t="shared" ref="J22:AE22" si="6">J25+J28+J37+J40</f>
        <v>30109.53</v>
      </c>
      <c r="K22" s="830">
        <f t="shared" si="6"/>
        <v>29266.189000000002</v>
      </c>
      <c r="L22" s="830">
        <f t="shared" si="6"/>
        <v>23693.165000000001</v>
      </c>
      <c r="M22" s="830">
        <f t="shared" si="6"/>
        <v>21758.616999999998</v>
      </c>
      <c r="N22" s="830">
        <f t="shared" si="6"/>
        <v>27926.390000000003</v>
      </c>
      <c r="O22" s="830">
        <f t="shared" si="6"/>
        <v>25990.671999999999</v>
      </c>
      <c r="P22" s="830">
        <f t="shared" si="6"/>
        <v>23995.38</v>
      </c>
      <c r="Q22" s="830">
        <f t="shared" si="6"/>
        <v>23249.977999999999</v>
      </c>
      <c r="R22" s="830">
        <f t="shared" si="6"/>
        <v>27946.826999999997</v>
      </c>
      <c r="S22" s="830">
        <f t="shared" si="6"/>
        <v>25449.1</v>
      </c>
      <c r="T22" s="830">
        <f t="shared" si="6"/>
        <v>33303.300000000003</v>
      </c>
      <c r="U22" s="830">
        <f t="shared" si="6"/>
        <v>32542.381000000001</v>
      </c>
      <c r="V22" s="830">
        <f t="shared" si="6"/>
        <v>23975.320000000003</v>
      </c>
      <c r="W22" s="830">
        <f t="shared" si="6"/>
        <v>0</v>
      </c>
      <c r="X22" s="830">
        <f t="shared" si="6"/>
        <v>19985.218000000001</v>
      </c>
      <c r="Y22" s="830">
        <f t="shared" si="6"/>
        <v>0</v>
      </c>
      <c r="Z22" s="830">
        <f t="shared" si="6"/>
        <v>23346.466999999997</v>
      </c>
      <c r="AA22" s="830">
        <f t="shared" si="6"/>
        <v>0</v>
      </c>
      <c r="AB22" s="830">
        <f t="shared" si="6"/>
        <v>20277.643</v>
      </c>
      <c r="AC22" s="830">
        <f t="shared" si="6"/>
        <v>0</v>
      </c>
      <c r="AD22" s="830">
        <f t="shared" si="6"/>
        <v>26925.934000000001</v>
      </c>
      <c r="AE22" s="830">
        <f t="shared" si="6"/>
        <v>0</v>
      </c>
      <c r="AF22" s="29"/>
      <c r="AG22" s="716"/>
    </row>
    <row r="23" spans="1:34" ht="75" x14ac:dyDescent="0.3">
      <c r="A23" s="51" t="s">
        <v>86</v>
      </c>
      <c r="B23" s="111"/>
      <c r="C23" s="111"/>
      <c r="D23" s="111"/>
      <c r="E23" s="111"/>
      <c r="F23" s="29"/>
      <c r="G23" s="29"/>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29"/>
      <c r="AG23" s="716"/>
    </row>
    <row r="24" spans="1:34" ht="18.75" x14ac:dyDescent="0.3">
      <c r="A24" s="13" t="s">
        <v>31</v>
      </c>
      <c r="B24" s="837">
        <f>B25</f>
        <v>41065.894999999997</v>
      </c>
      <c r="C24" s="830">
        <f>C25</f>
        <v>25573.3</v>
      </c>
      <c r="D24" s="830">
        <f>D25</f>
        <v>25573.3</v>
      </c>
      <c r="E24" s="830">
        <f>E25</f>
        <v>23667.285</v>
      </c>
      <c r="F24" s="32">
        <f>E24/B24*100</f>
        <v>57.63245875926971</v>
      </c>
      <c r="G24" s="32">
        <f>E24/C24*100</f>
        <v>92.546855509457131</v>
      </c>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29"/>
      <c r="AG24" s="716"/>
    </row>
    <row r="25" spans="1:34" ht="18.75" x14ac:dyDescent="0.3">
      <c r="A25" s="13" t="s">
        <v>33</v>
      </c>
      <c r="B25" s="830">
        <f>H25+J25+L25+N25+P25+R25+T25+V25+X25+Z25+AB25+AD25</f>
        <v>41065.894999999997</v>
      </c>
      <c r="C25" s="833">
        <f>H25+J25+L25+N25+P25+R25+T25</f>
        <v>25573.3</v>
      </c>
      <c r="D25" s="833">
        <f>H25+J25+L25+N25+P25+R25+T25</f>
        <v>25573.3</v>
      </c>
      <c r="E25" s="833">
        <f>I25+K25+M25+O25+Q25+S25+U25</f>
        <v>23667.285</v>
      </c>
      <c r="F25" s="32">
        <f>E25/B25*100</f>
        <v>57.63245875926971</v>
      </c>
      <c r="G25" s="32">
        <f>E25/C25*100</f>
        <v>92.546855509457131</v>
      </c>
      <c r="H25" s="870">
        <v>4622.8789999999999</v>
      </c>
      <c r="I25" s="870">
        <v>2728.5149999999999</v>
      </c>
      <c r="J25" s="870">
        <v>4534.2060000000001</v>
      </c>
      <c r="K25" s="870">
        <v>4153.1279999999997</v>
      </c>
      <c r="L25" s="870">
        <v>3372.5479999999998</v>
      </c>
      <c r="M25" s="870">
        <v>3487.1109999999999</v>
      </c>
      <c r="N25" s="870">
        <v>3143.3739999999998</v>
      </c>
      <c r="O25" s="870">
        <v>2969.4969999999998</v>
      </c>
      <c r="P25" s="870">
        <v>3379.6260000000002</v>
      </c>
      <c r="Q25" s="870">
        <v>2729.9</v>
      </c>
      <c r="R25" s="870">
        <v>3033.8290000000002</v>
      </c>
      <c r="S25" s="870">
        <v>3561.4609999999998</v>
      </c>
      <c r="T25" s="870">
        <v>3486.8380000000002</v>
      </c>
      <c r="U25" s="870">
        <v>4037.6729999999998</v>
      </c>
      <c r="V25" s="870">
        <v>2348.4830000000002</v>
      </c>
      <c r="W25" s="870">
        <v>0</v>
      </c>
      <c r="X25" s="870">
        <v>2811.6039999999998</v>
      </c>
      <c r="Y25" s="870">
        <v>0</v>
      </c>
      <c r="Z25" s="870">
        <v>2419.9389999999999</v>
      </c>
      <c r="AA25" s="870">
        <v>0</v>
      </c>
      <c r="AB25" s="870">
        <v>2563.098</v>
      </c>
      <c r="AC25" s="870">
        <v>0</v>
      </c>
      <c r="AD25" s="870">
        <v>5349.4709999999995</v>
      </c>
      <c r="AE25" s="870">
        <v>0</v>
      </c>
      <c r="AF25" s="807" t="s">
        <v>483</v>
      </c>
      <c r="AG25" s="716"/>
      <c r="AH25" s="46"/>
    </row>
    <row r="26" spans="1:34" ht="75" x14ac:dyDescent="0.3">
      <c r="A26" s="48" t="s">
        <v>87</v>
      </c>
      <c r="B26" s="111"/>
      <c r="C26" s="111"/>
      <c r="D26" s="111"/>
      <c r="E26" s="111"/>
      <c r="F26" s="29"/>
      <c r="G26" s="29"/>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808"/>
      <c r="AG26" s="716"/>
    </row>
    <row r="27" spans="1:34" ht="18.75" x14ac:dyDescent="0.3">
      <c r="A27" s="13" t="s">
        <v>31</v>
      </c>
      <c r="B27" s="836">
        <f>B28</f>
        <v>79218.89</v>
      </c>
      <c r="C27" s="111">
        <f>C28</f>
        <v>50972.077000000005</v>
      </c>
      <c r="D27" s="111">
        <f>D28</f>
        <v>50972.077000000005</v>
      </c>
      <c r="E27" s="111">
        <f>E28</f>
        <v>50972.082999999999</v>
      </c>
      <c r="F27" s="32">
        <f>E27/B27*100</f>
        <v>64.34334411906049</v>
      </c>
      <c r="G27" s="47">
        <f>E27/C27*100</f>
        <v>100.0000117711507</v>
      </c>
      <c r="H27" s="111">
        <f>H28</f>
        <v>6250.19</v>
      </c>
      <c r="I27" s="111">
        <f t="shared" ref="I27:AE27" si="7">I28</f>
        <v>6250.1940000000004</v>
      </c>
      <c r="J27" s="111">
        <f t="shared" si="7"/>
        <v>7648.817</v>
      </c>
      <c r="K27" s="111">
        <f t="shared" si="7"/>
        <v>7648.817</v>
      </c>
      <c r="L27" s="111">
        <f t="shared" si="7"/>
        <v>7329.79</v>
      </c>
      <c r="M27" s="111">
        <f t="shared" si="7"/>
        <v>7329.7910000000002</v>
      </c>
      <c r="N27" s="111">
        <f t="shared" si="7"/>
        <v>7481.92</v>
      </c>
      <c r="O27" s="111">
        <f t="shared" si="7"/>
        <v>7481.9189999999999</v>
      </c>
      <c r="P27" s="111">
        <f t="shared" si="7"/>
        <v>7307.25</v>
      </c>
      <c r="Q27" s="111">
        <f t="shared" si="7"/>
        <v>7307.25</v>
      </c>
      <c r="R27" s="111">
        <f t="shared" si="7"/>
        <v>7532.34</v>
      </c>
      <c r="S27" s="111">
        <f t="shared" si="7"/>
        <v>7532.3419999999996</v>
      </c>
      <c r="T27" s="111">
        <f t="shared" si="7"/>
        <v>7421.77</v>
      </c>
      <c r="U27" s="111">
        <f t="shared" si="7"/>
        <v>7421.77</v>
      </c>
      <c r="V27" s="111">
        <f t="shared" si="7"/>
        <v>6571.1930000000002</v>
      </c>
      <c r="W27" s="111">
        <f t="shared" si="7"/>
        <v>0</v>
      </c>
      <c r="X27" s="111">
        <f t="shared" si="7"/>
        <v>5816.335</v>
      </c>
      <c r="Y27" s="111">
        <f t="shared" si="7"/>
        <v>0</v>
      </c>
      <c r="Z27" s="111">
        <f t="shared" si="7"/>
        <v>5605.5739999999996</v>
      </c>
      <c r="AA27" s="111">
        <f t="shared" si="7"/>
        <v>0</v>
      </c>
      <c r="AB27" s="111">
        <f t="shared" si="7"/>
        <v>5157.3819999999996</v>
      </c>
      <c r="AC27" s="111">
        <f t="shared" si="7"/>
        <v>0</v>
      </c>
      <c r="AD27" s="111">
        <f t="shared" si="7"/>
        <v>5096.3289999999997</v>
      </c>
      <c r="AE27" s="111">
        <f t="shared" si="7"/>
        <v>0</v>
      </c>
      <c r="AF27" s="808"/>
      <c r="AG27" s="716"/>
    </row>
    <row r="28" spans="1:34" ht="18.75" x14ac:dyDescent="0.3">
      <c r="A28" s="14" t="s">
        <v>93</v>
      </c>
      <c r="B28" s="830">
        <f>B31+B34</f>
        <v>79218.89</v>
      </c>
      <c r="C28" s="830">
        <f>C31+C34</f>
        <v>50972.077000000005</v>
      </c>
      <c r="D28" s="830">
        <f>H28+J28+L28+N28+P28+R28+T28</f>
        <v>50972.077000000005</v>
      </c>
      <c r="E28" s="830">
        <f>E31+E34</f>
        <v>50972.082999999999</v>
      </c>
      <c r="F28" s="32">
        <f>E28/B28*100</f>
        <v>64.34334411906049</v>
      </c>
      <c r="G28" s="47">
        <f>E28/C28*100</f>
        <v>100.0000117711507</v>
      </c>
      <c r="H28" s="830">
        <f>H31+H34</f>
        <v>6250.19</v>
      </c>
      <c r="I28" s="830">
        <f>I31+I34</f>
        <v>6250.1940000000004</v>
      </c>
      <c r="J28" s="830">
        <f t="shared" ref="J28:AE28" si="8">J31+J34</f>
        <v>7648.817</v>
      </c>
      <c r="K28" s="830">
        <f t="shared" si="8"/>
        <v>7648.817</v>
      </c>
      <c r="L28" s="830">
        <f t="shared" si="8"/>
        <v>7329.79</v>
      </c>
      <c r="M28" s="830">
        <f t="shared" si="8"/>
        <v>7329.7910000000002</v>
      </c>
      <c r="N28" s="830">
        <f t="shared" si="8"/>
        <v>7481.92</v>
      </c>
      <c r="O28" s="830">
        <f t="shared" si="8"/>
        <v>7481.9189999999999</v>
      </c>
      <c r="P28" s="830">
        <f t="shared" si="8"/>
        <v>7307.25</v>
      </c>
      <c r="Q28" s="830">
        <f t="shared" si="8"/>
        <v>7307.25</v>
      </c>
      <c r="R28" s="830">
        <f t="shared" si="8"/>
        <v>7532.34</v>
      </c>
      <c r="S28" s="830">
        <f t="shared" si="8"/>
        <v>7532.3419999999996</v>
      </c>
      <c r="T28" s="830">
        <f t="shared" si="8"/>
        <v>7421.77</v>
      </c>
      <c r="U28" s="830">
        <f t="shared" si="8"/>
        <v>7421.77</v>
      </c>
      <c r="V28" s="830">
        <f t="shared" si="8"/>
        <v>6571.1930000000002</v>
      </c>
      <c r="W28" s="830">
        <f t="shared" si="8"/>
        <v>0</v>
      </c>
      <c r="X28" s="830">
        <f t="shared" si="8"/>
        <v>5816.335</v>
      </c>
      <c r="Y28" s="830">
        <f t="shared" si="8"/>
        <v>0</v>
      </c>
      <c r="Z28" s="830">
        <f t="shared" si="8"/>
        <v>5605.5739999999996</v>
      </c>
      <c r="AA28" s="830">
        <f t="shared" si="8"/>
        <v>0</v>
      </c>
      <c r="AB28" s="830">
        <f t="shared" si="8"/>
        <v>5157.3819999999996</v>
      </c>
      <c r="AC28" s="830">
        <f t="shared" si="8"/>
        <v>0</v>
      </c>
      <c r="AD28" s="830">
        <f t="shared" si="8"/>
        <v>5096.3289999999997</v>
      </c>
      <c r="AE28" s="830">
        <f t="shared" si="8"/>
        <v>0</v>
      </c>
      <c r="AF28" s="809"/>
      <c r="AG28" s="716"/>
    </row>
    <row r="29" spans="1:34" ht="409.5" x14ac:dyDescent="0.3">
      <c r="A29" s="14" t="s">
        <v>88</v>
      </c>
      <c r="B29" s="830"/>
      <c r="C29" s="833"/>
      <c r="D29" s="833"/>
      <c r="E29" s="833"/>
      <c r="F29" s="32"/>
      <c r="G29" s="47"/>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c r="AE29" s="830"/>
      <c r="AF29" s="942" t="s">
        <v>615</v>
      </c>
      <c r="AG29" s="716"/>
    </row>
    <row r="30" spans="1:34" ht="18.75" x14ac:dyDescent="0.3">
      <c r="A30" s="13" t="s">
        <v>31</v>
      </c>
      <c r="B30" s="833">
        <f>B31</f>
        <v>77762.89</v>
      </c>
      <c r="C30" s="833">
        <f>C31</f>
        <v>50972.077000000005</v>
      </c>
      <c r="D30" s="833">
        <f>D31</f>
        <v>50972.077000000005</v>
      </c>
      <c r="E30" s="833">
        <f>E31</f>
        <v>50972.082999999999</v>
      </c>
      <c r="F30" s="32">
        <f>E30/B30*100</f>
        <v>65.548082125034185</v>
      </c>
      <c r="G30" s="47">
        <f>E30/C30*100</f>
        <v>100.0000117711507</v>
      </c>
      <c r="H30" s="830">
        <f>H31</f>
        <v>6250.19</v>
      </c>
      <c r="I30" s="830">
        <f t="shared" ref="I30:AE30" si="9">I31</f>
        <v>6250.1940000000004</v>
      </c>
      <c r="J30" s="830">
        <f t="shared" si="9"/>
        <v>7648.817</v>
      </c>
      <c r="K30" s="830">
        <f t="shared" si="9"/>
        <v>7648.817</v>
      </c>
      <c r="L30" s="830">
        <f t="shared" si="9"/>
        <v>7329.79</v>
      </c>
      <c r="M30" s="830">
        <f t="shared" si="9"/>
        <v>7329.7910000000002</v>
      </c>
      <c r="N30" s="830">
        <f t="shared" si="9"/>
        <v>7481.92</v>
      </c>
      <c r="O30" s="830">
        <f t="shared" si="9"/>
        <v>7481.9189999999999</v>
      </c>
      <c r="P30" s="830">
        <f t="shared" si="9"/>
        <v>7307.25</v>
      </c>
      <c r="Q30" s="830">
        <f t="shared" si="9"/>
        <v>7307.25</v>
      </c>
      <c r="R30" s="830">
        <f t="shared" si="9"/>
        <v>7532.34</v>
      </c>
      <c r="S30" s="830">
        <f t="shared" si="9"/>
        <v>7532.3419999999996</v>
      </c>
      <c r="T30" s="830">
        <f t="shared" si="9"/>
        <v>7421.77</v>
      </c>
      <c r="U30" s="830">
        <f t="shared" si="9"/>
        <v>7421.77</v>
      </c>
      <c r="V30" s="830">
        <f t="shared" si="9"/>
        <v>6571.1930000000002</v>
      </c>
      <c r="W30" s="830">
        <f t="shared" si="9"/>
        <v>0</v>
      </c>
      <c r="X30" s="830">
        <f t="shared" si="9"/>
        <v>4360.335</v>
      </c>
      <c r="Y30" s="830">
        <f t="shared" si="9"/>
        <v>0</v>
      </c>
      <c r="Z30" s="830">
        <f t="shared" si="9"/>
        <v>5605.5739999999996</v>
      </c>
      <c r="AA30" s="830">
        <f t="shared" si="9"/>
        <v>0</v>
      </c>
      <c r="AB30" s="830">
        <f t="shared" si="9"/>
        <v>5157.3819999999996</v>
      </c>
      <c r="AC30" s="830">
        <f t="shared" si="9"/>
        <v>0</v>
      </c>
      <c r="AD30" s="830">
        <f t="shared" si="9"/>
        <v>5096.3289999999997</v>
      </c>
      <c r="AE30" s="830">
        <f t="shared" si="9"/>
        <v>0</v>
      </c>
      <c r="AF30" s="943"/>
      <c r="AG30" s="716"/>
    </row>
    <row r="31" spans="1:34" s="653" customFormat="1" ht="18.75" x14ac:dyDescent="0.3">
      <c r="A31" s="13" t="s">
        <v>33</v>
      </c>
      <c r="B31" s="833">
        <f>H31+J31+L31+N31+P31+R31+T31+V31+X31+Z31+AB31+AD31</f>
        <v>77762.89</v>
      </c>
      <c r="C31" s="833">
        <f>H31+J31+L31+N31+P31+R31+T31</f>
        <v>50972.077000000005</v>
      </c>
      <c r="D31" s="833">
        <f>H31+J31+L31+N31+P31+R31+T31</f>
        <v>50972.077000000005</v>
      </c>
      <c r="E31" s="833">
        <f>I31+K31+M31+O31+Q31+S31+U31</f>
        <v>50972.082999999999</v>
      </c>
      <c r="F31" s="47">
        <f>D31/B31*100</f>
        <v>65.548074409271578</v>
      </c>
      <c r="G31" s="47">
        <f>E31/C31*100</f>
        <v>100.0000117711507</v>
      </c>
      <c r="H31" s="870">
        <v>6250.19</v>
      </c>
      <c r="I31" s="870">
        <v>6250.1940000000004</v>
      </c>
      <c r="J31" s="870">
        <v>7648.817</v>
      </c>
      <c r="K31" s="870">
        <v>7648.817</v>
      </c>
      <c r="L31" s="870">
        <v>7329.79</v>
      </c>
      <c r="M31" s="870">
        <v>7329.7910000000002</v>
      </c>
      <c r="N31" s="870">
        <v>7481.92</v>
      </c>
      <c r="O31" s="870">
        <v>7481.9189999999999</v>
      </c>
      <c r="P31" s="870">
        <v>7307.25</v>
      </c>
      <c r="Q31" s="870">
        <v>7307.25</v>
      </c>
      <c r="R31" s="870">
        <v>7532.34</v>
      </c>
      <c r="S31" s="870">
        <v>7532.3419999999996</v>
      </c>
      <c r="T31" s="870">
        <v>7421.77</v>
      </c>
      <c r="U31" s="870">
        <v>7421.77</v>
      </c>
      <c r="V31" s="870">
        <v>6571.1930000000002</v>
      </c>
      <c r="W31" s="870"/>
      <c r="X31" s="870">
        <v>4360.335</v>
      </c>
      <c r="Y31" s="870"/>
      <c r="Z31" s="870">
        <v>5605.5739999999996</v>
      </c>
      <c r="AA31" s="870"/>
      <c r="AB31" s="870">
        <v>5157.3819999999996</v>
      </c>
      <c r="AC31" s="870"/>
      <c r="AD31" s="870">
        <v>5096.3289999999997</v>
      </c>
      <c r="AE31" s="870"/>
      <c r="AF31" s="943"/>
      <c r="AG31" s="717"/>
      <c r="AH31" s="719"/>
    </row>
    <row r="32" spans="1:34" ht="168.75" x14ac:dyDescent="0.3">
      <c r="A32" s="13" t="s">
        <v>89</v>
      </c>
      <c r="B32" s="830"/>
      <c r="C32" s="833"/>
      <c r="D32" s="833"/>
      <c r="E32" s="833"/>
      <c r="F32" s="32"/>
      <c r="G32" s="47"/>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c r="AE32" s="830"/>
      <c r="AF32" s="944"/>
      <c r="AG32" s="716"/>
    </row>
    <row r="33" spans="1:33" ht="18.75" x14ac:dyDescent="0.3">
      <c r="A33" s="13" t="s">
        <v>31</v>
      </c>
      <c r="B33" s="833">
        <f>B34</f>
        <v>1456</v>
      </c>
      <c r="C33" s="833">
        <f>C34</f>
        <v>0</v>
      </c>
      <c r="D33" s="833">
        <f>D34</f>
        <v>0</v>
      </c>
      <c r="E33" s="833">
        <f>E34</f>
        <v>0</v>
      </c>
      <c r="F33" s="32">
        <f>E33/B33*100</f>
        <v>0</v>
      </c>
      <c r="G33" s="47" t="e">
        <f>E33/C33*100</f>
        <v>#DIV/0!</v>
      </c>
      <c r="H33" s="830"/>
      <c r="I33" s="830"/>
      <c r="J33" s="830"/>
      <c r="K33" s="830"/>
      <c r="L33" s="830"/>
      <c r="M33" s="830"/>
      <c r="N33" s="830"/>
      <c r="O33" s="830"/>
      <c r="P33" s="830"/>
      <c r="Q33" s="830"/>
      <c r="R33" s="830"/>
      <c r="S33" s="830"/>
      <c r="T33" s="830"/>
      <c r="U33" s="830"/>
      <c r="V33" s="830"/>
      <c r="W33" s="830"/>
      <c r="X33" s="830"/>
      <c r="Y33" s="830"/>
      <c r="Z33" s="830"/>
      <c r="AA33" s="830"/>
      <c r="AB33" s="830"/>
      <c r="AC33" s="830"/>
      <c r="AD33" s="830"/>
      <c r="AE33" s="830"/>
      <c r="AF33" s="47"/>
      <c r="AG33" s="716"/>
    </row>
    <row r="34" spans="1:33" ht="18.75" x14ac:dyDescent="0.3">
      <c r="A34" s="13" t="s">
        <v>33</v>
      </c>
      <c r="B34" s="833">
        <f>H34+J34+L34+N34+P34+R34+T34+V34+X34+Z34+AB34+AD34</f>
        <v>1456</v>
      </c>
      <c r="C34" s="833">
        <f>H34</f>
        <v>0</v>
      </c>
      <c r="D34" s="833"/>
      <c r="E34" s="833">
        <f>I34</f>
        <v>0</v>
      </c>
      <c r="F34" s="47">
        <f>D34/B34*100</f>
        <v>0</v>
      </c>
      <c r="G34" s="47" t="e">
        <f>E34/C34*100</f>
        <v>#DIV/0!</v>
      </c>
      <c r="H34" s="830">
        <v>0</v>
      </c>
      <c r="I34" s="830"/>
      <c r="J34" s="830">
        <v>0</v>
      </c>
      <c r="K34" s="830"/>
      <c r="L34" s="830">
        <v>0</v>
      </c>
      <c r="M34" s="830"/>
      <c r="N34" s="830">
        <v>0</v>
      </c>
      <c r="O34" s="830"/>
      <c r="P34" s="830">
        <v>0</v>
      </c>
      <c r="Q34" s="830"/>
      <c r="R34" s="830">
        <v>0</v>
      </c>
      <c r="S34" s="830"/>
      <c r="T34" s="830">
        <v>0</v>
      </c>
      <c r="U34" s="830"/>
      <c r="V34" s="830">
        <v>0</v>
      </c>
      <c r="W34" s="830"/>
      <c r="X34" s="830">
        <v>1456</v>
      </c>
      <c r="Y34" s="830"/>
      <c r="Z34" s="830">
        <v>0</v>
      </c>
      <c r="AA34" s="830"/>
      <c r="AB34" s="830">
        <v>0</v>
      </c>
      <c r="AC34" s="830"/>
      <c r="AD34" s="830">
        <v>0</v>
      </c>
      <c r="AE34" s="830"/>
      <c r="AF34" s="47"/>
      <c r="AG34" s="716"/>
    </row>
    <row r="35" spans="1:33" ht="56.25" x14ac:dyDescent="0.3">
      <c r="A35" s="48" t="s">
        <v>90</v>
      </c>
      <c r="B35" s="830"/>
      <c r="C35" s="833"/>
      <c r="D35" s="833"/>
      <c r="E35" s="833"/>
      <c r="F35" s="32"/>
      <c r="G35" s="47"/>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c r="AE35" s="830"/>
      <c r="AF35" s="47"/>
      <c r="AG35" s="716"/>
    </row>
    <row r="36" spans="1:33" ht="18.75" x14ac:dyDescent="0.3">
      <c r="A36" s="13" t="s">
        <v>31</v>
      </c>
      <c r="B36" s="838">
        <f>B37</f>
        <v>155026.432</v>
      </c>
      <c r="C36" s="833">
        <f>C37</f>
        <v>96106.191000000006</v>
      </c>
      <c r="D36" s="833">
        <f>C36</f>
        <v>96106.191000000006</v>
      </c>
      <c r="E36" s="833">
        <f>E37</f>
        <v>86902.264999999999</v>
      </c>
      <c r="F36" s="32">
        <f>E36/B36*100</f>
        <v>56.056418172612013</v>
      </c>
      <c r="G36" s="47">
        <f>E36/C36*100</f>
        <v>90.423170553081221</v>
      </c>
      <c r="H36" s="830">
        <f>H37</f>
        <v>9322.1929999999993</v>
      </c>
      <c r="I36" s="830">
        <f t="shared" ref="I36:AE36" si="10">I37</f>
        <v>8417.2170000000006</v>
      </c>
      <c r="J36" s="830">
        <f t="shared" si="10"/>
        <v>15651.73</v>
      </c>
      <c r="K36" s="830">
        <f t="shared" si="10"/>
        <v>15007.847</v>
      </c>
      <c r="L36" s="830">
        <f t="shared" si="10"/>
        <v>10534.123</v>
      </c>
      <c r="M36" s="830">
        <f t="shared" si="10"/>
        <v>9181.9920000000002</v>
      </c>
      <c r="N36" s="830">
        <f t="shared" si="10"/>
        <v>14923.394</v>
      </c>
      <c r="O36" s="830">
        <f t="shared" si="10"/>
        <v>13393.883</v>
      </c>
      <c r="P36" s="830">
        <f t="shared" si="10"/>
        <v>10603.39</v>
      </c>
      <c r="Q36" s="830">
        <f t="shared" si="10"/>
        <v>10984.352000000001</v>
      </c>
      <c r="R36" s="830">
        <f>R37</f>
        <v>15010.114</v>
      </c>
      <c r="S36" s="830">
        <f t="shared" si="10"/>
        <v>11750.573</v>
      </c>
      <c r="T36" s="830">
        <f t="shared" si="10"/>
        <v>20061.246999999999</v>
      </c>
      <c r="U36" s="830">
        <f t="shared" si="10"/>
        <v>18166.401000000002</v>
      </c>
      <c r="V36" s="830">
        <f t="shared" si="10"/>
        <v>12834.387000000001</v>
      </c>
      <c r="W36" s="830">
        <f t="shared" si="10"/>
        <v>0</v>
      </c>
      <c r="X36" s="830">
        <f t="shared" si="10"/>
        <v>9138.68</v>
      </c>
      <c r="Y36" s="830">
        <f t="shared" si="10"/>
        <v>0</v>
      </c>
      <c r="Z36" s="830">
        <f t="shared" si="10"/>
        <v>13091.684999999999</v>
      </c>
      <c r="AA36" s="830">
        <f t="shared" si="10"/>
        <v>0</v>
      </c>
      <c r="AB36" s="830">
        <f t="shared" si="10"/>
        <v>10317.897000000001</v>
      </c>
      <c r="AC36" s="830">
        <f t="shared" si="10"/>
        <v>0</v>
      </c>
      <c r="AD36" s="830">
        <f t="shared" si="10"/>
        <v>13537.592000000001</v>
      </c>
      <c r="AE36" s="830">
        <f t="shared" si="10"/>
        <v>0</v>
      </c>
      <c r="AF36" s="995"/>
      <c r="AG36" s="716"/>
    </row>
    <row r="37" spans="1:33" ht="246" customHeight="1" x14ac:dyDescent="0.3">
      <c r="A37" s="13" t="s">
        <v>33</v>
      </c>
      <c r="B37" s="833">
        <f>H37+J37+L37+N37+P37+R37+T37+V37+X37+Z37+AB37+AD37</f>
        <v>155026.432</v>
      </c>
      <c r="C37" s="833">
        <f>H37+J37+L37+N37+P37+R37+T37</f>
        <v>96106.191000000006</v>
      </c>
      <c r="D37" s="833">
        <f>C37</f>
        <v>96106.191000000006</v>
      </c>
      <c r="E37" s="833">
        <f>I37+K37+M37+O37+Q37+S37+U37</f>
        <v>86902.264999999999</v>
      </c>
      <c r="F37" s="32">
        <f>D37/B37*100</f>
        <v>61.993422515200514</v>
      </c>
      <c r="G37" s="47">
        <f>E37/C37*100</f>
        <v>90.423170553081221</v>
      </c>
      <c r="H37" s="938">
        <v>9322.1929999999993</v>
      </c>
      <c r="I37" s="938">
        <v>8417.2170000000006</v>
      </c>
      <c r="J37" s="938">
        <v>15651.73</v>
      </c>
      <c r="K37" s="938">
        <v>15007.847</v>
      </c>
      <c r="L37" s="938">
        <v>10534.123</v>
      </c>
      <c r="M37" s="938">
        <v>9181.9920000000002</v>
      </c>
      <c r="N37" s="938">
        <v>14923.394</v>
      </c>
      <c r="O37" s="938">
        <v>13393.883</v>
      </c>
      <c r="P37" s="938">
        <v>10603.39</v>
      </c>
      <c r="Q37" s="938">
        <v>10984.352000000001</v>
      </c>
      <c r="R37" s="938">
        <v>15010.114</v>
      </c>
      <c r="S37" s="938">
        <v>11750.573</v>
      </c>
      <c r="T37" s="938">
        <v>20061.246999999999</v>
      </c>
      <c r="U37" s="938">
        <v>18166.401000000002</v>
      </c>
      <c r="V37" s="938">
        <v>12834.387000000001</v>
      </c>
      <c r="W37" s="938">
        <v>0</v>
      </c>
      <c r="X37" s="938">
        <v>9138.68</v>
      </c>
      <c r="Y37" s="938">
        <v>0</v>
      </c>
      <c r="Z37" s="938">
        <v>13091.684999999999</v>
      </c>
      <c r="AA37" s="938">
        <v>0</v>
      </c>
      <c r="AB37" s="938">
        <v>10317.897000000001</v>
      </c>
      <c r="AC37" s="938">
        <v>0</v>
      </c>
      <c r="AD37" s="938">
        <v>13537.592000000001</v>
      </c>
      <c r="AE37" s="938">
        <v>0</v>
      </c>
      <c r="AF37" s="993" t="s">
        <v>613</v>
      </c>
      <c r="AG37" s="716"/>
    </row>
    <row r="38" spans="1:33" ht="112.5" x14ac:dyDescent="0.3">
      <c r="A38" s="48" t="s">
        <v>91</v>
      </c>
      <c r="B38" s="830"/>
      <c r="C38" s="833"/>
      <c r="D38" s="833"/>
      <c r="E38" s="833"/>
      <c r="F38" s="32"/>
      <c r="G38" s="47"/>
      <c r="H38" s="830"/>
      <c r="I38" s="830"/>
      <c r="J38" s="830"/>
      <c r="K38" s="830"/>
      <c r="L38" s="830"/>
      <c r="M38" s="830"/>
      <c r="N38" s="830"/>
      <c r="O38" s="830"/>
      <c r="P38" s="830"/>
      <c r="Q38" s="830"/>
      <c r="R38" s="830"/>
      <c r="S38" s="830"/>
      <c r="T38" s="830"/>
      <c r="U38" s="830"/>
      <c r="V38" s="830"/>
      <c r="W38" s="830"/>
      <c r="X38" s="830"/>
      <c r="Y38" s="830"/>
      <c r="Z38" s="830"/>
      <c r="AA38" s="830"/>
      <c r="AB38" s="830"/>
      <c r="AC38" s="830"/>
      <c r="AD38" s="830"/>
      <c r="AE38" s="830"/>
      <c r="AF38" s="994"/>
      <c r="AG38" s="716"/>
    </row>
    <row r="39" spans="1:33" ht="18.75" x14ac:dyDescent="0.3">
      <c r="A39" s="13" t="s">
        <v>31</v>
      </c>
      <c r="B39" s="838">
        <f>B40</f>
        <v>27895.678000000004</v>
      </c>
      <c r="C39" s="833">
        <f>C40</f>
        <v>16044.744999999999</v>
      </c>
      <c r="D39" s="833">
        <f>C39</f>
        <v>16044.744999999999</v>
      </c>
      <c r="E39" s="833">
        <f>E40</f>
        <v>14639.523000000001</v>
      </c>
      <c r="F39" s="32">
        <f>E39/B39*100</f>
        <v>52.479538228108311</v>
      </c>
      <c r="G39" s="47">
        <f>E39/C39*100</f>
        <v>91.241855199319161</v>
      </c>
      <c r="H39" s="830">
        <f>H40</f>
        <v>1526.4590000000001</v>
      </c>
      <c r="I39" s="830">
        <f t="shared" ref="I39:AE39" si="11">I40</f>
        <v>528.29300000000001</v>
      </c>
      <c r="J39" s="830">
        <f t="shared" si="11"/>
        <v>2274.777</v>
      </c>
      <c r="K39" s="830">
        <f t="shared" si="11"/>
        <v>2456.3969999999999</v>
      </c>
      <c r="L39" s="830">
        <f t="shared" si="11"/>
        <v>2456.7040000000002</v>
      </c>
      <c r="M39" s="830">
        <f t="shared" si="11"/>
        <v>1759.723</v>
      </c>
      <c r="N39" s="830">
        <f t="shared" si="11"/>
        <v>2377.7020000000002</v>
      </c>
      <c r="O39" s="830">
        <f t="shared" si="11"/>
        <v>2145.373</v>
      </c>
      <c r="P39" s="830">
        <f t="shared" si="11"/>
        <v>2705.114</v>
      </c>
      <c r="Q39" s="830">
        <f t="shared" si="11"/>
        <v>2228.4760000000001</v>
      </c>
      <c r="R39" s="830">
        <f t="shared" si="11"/>
        <v>2370.5439999999999</v>
      </c>
      <c r="S39" s="830">
        <f t="shared" si="11"/>
        <v>2604.7240000000002</v>
      </c>
      <c r="T39" s="830">
        <f t="shared" si="11"/>
        <v>2333.4450000000002</v>
      </c>
      <c r="U39" s="830">
        <f t="shared" si="11"/>
        <v>2916.5369999999998</v>
      </c>
      <c r="V39" s="830">
        <f t="shared" si="11"/>
        <v>2221.2570000000001</v>
      </c>
      <c r="W39" s="830">
        <f t="shared" si="11"/>
        <v>0</v>
      </c>
      <c r="X39" s="830">
        <f t="shared" si="11"/>
        <v>2218.5990000000002</v>
      </c>
      <c r="Y39" s="830">
        <f t="shared" si="11"/>
        <v>0</v>
      </c>
      <c r="Z39" s="830">
        <f t="shared" si="11"/>
        <v>2229.2689999999998</v>
      </c>
      <c r="AA39" s="830">
        <f t="shared" si="11"/>
        <v>0</v>
      </c>
      <c r="AB39" s="830">
        <f t="shared" si="11"/>
        <v>2239.2660000000001</v>
      </c>
      <c r="AC39" s="830">
        <f t="shared" si="11"/>
        <v>0</v>
      </c>
      <c r="AD39" s="830">
        <f t="shared" si="11"/>
        <v>2942.5419999999999</v>
      </c>
      <c r="AE39" s="830">
        <f t="shared" si="11"/>
        <v>0</v>
      </c>
      <c r="AF39" s="940"/>
      <c r="AG39" s="716"/>
    </row>
    <row r="40" spans="1:33" ht="18.75" x14ac:dyDescent="0.3">
      <c r="A40" s="13" t="s">
        <v>33</v>
      </c>
      <c r="B40" s="833">
        <f>H40+J40+L40+N40+P40+R40+T40+V40+X40+Z40+AB40+AD40</f>
        <v>27895.678000000004</v>
      </c>
      <c r="C40" s="833">
        <f>H40+J40+L40+N40+P40+R40+T40</f>
        <v>16044.744999999999</v>
      </c>
      <c r="D40" s="833">
        <f>C40</f>
        <v>16044.744999999999</v>
      </c>
      <c r="E40" s="833">
        <f>I40+K40+M40+O40+Q40+S40+U40</f>
        <v>14639.523000000001</v>
      </c>
      <c r="F40" s="32">
        <f>D40/B40*100</f>
        <v>57.516956569401167</v>
      </c>
      <c r="G40" s="47">
        <f>E40/C40*100</f>
        <v>91.241855199319161</v>
      </c>
      <c r="H40" s="870">
        <v>1526.4590000000001</v>
      </c>
      <c r="I40" s="870">
        <v>528.29300000000001</v>
      </c>
      <c r="J40" s="870">
        <v>2274.777</v>
      </c>
      <c r="K40" s="870">
        <v>2456.3969999999999</v>
      </c>
      <c r="L40" s="870">
        <v>2456.7040000000002</v>
      </c>
      <c r="M40" s="870">
        <v>1759.723</v>
      </c>
      <c r="N40" s="870">
        <v>2377.7020000000002</v>
      </c>
      <c r="O40" s="870">
        <v>2145.373</v>
      </c>
      <c r="P40" s="870">
        <v>2705.114</v>
      </c>
      <c r="Q40" s="870">
        <v>2228.4760000000001</v>
      </c>
      <c r="R40" s="870">
        <v>2370.5439999999999</v>
      </c>
      <c r="S40" s="870">
        <v>2604.7240000000002</v>
      </c>
      <c r="T40" s="870">
        <v>2333.4450000000002</v>
      </c>
      <c r="U40" s="870">
        <v>2916.5369999999998</v>
      </c>
      <c r="V40" s="870">
        <v>2221.2570000000001</v>
      </c>
      <c r="W40" s="870">
        <v>0</v>
      </c>
      <c r="X40" s="870">
        <v>2218.5990000000002</v>
      </c>
      <c r="Y40" s="870">
        <v>0</v>
      </c>
      <c r="Z40" s="870">
        <v>2229.2689999999998</v>
      </c>
      <c r="AA40" s="870">
        <v>0</v>
      </c>
      <c r="AB40" s="870">
        <v>2239.2660000000001</v>
      </c>
      <c r="AC40" s="870">
        <v>0</v>
      </c>
      <c r="AD40" s="870">
        <v>2942.5419999999999</v>
      </c>
      <c r="AE40" s="870">
        <v>0</v>
      </c>
      <c r="AF40" s="940"/>
      <c r="AG40" s="716"/>
    </row>
    <row r="41" spans="1:33" ht="18.75" x14ac:dyDescent="0.3">
      <c r="A41" s="56" t="s">
        <v>35</v>
      </c>
      <c r="B41" s="830"/>
      <c r="C41" s="833"/>
      <c r="D41" s="833"/>
      <c r="E41" s="833"/>
      <c r="F41" s="47"/>
      <c r="G41" s="47"/>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941"/>
      <c r="AG41" s="716"/>
    </row>
    <row r="42" spans="1:33" ht="18.75" x14ac:dyDescent="0.3">
      <c r="A42" s="13" t="s">
        <v>31</v>
      </c>
      <c r="B42" s="830">
        <f>B43</f>
        <v>303206.89500000002</v>
      </c>
      <c r="C42" s="830">
        <f>C43</f>
        <v>188696.31300000002</v>
      </c>
      <c r="D42" s="830">
        <f>D43</f>
        <v>188696.31300000002</v>
      </c>
      <c r="E42" s="830">
        <f>E43</f>
        <v>176181.15600000002</v>
      </c>
      <c r="F42" s="47">
        <f>D42/B42*100</f>
        <v>62.23351649044789</v>
      </c>
      <c r="G42" s="47">
        <f>E42/C42*100</f>
        <v>93.367566752615886</v>
      </c>
      <c r="H42" s="830">
        <f t="shared" ref="H42:AE42" si="12">H43</f>
        <v>21721.720999999998</v>
      </c>
      <c r="I42" s="830">
        <f t="shared" si="12"/>
        <v>17924.219000000001</v>
      </c>
      <c r="J42" s="830">
        <f t="shared" si="12"/>
        <v>30109.53</v>
      </c>
      <c r="K42" s="830">
        <f t="shared" si="12"/>
        <v>29266.189000000002</v>
      </c>
      <c r="L42" s="830">
        <f t="shared" si="12"/>
        <v>23693.165000000001</v>
      </c>
      <c r="M42" s="830">
        <f t="shared" si="12"/>
        <v>21758.616999999998</v>
      </c>
      <c r="N42" s="830">
        <f t="shared" si="12"/>
        <v>27926.390000000003</v>
      </c>
      <c r="O42" s="830">
        <f t="shared" si="12"/>
        <v>25990.671999999999</v>
      </c>
      <c r="P42" s="830">
        <f t="shared" si="12"/>
        <v>23995.38</v>
      </c>
      <c r="Q42" s="830">
        <f t="shared" si="12"/>
        <v>23249.977999999999</v>
      </c>
      <c r="R42" s="830">
        <f t="shared" si="12"/>
        <v>27946.826999999997</v>
      </c>
      <c r="S42" s="830">
        <f t="shared" si="12"/>
        <v>25449.1</v>
      </c>
      <c r="T42" s="830">
        <f t="shared" si="12"/>
        <v>33303.300000000003</v>
      </c>
      <c r="U42" s="830">
        <f t="shared" si="12"/>
        <v>32542.381000000001</v>
      </c>
      <c r="V42" s="830">
        <f t="shared" si="12"/>
        <v>23975.320000000003</v>
      </c>
      <c r="W42" s="830">
        <f t="shared" si="12"/>
        <v>0</v>
      </c>
      <c r="X42" s="830">
        <f t="shared" si="12"/>
        <v>19985.218000000001</v>
      </c>
      <c r="Y42" s="830">
        <f t="shared" si="12"/>
        <v>0</v>
      </c>
      <c r="Z42" s="830">
        <f t="shared" si="12"/>
        <v>23346.466999999997</v>
      </c>
      <c r="AA42" s="830">
        <f t="shared" si="12"/>
        <v>0</v>
      </c>
      <c r="AB42" s="830">
        <f t="shared" si="12"/>
        <v>20277.643</v>
      </c>
      <c r="AC42" s="830">
        <f t="shared" si="12"/>
        <v>0</v>
      </c>
      <c r="AD42" s="830">
        <f t="shared" si="12"/>
        <v>26925.934000000001</v>
      </c>
      <c r="AE42" s="830">
        <f t="shared" si="12"/>
        <v>0</v>
      </c>
      <c r="AF42" s="810"/>
      <c r="AG42" s="716"/>
    </row>
    <row r="43" spans="1:33" ht="18.75" x14ac:dyDescent="0.3">
      <c r="A43" s="13" t="s">
        <v>33</v>
      </c>
      <c r="B43" s="830">
        <f>B22</f>
        <v>303206.89500000002</v>
      </c>
      <c r="C43" s="830">
        <f>C22</f>
        <v>188696.31300000002</v>
      </c>
      <c r="D43" s="830">
        <f>D22</f>
        <v>188696.31300000002</v>
      </c>
      <c r="E43" s="830">
        <f>E22</f>
        <v>176181.15600000002</v>
      </c>
      <c r="F43" s="47">
        <f>D43/B43*100</f>
        <v>62.23351649044789</v>
      </c>
      <c r="G43" s="47">
        <f>E43/C43*100</f>
        <v>93.367566752615886</v>
      </c>
      <c r="H43" s="830">
        <f>H22</f>
        <v>21721.720999999998</v>
      </c>
      <c r="I43" s="830">
        <f>I22</f>
        <v>17924.219000000001</v>
      </c>
      <c r="J43" s="830">
        <f t="shared" ref="J43:AE43" si="13">J22</f>
        <v>30109.53</v>
      </c>
      <c r="K43" s="830">
        <f t="shared" si="13"/>
        <v>29266.189000000002</v>
      </c>
      <c r="L43" s="830">
        <f t="shared" si="13"/>
        <v>23693.165000000001</v>
      </c>
      <c r="M43" s="830">
        <f t="shared" si="13"/>
        <v>21758.616999999998</v>
      </c>
      <c r="N43" s="830">
        <f t="shared" si="13"/>
        <v>27926.390000000003</v>
      </c>
      <c r="O43" s="830">
        <f t="shared" si="13"/>
        <v>25990.671999999999</v>
      </c>
      <c r="P43" s="830">
        <f t="shared" si="13"/>
        <v>23995.38</v>
      </c>
      <c r="Q43" s="830">
        <f t="shared" si="13"/>
        <v>23249.977999999999</v>
      </c>
      <c r="R43" s="830">
        <f t="shared" si="13"/>
        <v>27946.826999999997</v>
      </c>
      <c r="S43" s="830">
        <f t="shared" si="13"/>
        <v>25449.1</v>
      </c>
      <c r="T43" s="830">
        <f t="shared" si="13"/>
        <v>33303.300000000003</v>
      </c>
      <c r="U43" s="830">
        <f t="shared" si="13"/>
        <v>32542.381000000001</v>
      </c>
      <c r="V43" s="830">
        <f t="shared" si="13"/>
        <v>23975.320000000003</v>
      </c>
      <c r="W43" s="830">
        <f t="shared" si="13"/>
        <v>0</v>
      </c>
      <c r="X43" s="830">
        <f t="shared" si="13"/>
        <v>19985.218000000001</v>
      </c>
      <c r="Y43" s="830">
        <f t="shared" si="13"/>
        <v>0</v>
      </c>
      <c r="Z43" s="830">
        <f t="shared" si="13"/>
        <v>23346.466999999997</v>
      </c>
      <c r="AA43" s="830">
        <f t="shared" si="13"/>
        <v>0</v>
      </c>
      <c r="AB43" s="830">
        <f t="shared" si="13"/>
        <v>20277.643</v>
      </c>
      <c r="AC43" s="830">
        <f t="shared" si="13"/>
        <v>0</v>
      </c>
      <c r="AD43" s="830">
        <f t="shared" si="13"/>
        <v>26925.934000000001</v>
      </c>
      <c r="AE43" s="830">
        <f t="shared" si="13"/>
        <v>0</v>
      </c>
      <c r="AF43" s="809"/>
      <c r="AG43" s="716"/>
    </row>
    <row r="44" spans="1:33" ht="37.5" x14ac:dyDescent="0.3">
      <c r="A44" s="28" t="s">
        <v>73</v>
      </c>
      <c r="B44" s="519"/>
      <c r="C44" s="519"/>
      <c r="D44" s="519"/>
      <c r="E44" s="519"/>
      <c r="F44" s="29"/>
      <c r="G44" s="29"/>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808"/>
      <c r="AG44" s="716"/>
    </row>
    <row r="45" spans="1:33" ht="18.75" x14ac:dyDescent="0.3">
      <c r="A45" s="8" t="s">
        <v>31</v>
      </c>
      <c r="B45" s="519">
        <f>B46</f>
        <v>303206.89500000002</v>
      </c>
      <c r="C45" s="519">
        <f>C46</f>
        <v>188696.31300000002</v>
      </c>
      <c r="D45" s="519">
        <f>D46</f>
        <v>188696.31300000002</v>
      </c>
      <c r="E45" s="519">
        <f>E46</f>
        <v>176181.15600000002</v>
      </c>
      <c r="F45" s="32">
        <f>E45/B45*100</f>
        <v>58.105920051719139</v>
      </c>
      <c r="G45" s="47">
        <f>E45/C45*100</f>
        <v>93.367566752615886</v>
      </c>
      <c r="H45" s="111">
        <f t="shared" ref="H45:AE45" si="14">H46</f>
        <v>21721.720999999998</v>
      </c>
      <c r="I45" s="111">
        <f t="shared" si="14"/>
        <v>17924.219000000001</v>
      </c>
      <c r="J45" s="111">
        <f t="shared" si="14"/>
        <v>30109.53</v>
      </c>
      <c r="K45" s="111">
        <f t="shared" si="14"/>
        <v>29266.189000000002</v>
      </c>
      <c r="L45" s="111">
        <f t="shared" si="14"/>
        <v>23693.165000000001</v>
      </c>
      <c r="M45" s="111">
        <f t="shared" si="14"/>
        <v>21758.616999999998</v>
      </c>
      <c r="N45" s="111">
        <f t="shared" si="14"/>
        <v>27926.390000000003</v>
      </c>
      <c r="O45" s="111">
        <f t="shared" si="14"/>
        <v>25990.671999999999</v>
      </c>
      <c r="P45" s="111">
        <f t="shared" si="14"/>
        <v>23995.38</v>
      </c>
      <c r="Q45" s="111">
        <f t="shared" si="14"/>
        <v>23249.977999999999</v>
      </c>
      <c r="R45" s="111">
        <f t="shared" si="14"/>
        <v>27946.826999999997</v>
      </c>
      <c r="S45" s="111">
        <f t="shared" si="14"/>
        <v>25449.1</v>
      </c>
      <c r="T45" s="111">
        <f t="shared" si="14"/>
        <v>33303.300000000003</v>
      </c>
      <c r="U45" s="111">
        <f t="shared" si="14"/>
        <v>32542.381000000001</v>
      </c>
      <c r="V45" s="111">
        <f t="shared" si="14"/>
        <v>23975.320000000003</v>
      </c>
      <c r="W45" s="111">
        <f t="shared" si="14"/>
        <v>0</v>
      </c>
      <c r="X45" s="111">
        <f t="shared" si="14"/>
        <v>19985.218000000001</v>
      </c>
      <c r="Y45" s="111">
        <f t="shared" si="14"/>
        <v>0</v>
      </c>
      <c r="Z45" s="111">
        <f t="shared" si="14"/>
        <v>23346.466999999997</v>
      </c>
      <c r="AA45" s="111">
        <f t="shared" si="14"/>
        <v>0</v>
      </c>
      <c r="AB45" s="111">
        <f t="shared" si="14"/>
        <v>20277.643</v>
      </c>
      <c r="AC45" s="111">
        <f t="shared" si="14"/>
        <v>0</v>
      </c>
      <c r="AD45" s="111">
        <f t="shared" si="14"/>
        <v>26925.934000000001</v>
      </c>
      <c r="AE45" s="111">
        <f t="shared" si="14"/>
        <v>0</v>
      </c>
      <c r="AF45" s="29"/>
      <c r="AG45" s="716"/>
    </row>
    <row r="46" spans="1:33" ht="18.75" x14ac:dyDescent="0.3">
      <c r="A46" s="13" t="s">
        <v>33</v>
      </c>
      <c r="B46" s="519">
        <f>B43</f>
        <v>303206.89500000002</v>
      </c>
      <c r="C46" s="519">
        <f>C43</f>
        <v>188696.31300000002</v>
      </c>
      <c r="D46" s="519">
        <f>D43</f>
        <v>188696.31300000002</v>
      </c>
      <c r="E46" s="519">
        <f>E43</f>
        <v>176181.15600000002</v>
      </c>
      <c r="F46" s="32">
        <f>E46/B46*100</f>
        <v>58.105920051719139</v>
      </c>
      <c r="G46" s="47">
        <f>E46/C46*100</f>
        <v>93.367566752615886</v>
      </c>
      <c r="H46" s="111">
        <f t="shared" ref="H46:AE46" si="15">H43</f>
        <v>21721.720999999998</v>
      </c>
      <c r="I46" s="111">
        <f>I43</f>
        <v>17924.219000000001</v>
      </c>
      <c r="J46" s="111">
        <f t="shared" si="15"/>
        <v>30109.53</v>
      </c>
      <c r="K46" s="111">
        <f t="shared" si="15"/>
        <v>29266.189000000002</v>
      </c>
      <c r="L46" s="111">
        <f t="shared" si="15"/>
        <v>23693.165000000001</v>
      </c>
      <c r="M46" s="111">
        <f t="shared" si="15"/>
        <v>21758.616999999998</v>
      </c>
      <c r="N46" s="111">
        <f t="shared" si="15"/>
        <v>27926.390000000003</v>
      </c>
      <c r="O46" s="111">
        <f t="shared" si="15"/>
        <v>25990.671999999999</v>
      </c>
      <c r="P46" s="111">
        <f t="shared" si="15"/>
        <v>23995.38</v>
      </c>
      <c r="Q46" s="111">
        <f t="shared" si="15"/>
        <v>23249.977999999999</v>
      </c>
      <c r="R46" s="111">
        <f t="shared" si="15"/>
        <v>27946.826999999997</v>
      </c>
      <c r="S46" s="111">
        <f t="shared" si="15"/>
        <v>25449.1</v>
      </c>
      <c r="T46" s="111">
        <f t="shared" si="15"/>
        <v>33303.300000000003</v>
      </c>
      <c r="U46" s="111">
        <f t="shared" si="15"/>
        <v>32542.381000000001</v>
      </c>
      <c r="V46" s="111">
        <f t="shared" si="15"/>
        <v>23975.320000000003</v>
      </c>
      <c r="W46" s="111">
        <f t="shared" si="15"/>
        <v>0</v>
      </c>
      <c r="X46" s="111">
        <f t="shared" si="15"/>
        <v>19985.218000000001</v>
      </c>
      <c r="Y46" s="111">
        <f t="shared" si="15"/>
        <v>0</v>
      </c>
      <c r="Z46" s="111">
        <f t="shared" si="15"/>
        <v>23346.466999999997</v>
      </c>
      <c r="AA46" s="111">
        <f t="shared" si="15"/>
        <v>0</v>
      </c>
      <c r="AB46" s="111">
        <f t="shared" si="15"/>
        <v>20277.643</v>
      </c>
      <c r="AC46" s="111">
        <f t="shared" si="15"/>
        <v>0</v>
      </c>
      <c r="AD46" s="111">
        <f t="shared" si="15"/>
        <v>26925.934000000001</v>
      </c>
      <c r="AE46" s="111">
        <f t="shared" si="15"/>
        <v>0</v>
      </c>
      <c r="AF46" s="29"/>
      <c r="AG46" s="716"/>
    </row>
    <row r="47" spans="1:33" ht="18.75" x14ac:dyDescent="0.3">
      <c r="A47" s="60" t="s">
        <v>82</v>
      </c>
      <c r="B47" s="519"/>
      <c r="C47" s="519"/>
      <c r="D47" s="519"/>
      <c r="E47" s="519"/>
      <c r="F47" s="29"/>
      <c r="G47" s="29"/>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29"/>
      <c r="AG47" s="716"/>
    </row>
    <row r="48" spans="1:33" ht="18.75" x14ac:dyDescent="0.3">
      <c r="A48" s="52" t="s">
        <v>54</v>
      </c>
      <c r="B48" s="519"/>
      <c r="C48" s="519"/>
      <c r="D48" s="519"/>
      <c r="E48" s="519"/>
      <c r="F48" s="29"/>
      <c r="G48" s="29"/>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716"/>
    </row>
    <row r="49" spans="1:33" ht="75" x14ac:dyDescent="0.3">
      <c r="A49" s="68" t="s">
        <v>83</v>
      </c>
      <c r="B49" s="834"/>
      <c r="C49" s="519"/>
      <c r="D49" s="519"/>
      <c r="E49" s="519"/>
      <c r="F49" s="29"/>
      <c r="G49" s="29"/>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29"/>
      <c r="AG49" s="716"/>
    </row>
    <row r="50" spans="1:33" ht="18.75" x14ac:dyDescent="0.3">
      <c r="A50" s="18" t="s">
        <v>31</v>
      </c>
      <c r="B50" s="519">
        <f>B51</f>
        <v>80701.987999999998</v>
      </c>
      <c r="C50" s="519">
        <f>C51</f>
        <v>20871.91</v>
      </c>
      <c r="D50" s="519">
        <f>D51</f>
        <v>20871.91</v>
      </c>
      <c r="E50" s="519">
        <f>E51</f>
        <v>20871.91</v>
      </c>
      <c r="F50" s="32">
        <f>E50/B50*100</f>
        <v>25.862944045442848</v>
      </c>
      <c r="G50" s="47">
        <f>E50/C50*100</f>
        <v>100</v>
      </c>
      <c r="H50" s="111">
        <f>H51</f>
        <v>0</v>
      </c>
      <c r="I50" s="111">
        <f t="shared" ref="I50:AE50" si="16">I51</f>
        <v>0</v>
      </c>
      <c r="J50" s="111">
        <f t="shared" si="16"/>
        <v>5532.5</v>
      </c>
      <c r="K50" s="111">
        <f t="shared" si="16"/>
        <v>5532.5</v>
      </c>
      <c r="L50" s="111">
        <f t="shared" si="16"/>
        <v>125.99</v>
      </c>
      <c r="M50" s="111">
        <f t="shared" si="16"/>
        <v>125.99</v>
      </c>
      <c r="N50" s="111">
        <f t="shared" si="16"/>
        <v>0</v>
      </c>
      <c r="O50" s="111">
        <f t="shared" si="16"/>
        <v>0</v>
      </c>
      <c r="P50" s="111">
        <f t="shared" si="16"/>
        <v>0</v>
      </c>
      <c r="Q50" s="111">
        <f t="shared" si="16"/>
        <v>0</v>
      </c>
      <c r="R50" s="111">
        <f t="shared" si="16"/>
        <v>0</v>
      </c>
      <c r="S50" s="111">
        <f t="shared" si="16"/>
        <v>0</v>
      </c>
      <c r="T50" s="111">
        <f t="shared" si="16"/>
        <v>15213.42</v>
      </c>
      <c r="U50" s="111">
        <f t="shared" si="16"/>
        <v>15213.42</v>
      </c>
      <c r="V50" s="111">
        <f t="shared" si="16"/>
        <v>0</v>
      </c>
      <c r="W50" s="111">
        <f t="shared" si="16"/>
        <v>0</v>
      </c>
      <c r="X50" s="111">
        <f t="shared" si="16"/>
        <v>0</v>
      </c>
      <c r="Y50" s="111">
        <f t="shared" si="16"/>
        <v>0</v>
      </c>
      <c r="Z50" s="111">
        <f t="shared" si="16"/>
        <v>15293.1</v>
      </c>
      <c r="AA50" s="111">
        <f t="shared" si="16"/>
        <v>0</v>
      </c>
      <c r="AB50" s="111">
        <f t="shared" si="16"/>
        <v>6959.0209999999997</v>
      </c>
      <c r="AC50" s="111">
        <f t="shared" si="16"/>
        <v>0</v>
      </c>
      <c r="AD50" s="111">
        <f t="shared" si="16"/>
        <v>37577.956999999995</v>
      </c>
      <c r="AE50" s="111">
        <f t="shared" si="16"/>
        <v>0</v>
      </c>
      <c r="AF50" s="29"/>
      <c r="AG50" s="716"/>
    </row>
    <row r="51" spans="1:33" s="46" customFormat="1" ht="338.25" customHeight="1" x14ac:dyDescent="0.3">
      <c r="A51" s="756" t="s">
        <v>33</v>
      </c>
      <c r="B51" s="830">
        <f>H51+J51+L51+N51+P51+R51+T51+V51+X51+Z51+AB51+AD51</f>
        <v>80701.987999999998</v>
      </c>
      <c r="C51" s="833">
        <f>H51+J51+L51+N51+P51+R51+T51</f>
        <v>20871.91</v>
      </c>
      <c r="D51" s="833">
        <f>C51</f>
        <v>20871.91</v>
      </c>
      <c r="E51" s="833">
        <f>I51+K51+M51+O51+Q51+S51+U51</f>
        <v>20871.91</v>
      </c>
      <c r="F51" s="32">
        <f>E51/B51*100</f>
        <v>25.862944045442848</v>
      </c>
      <c r="G51" s="47">
        <f>E51/C51*100</f>
        <v>100</v>
      </c>
      <c r="H51" s="830">
        <v>0</v>
      </c>
      <c r="I51" s="111">
        <v>0</v>
      </c>
      <c r="J51" s="111">
        <v>5532.5</v>
      </c>
      <c r="K51" s="111">
        <v>5532.5</v>
      </c>
      <c r="L51" s="111">
        <v>125.99</v>
      </c>
      <c r="M51" s="111">
        <v>125.99</v>
      </c>
      <c r="N51" s="111">
        <v>0</v>
      </c>
      <c r="O51" s="111">
        <v>0</v>
      </c>
      <c r="P51" s="111">
        <v>0</v>
      </c>
      <c r="Q51" s="111">
        <v>0</v>
      </c>
      <c r="R51" s="111">
        <v>0</v>
      </c>
      <c r="S51" s="111">
        <v>0</v>
      </c>
      <c r="T51" s="111">
        <v>15213.42</v>
      </c>
      <c r="U51" s="111">
        <v>15213.42</v>
      </c>
      <c r="V51" s="111">
        <v>0</v>
      </c>
      <c r="W51" s="111">
        <v>0</v>
      </c>
      <c r="X51" s="111">
        <v>0</v>
      </c>
      <c r="Y51" s="111">
        <v>0</v>
      </c>
      <c r="Z51" s="831">
        <v>15293.1</v>
      </c>
      <c r="AA51" s="831">
        <v>0</v>
      </c>
      <c r="AB51" s="831">
        <v>6959.0209999999997</v>
      </c>
      <c r="AC51" s="831">
        <v>0</v>
      </c>
      <c r="AD51" s="831">
        <v>37577.956999999995</v>
      </c>
      <c r="AE51" s="831">
        <v>0</v>
      </c>
      <c r="AF51" s="939" t="s">
        <v>614</v>
      </c>
      <c r="AG51" s="718"/>
    </row>
    <row r="52" spans="1:33" ht="18.75" x14ac:dyDescent="0.3">
      <c r="A52" s="804" t="s">
        <v>62</v>
      </c>
      <c r="B52" s="519"/>
      <c r="C52" s="519"/>
      <c r="D52" s="519"/>
      <c r="E52" s="519"/>
      <c r="F52" s="29"/>
      <c r="G52" s="29"/>
      <c r="H52" s="111"/>
      <c r="I52" s="830"/>
      <c r="J52" s="830"/>
      <c r="K52" s="830"/>
      <c r="L52" s="830"/>
      <c r="M52" s="830"/>
      <c r="N52" s="830"/>
      <c r="O52" s="111"/>
      <c r="P52" s="111"/>
      <c r="Q52" s="111"/>
      <c r="R52" s="111"/>
      <c r="S52" s="111"/>
      <c r="T52" s="111"/>
      <c r="U52" s="111"/>
      <c r="V52" s="111"/>
      <c r="W52" s="111"/>
      <c r="X52" s="111"/>
      <c r="Y52" s="111"/>
      <c r="Z52" s="111"/>
      <c r="AA52" s="111"/>
      <c r="AB52" s="111"/>
      <c r="AC52" s="111"/>
      <c r="AD52" s="111"/>
      <c r="AE52" s="111"/>
      <c r="AF52" s="996"/>
      <c r="AG52" s="716"/>
    </row>
    <row r="53" spans="1:33" ht="18.75" x14ac:dyDescent="0.3">
      <c r="A53" s="19" t="s">
        <v>31</v>
      </c>
      <c r="B53" s="111">
        <f>B54</f>
        <v>80701.987999999998</v>
      </c>
      <c r="C53" s="111">
        <f>C54</f>
        <v>20871.91</v>
      </c>
      <c r="D53" s="111">
        <f>D54</f>
        <v>20871.91</v>
      </c>
      <c r="E53" s="111">
        <f>E54</f>
        <v>20871.91</v>
      </c>
      <c r="F53" s="32">
        <f>E53/B53*100</f>
        <v>25.862944045442848</v>
      </c>
      <c r="G53" s="47">
        <f>E53/C53*100</f>
        <v>100</v>
      </c>
      <c r="H53" s="111">
        <f>H54</f>
        <v>0</v>
      </c>
      <c r="I53" s="111">
        <f t="shared" ref="I53:AE53" si="17">I54</f>
        <v>0</v>
      </c>
      <c r="J53" s="111">
        <f t="shared" si="17"/>
        <v>0</v>
      </c>
      <c r="K53" s="111">
        <f t="shared" si="17"/>
        <v>0</v>
      </c>
      <c r="L53" s="111">
        <f t="shared" si="17"/>
        <v>0</v>
      </c>
      <c r="M53" s="111">
        <f t="shared" si="17"/>
        <v>0</v>
      </c>
      <c r="N53" s="111">
        <f t="shared" si="17"/>
        <v>0</v>
      </c>
      <c r="O53" s="111">
        <f t="shared" si="17"/>
        <v>0</v>
      </c>
      <c r="P53" s="111">
        <f t="shared" si="17"/>
        <v>0</v>
      </c>
      <c r="Q53" s="111">
        <f t="shared" si="17"/>
        <v>0</v>
      </c>
      <c r="R53" s="111">
        <f t="shared" si="17"/>
        <v>0</v>
      </c>
      <c r="S53" s="111">
        <f t="shared" si="17"/>
        <v>0</v>
      </c>
      <c r="T53" s="111">
        <f t="shared" si="17"/>
        <v>0</v>
      </c>
      <c r="U53" s="111">
        <f t="shared" si="17"/>
        <v>0</v>
      </c>
      <c r="V53" s="111">
        <f t="shared" si="17"/>
        <v>0</v>
      </c>
      <c r="W53" s="111">
        <f t="shared" si="17"/>
        <v>0</v>
      </c>
      <c r="X53" s="111">
        <f t="shared" si="17"/>
        <v>0</v>
      </c>
      <c r="Y53" s="111">
        <f t="shared" si="17"/>
        <v>0</v>
      </c>
      <c r="Z53" s="111">
        <f t="shared" si="17"/>
        <v>10381.9</v>
      </c>
      <c r="AA53" s="111">
        <f t="shared" si="17"/>
        <v>0</v>
      </c>
      <c r="AB53" s="111">
        <f t="shared" si="17"/>
        <v>0</v>
      </c>
      <c r="AC53" s="111">
        <f t="shared" si="17"/>
        <v>0</v>
      </c>
      <c r="AD53" s="111">
        <f t="shared" si="17"/>
        <v>3850.2</v>
      </c>
      <c r="AE53" s="111">
        <f t="shared" si="17"/>
        <v>0</v>
      </c>
      <c r="AF53" s="996"/>
      <c r="AG53" s="716"/>
    </row>
    <row r="54" spans="1:33" ht="18.75" x14ac:dyDescent="0.3">
      <c r="A54" s="15" t="s">
        <v>33</v>
      </c>
      <c r="B54" s="111">
        <f>B51</f>
        <v>80701.987999999998</v>
      </c>
      <c r="C54" s="111">
        <f>C51</f>
        <v>20871.91</v>
      </c>
      <c r="D54" s="111">
        <f>D51</f>
        <v>20871.91</v>
      </c>
      <c r="E54" s="111">
        <f>E51</f>
        <v>20871.91</v>
      </c>
      <c r="F54" s="32">
        <f>E54/B54*100</f>
        <v>25.862944045442848</v>
      </c>
      <c r="G54" s="47">
        <f>E54/C54*100</f>
        <v>100</v>
      </c>
      <c r="H54" s="832">
        <v>0</v>
      </c>
      <c r="I54" s="832">
        <v>0</v>
      </c>
      <c r="J54" s="832">
        <v>0</v>
      </c>
      <c r="K54" s="832">
        <v>0</v>
      </c>
      <c r="L54" s="832">
        <v>0</v>
      </c>
      <c r="M54" s="832">
        <v>0</v>
      </c>
      <c r="N54" s="832">
        <v>0</v>
      </c>
      <c r="O54" s="832">
        <v>0</v>
      </c>
      <c r="P54" s="832">
        <v>0</v>
      </c>
      <c r="Q54" s="832">
        <v>0</v>
      </c>
      <c r="R54" s="832">
        <v>0</v>
      </c>
      <c r="S54" s="832">
        <v>0</v>
      </c>
      <c r="T54" s="832">
        <v>0</v>
      </c>
      <c r="U54" s="832">
        <v>0</v>
      </c>
      <c r="V54" s="832">
        <v>0</v>
      </c>
      <c r="W54" s="832">
        <v>0</v>
      </c>
      <c r="X54" s="832">
        <v>0</v>
      </c>
      <c r="Y54" s="832">
        <v>0</v>
      </c>
      <c r="Z54" s="832">
        <v>10381.9</v>
      </c>
      <c r="AA54" s="832">
        <v>0</v>
      </c>
      <c r="AB54" s="832">
        <v>0</v>
      </c>
      <c r="AC54" s="832">
        <v>0</v>
      </c>
      <c r="AD54" s="832">
        <v>3850.2</v>
      </c>
      <c r="AE54" s="832">
        <v>0</v>
      </c>
      <c r="AF54" s="996"/>
      <c r="AG54" s="716"/>
    </row>
    <row r="55" spans="1:33" ht="37.5" x14ac:dyDescent="0.3">
      <c r="A55" s="28" t="s">
        <v>76</v>
      </c>
      <c r="B55" s="111"/>
      <c r="C55" s="111"/>
      <c r="D55" s="111"/>
      <c r="E55" s="111"/>
      <c r="F55" s="29"/>
      <c r="G55" s="29"/>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997"/>
      <c r="AG55" s="716"/>
    </row>
    <row r="56" spans="1:33" ht="18.75" x14ac:dyDescent="0.3">
      <c r="A56" s="8" t="s">
        <v>31</v>
      </c>
      <c r="B56" s="111">
        <f>B57</f>
        <v>80701.987999999998</v>
      </c>
      <c r="C56" s="111">
        <f>C57</f>
        <v>20871.91</v>
      </c>
      <c r="D56" s="111">
        <f>D57</f>
        <v>20871.91</v>
      </c>
      <c r="E56" s="111">
        <f>E57</f>
        <v>20871.91</v>
      </c>
      <c r="F56" s="32">
        <f>E56/B56*100</f>
        <v>25.862944045442848</v>
      </c>
      <c r="G56" s="47">
        <f>E56/C56*100</f>
        <v>100</v>
      </c>
      <c r="H56" s="111">
        <f>H57</f>
        <v>0</v>
      </c>
      <c r="I56" s="111">
        <f t="shared" ref="I56:AE56" si="18">I57</f>
        <v>0</v>
      </c>
      <c r="J56" s="111">
        <f t="shared" si="18"/>
        <v>0</v>
      </c>
      <c r="K56" s="111">
        <f t="shared" si="18"/>
        <v>0</v>
      </c>
      <c r="L56" s="111">
        <f t="shared" si="18"/>
        <v>0</v>
      </c>
      <c r="M56" s="111">
        <f t="shared" si="18"/>
        <v>0</v>
      </c>
      <c r="N56" s="111">
        <f t="shared" si="18"/>
        <v>0</v>
      </c>
      <c r="O56" s="111">
        <f t="shared" si="18"/>
        <v>0</v>
      </c>
      <c r="P56" s="111">
        <f t="shared" si="18"/>
        <v>0</v>
      </c>
      <c r="Q56" s="111">
        <f t="shared" si="18"/>
        <v>0</v>
      </c>
      <c r="R56" s="111">
        <f t="shared" si="18"/>
        <v>0</v>
      </c>
      <c r="S56" s="111">
        <f t="shared" si="18"/>
        <v>0</v>
      </c>
      <c r="T56" s="111">
        <f t="shared" si="18"/>
        <v>0</v>
      </c>
      <c r="U56" s="111">
        <f t="shared" si="18"/>
        <v>0</v>
      </c>
      <c r="V56" s="111">
        <f t="shared" si="18"/>
        <v>0</v>
      </c>
      <c r="W56" s="111">
        <f t="shared" si="18"/>
        <v>0</v>
      </c>
      <c r="X56" s="111">
        <f t="shared" si="18"/>
        <v>0</v>
      </c>
      <c r="Y56" s="111">
        <f t="shared" si="18"/>
        <v>0</v>
      </c>
      <c r="Z56" s="111">
        <f t="shared" si="18"/>
        <v>10381.9</v>
      </c>
      <c r="AA56" s="111">
        <f t="shared" si="18"/>
        <v>0</v>
      </c>
      <c r="AB56" s="111">
        <f t="shared" si="18"/>
        <v>0</v>
      </c>
      <c r="AC56" s="111">
        <f t="shared" si="18"/>
        <v>0</v>
      </c>
      <c r="AD56" s="111">
        <f t="shared" si="18"/>
        <v>3850.2</v>
      </c>
      <c r="AE56" s="111">
        <f t="shared" si="18"/>
        <v>0</v>
      </c>
      <c r="AF56" s="29"/>
      <c r="AG56" s="716"/>
    </row>
    <row r="57" spans="1:33" ht="18.75" x14ac:dyDescent="0.3">
      <c r="A57" s="13" t="s">
        <v>33</v>
      </c>
      <c r="B57" s="111">
        <f>B54</f>
        <v>80701.987999999998</v>
      </c>
      <c r="C57" s="111">
        <f>C54</f>
        <v>20871.91</v>
      </c>
      <c r="D57" s="111">
        <f>D54</f>
        <v>20871.91</v>
      </c>
      <c r="E57" s="111">
        <f>E54</f>
        <v>20871.91</v>
      </c>
      <c r="F57" s="32">
        <f>E57/B57*100</f>
        <v>25.862944045442848</v>
      </c>
      <c r="G57" s="47">
        <f>E57/C57*100</f>
        <v>100</v>
      </c>
      <c r="H57" s="111">
        <f>H54</f>
        <v>0</v>
      </c>
      <c r="I57" s="111">
        <f t="shared" ref="I57:AE57" si="19">I54</f>
        <v>0</v>
      </c>
      <c r="J57" s="111">
        <f t="shared" si="19"/>
        <v>0</v>
      </c>
      <c r="K57" s="111">
        <f t="shared" si="19"/>
        <v>0</v>
      </c>
      <c r="L57" s="111">
        <f t="shared" si="19"/>
        <v>0</v>
      </c>
      <c r="M57" s="111">
        <f t="shared" si="19"/>
        <v>0</v>
      </c>
      <c r="N57" s="111">
        <f t="shared" si="19"/>
        <v>0</v>
      </c>
      <c r="O57" s="111">
        <f t="shared" si="19"/>
        <v>0</v>
      </c>
      <c r="P57" s="111">
        <f t="shared" si="19"/>
        <v>0</v>
      </c>
      <c r="Q57" s="111">
        <f t="shared" si="19"/>
        <v>0</v>
      </c>
      <c r="R57" s="111">
        <f t="shared" si="19"/>
        <v>0</v>
      </c>
      <c r="S57" s="111">
        <f t="shared" si="19"/>
        <v>0</v>
      </c>
      <c r="T57" s="111">
        <f t="shared" si="19"/>
        <v>0</v>
      </c>
      <c r="U57" s="111">
        <f t="shared" si="19"/>
        <v>0</v>
      </c>
      <c r="V57" s="111">
        <f t="shared" si="19"/>
        <v>0</v>
      </c>
      <c r="W57" s="111">
        <f t="shared" si="19"/>
        <v>0</v>
      </c>
      <c r="X57" s="111">
        <f t="shared" si="19"/>
        <v>0</v>
      </c>
      <c r="Y57" s="111">
        <f t="shared" si="19"/>
        <v>0</v>
      </c>
      <c r="Z57" s="111">
        <f t="shared" si="19"/>
        <v>10381.9</v>
      </c>
      <c r="AA57" s="111">
        <f t="shared" si="19"/>
        <v>0</v>
      </c>
      <c r="AB57" s="111">
        <f t="shared" si="19"/>
        <v>0</v>
      </c>
      <c r="AC57" s="111">
        <f t="shared" si="19"/>
        <v>0</v>
      </c>
      <c r="AD57" s="111">
        <f t="shared" si="19"/>
        <v>3850.2</v>
      </c>
      <c r="AE57" s="111">
        <f t="shared" si="19"/>
        <v>0</v>
      </c>
      <c r="AF57" s="29"/>
      <c r="AG57" s="716"/>
    </row>
    <row r="58" spans="1:33" ht="18.75" x14ac:dyDescent="0.3">
      <c r="A58" s="60" t="s">
        <v>126</v>
      </c>
      <c r="B58" s="111"/>
      <c r="C58" s="111"/>
      <c r="D58" s="111"/>
      <c r="E58" s="111"/>
      <c r="F58" s="32"/>
      <c r="G58" s="47"/>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29"/>
      <c r="AG58" s="716"/>
    </row>
    <row r="59" spans="1:33" ht="168.75" x14ac:dyDescent="0.3">
      <c r="A59" s="13" t="s">
        <v>84</v>
      </c>
      <c r="B59" s="111"/>
      <c r="C59" s="111"/>
      <c r="D59" s="111"/>
      <c r="E59" s="111"/>
      <c r="F59" s="32"/>
      <c r="G59" s="47"/>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29"/>
      <c r="AG59" s="716"/>
    </row>
    <row r="60" spans="1:33" ht="18.75" x14ac:dyDescent="0.3">
      <c r="A60" s="19" t="s">
        <v>31</v>
      </c>
      <c r="B60" s="833">
        <f>B61</f>
        <v>360.9</v>
      </c>
      <c r="C60" s="833">
        <f>C61</f>
        <v>0</v>
      </c>
      <c r="D60" s="833">
        <f>D61</f>
        <v>0</v>
      </c>
      <c r="E60" s="833">
        <f>E61</f>
        <v>0</v>
      </c>
      <c r="F60" s="32">
        <f>E60/B60*100</f>
        <v>0</v>
      </c>
      <c r="G60" s="47" t="e">
        <f>E60/C60*100</f>
        <v>#DIV/0!</v>
      </c>
      <c r="H60" s="833">
        <f>H61</f>
        <v>0</v>
      </c>
      <c r="I60" s="833">
        <f t="shared" ref="I60:AE60" si="20">I61</f>
        <v>0</v>
      </c>
      <c r="J60" s="833">
        <f t="shared" si="20"/>
        <v>0</v>
      </c>
      <c r="K60" s="833">
        <f t="shared" si="20"/>
        <v>0</v>
      </c>
      <c r="L60" s="833">
        <f t="shared" si="20"/>
        <v>0</v>
      </c>
      <c r="M60" s="833">
        <f t="shared" si="20"/>
        <v>0</v>
      </c>
      <c r="N60" s="833">
        <f t="shared" si="20"/>
        <v>0</v>
      </c>
      <c r="O60" s="833">
        <f t="shared" si="20"/>
        <v>0</v>
      </c>
      <c r="P60" s="833">
        <f t="shared" si="20"/>
        <v>0</v>
      </c>
      <c r="Q60" s="833">
        <f t="shared" si="20"/>
        <v>0</v>
      </c>
      <c r="R60" s="833">
        <f t="shared" si="20"/>
        <v>0</v>
      </c>
      <c r="S60" s="833">
        <f t="shared" si="20"/>
        <v>0</v>
      </c>
      <c r="T60" s="833">
        <f t="shared" si="20"/>
        <v>0</v>
      </c>
      <c r="U60" s="833">
        <f t="shared" si="20"/>
        <v>0</v>
      </c>
      <c r="V60" s="833">
        <f t="shared" si="20"/>
        <v>0</v>
      </c>
      <c r="W60" s="833">
        <f t="shared" si="20"/>
        <v>0</v>
      </c>
      <c r="X60" s="833">
        <f t="shared" si="20"/>
        <v>0</v>
      </c>
      <c r="Y60" s="833">
        <f t="shared" si="20"/>
        <v>0</v>
      </c>
      <c r="Z60" s="833">
        <f t="shared" si="20"/>
        <v>0</v>
      </c>
      <c r="AA60" s="833">
        <f t="shared" si="20"/>
        <v>0</v>
      </c>
      <c r="AB60" s="833">
        <f t="shared" si="20"/>
        <v>0</v>
      </c>
      <c r="AC60" s="833">
        <f t="shared" si="20"/>
        <v>0</v>
      </c>
      <c r="AD60" s="833">
        <f t="shared" si="20"/>
        <v>360.9</v>
      </c>
      <c r="AE60" s="833">
        <f t="shared" si="20"/>
        <v>0</v>
      </c>
      <c r="AF60" s="29"/>
      <c r="AG60" s="716"/>
    </row>
    <row r="61" spans="1:33" ht="18.75" x14ac:dyDescent="0.3">
      <c r="A61" s="15" t="s">
        <v>33</v>
      </c>
      <c r="B61" s="833">
        <f>H61+J61+L61+N61+P61+R61+T61+V61+X61+Z61+AB61+AD61</f>
        <v>360.9</v>
      </c>
      <c r="C61" s="833">
        <f>H61</f>
        <v>0</v>
      </c>
      <c r="D61" s="833"/>
      <c r="E61" s="833">
        <f>I61</f>
        <v>0</v>
      </c>
      <c r="F61" s="47">
        <f>D61/B61*100</f>
        <v>0</v>
      </c>
      <c r="G61" s="47" t="e">
        <f>E61/C61*100</f>
        <v>#DIV/0!</v>
      </c>
      <c r="H61" s="833"/>
      <c r="I61" s="111"/>
      <c r="J61" s="111"/>
      <c r="K61" s="111"/>
      <c r="L61" s="111"/>
      <c r="M61" s="111"/>
      <c r="N61" s="111"/>
      <c r="O61" s="111"/>
      <c r="P61" s="111"/>
      <c r="Q61" s="111"/>
      <c r="R61" s="111"/>
      <c r="S61" s="111"/>
      <c r="T61" s="111"/>
      <c r="U61" s="111"/>
      <c r="V61" s="111"/>
      <c r="W61" s="111"/>
      <c r="X61" s="111"/>
      <c r="Y61" s="111"/>
      <c r="Z61" s="111"/>
      <c r="AA61" s="111"/>
      <c r="AB61" s="111"/>
      <c r="AC61" s="111"/>
      <c r="AD61" s="111">
        <v>360.9</v>
      </c>
      <c r="AE61" s="111"/>
      <c r="AF61" s="29"/>
      <c r="AG61" s="716"/>
    </row>
    <row r="62" spans="1:33" ht="18.75" x14ac:dyDescent="0.3">
      <c r="A62" s="56" t="s">
        <v>85</v>
      </c>
      <c r="B62" s="111"/>
      <c r="C62" s="111"/>
      <c r="D62" s="111"/>
      <c r="E62" s="111"/>
      <c r="F62" s="32"/>
      <c r="G62" s="47"/>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29"/>
      <c r="AG62" s="716"/>
    </row>
    <row r="63" spans="1:33" ht="18.75" x14ac:dyDescent="0.3">
      <c r="A63" s="19" t="s">
        <v>31</v>
      </c>
      <c r="B63" s="111">
        <f>B64</f>
        <v>360.9</v>
      </c>
      <c r="C63" s="833">
        <f>C64</f>
        <v>0</v>
      </c>
      <c r="D63" s="833">
        <f>D64</f>
        <v>0</v>
      </c>
      <c r="E63" s="833">
        <f>E64</f>
        <v>0</v>
      </c>
      <c r="F63" s="32">
        <f>E63/B63*100</f>
        <v>0</v>
      </c>
      <c r="G63" s="47" t="e">
        <f>E63/C63*100</f>
        <v>#DIV/0!</v>
      </c>
      <c r="H63" s="111">
        <f>H64</f>
        <v>0</v>
      </c>
      <c r="I63" s="111">
        <f t="shared" ref="I63:AE63" si="21">I64</f>
        <v>0</v>
      </c>
      <c r="J63" s="111">
        <f t="shared" si="21"/>
        <v>0</v>
      </c>
      <c r="K63" s="111">
        <f t="shared" si="21"/>
        <v>0</v>
      </c>
      <c r="L63" s="111">
        <f t="shared" si="21"/>
        <v>0</v>
      </c>
      <c r="M63" s="111">
        <f t="shared" si="21"/>
        <v>0</v>
      </c>
      <c r="N63" s="111">
        <f t="shared" si="21"/>
        <v>0</v>
      </c>
      <c r="O63" s="111">
        <f t="shared" si="21"/>
        <v>0</v>
      </c>
      <c r="P63" s="111">
        <f t="shared" si="21"/>
        <v>0</v>
      </c>
      <c r="Q63" s="111">
        <f t="shared" si="21"/>
        <v>0</v>
      </c>
      <c r="R63" s="111">
        <f t="shared" si="21"/>
        <v>0</v>
      </c>
      <c r="S63" s="111">
        <f t="shared" si="21"/>
        <v>0</v>
      </c>
      <c r="T63" s="111">
        <f t="shared" si="21"/>
        <v>0</v>
      </c>
      <c r="U63" s="111">
        <f t="shared" si="21"/>
        <v>0</v>
      </c>
      <c r="V63" s="111">
        <f t="shared" si="21"/>
        <v>0</v>
      </c>
      <c r="W63" s="111">
        <f t="shared" si="21"/>
        <v>0</v>
      </c>
      <c r="X63" s="111">
        <f t="shared" si="21"/>
        <v>0</v>
      </c>
      <c r="Y63" s="111">
        <f t="shared" si="21"/>
        <v>0</v>
      </c>
      <c r="Z63" s="111">
        <f t="shared" si="21"/>
        <v>0</v>
      </c>
      <c r="AA63" s="111">
        <f t="shared" si="21"/>
        <v>0</v>
      </c>
      <c r="AB63" s="111">
        <f t="shared" si="21"/>
        <v>0</v>
      </c>
      <c r="AC63" s="111">
        <f t="shared" si="21"/>
        <v>0</v>
      </c>
      <c r="AD63" s="111">
        <f t="shared" si="21"/>
        <v>360.9</v>
      </c>
      <c r="AE63" s="111">
        <f t="shared" si="21"/>
        <v>0</v>
      </c>
      <c r="AF63" s="29"/>
      <c r="AG63" s="716"/>
    </row>
    <row r="64" spans="1:33" ht="18.75" x14ac:dyDescent="0.3">
      <c r="A64" s="15" t="s">
        <v>33</v>
      </c>
      <c r="B64" s="519">
        <f>B61</f>
        <v>360.9</v>
      </c>
      <c r="C64" s="833">
        <f>H64</f>
        <v>0</v>
      </c>
      <c r="D64" s="833"/>
      <c r="E64" s="833">
        <f>I64</f>
        <v>0</v>
      </c>
      <c r="F64" s="835">
        <f>E64/B64*100</f>
        <v>0</v>
      </c>
      <c r="G64" s="47" t="e">
        <f>E64/C64*100</f>
        <v>#DIV/0!</v>
      </c>
      <c r="H64" s="111">
        <f>H61</f>
        <v>0</v>
      </c>
      <c r="I64" s="111">
        <f>I65</f>
        <v>0</v>
      </c>
      <c r="J64" s="111">
        <f t="shared" ref="J64:AE64" si="22">J61</f>
        <v>0</v>
      </c>
      <c r="K64" s="111">
        <f t="shared" si="22"/>
        <v>0</v>
      </c>
      <c r="L64" s="111">
        <f t="shared" si="22"/>
        <v>0</v>
      </c>
      <c r="M64" s="111">
        <f t="shared" si="22"/>
        <v>0</v>
      </c>
      <c r="N64" s="111">
        <f t="shared" si="22"/>
        <v>0</v>
      </c>
      <c r="O64" s="111">
        <f t="shared" si="22"/>
        <v>0</v>
      </c>
      <c r="P64" s="111">
        <f t="shared" si="22"/>
        <v>0</v>
      </c>
      <c r="Q64" s="111">
        <f t="shared" si="22"/>
        <v>0</v>
      </c>
      <c r="R64" s="111">
        <f t="shared" si="22"/>
        <v>0</v>
      </c>
      <c r="S64" s="111">
        <f t="shared" si="22"/>
        <v>0</v>
      </c>
      <c r="T64" s="111">
        <f t="shared" si="22"/>
        <v>0</v>
      </c>
      <c r="U64" s="111">
        <f t="shared" si="22"/>
        <v>0</v>
      </c>
      <c r="V64" s="111">
        <f t="shared" si="22"/>
        <v>0</v>
      </c>
      <c r="W64" s="111">
        <f t="shared" si="22"/>
        <v>0</v>
      </c>
      <c r="X64" s="111">
        <f t="shared" si="22"/>
        <v>0</v>
      </c>
      <c r="Y64" s="111">
        <f t="shared" si="22"/>
        <v>0</v>
      </c>
      <c r="Z64" s="111">
        <f t="shared" si="22"/>
        <v>0</v>
      </c>
      <c r="AA64" s="111">
        <f t="shared" si="22"/>
        <v>0</v>
      </c>
      <c r="AB64" s="111">
        <f t="shared" si="22"/>
        <v>0</v>
      </c>
      <c r="AC64" s="111">
        <f t="shared" si="22"/>
        <v>0</v>
      </c>
      <c r="AD64" s="111">
        <f t="shared" si="22"/>
        <v>360.9</v>
      </c>
      <c r="AE64" s="111">
        <f t="shared" si="22"/>
        <v>0</v>
      </c>
      <c r="AF64" s="29"/>
      <c r="AG64" s="716"/>
    </row>
    <row r="65" spans="1:33" ht="37.5" x14ac:dyDescent="0.3">
      <c r="A65" s="28" t="s">
        <v>92</v>
      </c>
      <c r="B65" s="111"/>
      <c r="C65" s="111"/>
      <c r="D65" s="111"/>
      <c r="E65" s="111"/>
      <c r="F65" s="32"/>
      <c r="G65" s="47"/>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29"/>
      <c r="AG65" s="716"/>
    </row>
    <row r="66" spans="1:33" ht="18.75" x14ac:dyDescent="0.3">
      <c r="A66" s="8" t="s">
        <v>31</v>
      </c>
      <c r="B66" s="111">
        <f>B67</f>
        <v>360.9</v>
      </c>
      <c r="C66" s="833">
        <f>C67</f>
        <v>0</v>
      </c>
      <c r="D66" s="833">
        <f>D67</f>
        <v>0</v>
      </c>
      <c r="E66" s="833">
        <f>E67</f>
        <v>0</v>
      </c>
      <c r="F66" s="32">
        <f>E66/B66*100</f>
        <v>0</v>
      </c>
      <c r="G66" s="47" t="e">
        <f t="shared" ref="G66:G71" si="23">E66/C66*100</f>
        <v>#DIV/0!</v>
      </c>
      <c r="H66" s="111">
        <f>H67</f>
        <v>0</v>
      </c>
      <c r="I66" s="111">
        <f t="shared" ref="I66:AE66" si="24">I67</f>
        <v>0</v>
      </c>
      <c r="J66" s="111">
        <f t="shared" si="24"/>
        <v>0</v>
      </c>
      <c r="K66" s="111">
        <f t="shared" si="24"/>
        <v>0</v>
      </c>
      <c r="L66" s="111">
        <f t="shared" si="24"/>
        <v>0</v>
      </c>
      <c r="M66" s="111">
        <f t="shared" si="24"/>
        <v>0</v>
      </c>
      <c r="N66" s="111">
        <f t="shared" si="24"/>
        <v>0</v>
      </c>
      <c r="O66" s="111">
        <f t="shared" si="24"/>
        <v>0</v>
      </c>
      <c r="P66" s="111">
        <f t="shared" si="24"/>
        <v>0</v>
      </c>
      <c r="Q66" s="111">
        <f t="shared" si="24"/>
        <v>0</v>
      </c>
      <c r="R66" s="111">
        <f t="shared" si="24"/>
        <v>0</v>
      </c>
      <c r="S66" s="111">
        <f t="shared" si="24"/>
        <v>0</v>
      </c>
      <c r="T66" s="111">
        <f t="shared" si="24"/>
        <v>0</v>
      </c>
      <c r="U66" s="111">
        <f t="shared" si="24"/>
        <v>0</v>
      </c>
      <c r="V66" s="111">
        <f t="shared" si="24"/>
        <v>0</v>
      </c>
      <c r="W66" s="111">
        <f t="shared" si="24"/>
        <v>0</v>
      </c>
      <c r="X66" s="111">
        <f t="shared" si="24"/>
        <v>0</v>
      </c>
      <c r="Y66" s="111">
        <f t="shared" si="24"/>
        <v>0</v>
      </c>
      <c r="Z66" s="111">
        <f t="shared" si="24"/>
        <v>0</v>
      </c>
      <c r="AA66" s="111">
        <f t="shared" si="24"/>
        <v>0</v>
      </c>
      <c r="AB66" s="111">
        <f t="shared" si="24"/>
        <v>0</v>
      </c>
      <c r="AC66" s="111">
        <f t="shared" si="24"/>
        <v>0</v>
      </c>
      <c r="AD66" s="111">
        <f t="shared" si="24"/>
        <v>360.9</v>
      </c>
      <c r="AE66" s="111">
        <f t="shared" si="24"/>
        <v>0</v>
      </c>
      <c r="AF66" s="29"/>
      <c r="AG66" s="716"/>
    </row>
    <row r="67" spans="1:33" ht="18.75" x14ac:dyDescent="0.3">
      <c r="A67" s="13" t="s">
        <v>33</v>
      </c>
      <c r="B67" s="111">
        <f>B64</f>
        <v>360.9</v>
      </c>
      <c r="C67" s="833">
        <f>H67</f>
        <v>0</v>
      </c>
      <c r="D67" s="833"/>
      <c r="E67" s="833">
        <f>I67</f>
        <v>0</v>
      </c>
      <c r="F67" s="47">
        <f>D67/B67*100</f>
        <v>0</v>
      </c>
      <c r="G67" s="47" t="e">
        <f t="shared" si="23"/>
        <v>#DIV/0!</v>
      </c>
      <c r="H67" s="111">
        <f>H64</f>
        <v>0</v>
      </c>
      <c r="I67" s="111">
        <f t="shared" ref="I67:AE67" si="25">I64</f>
        <v>0</v>
      </c>
      <c r="J67" s="111">
        <f t="shared" si="25"/>
        <v>0</v>
      </c>
      <c r="K67" s="111">
        <f t="shared" si="25"/>
        <v>0</v>
      </c>
      <c r="L67" s="111">
        <f t="shared" si="25"/>
        <v>0</v>
      </c>
      <c r="M67" s="111">
        <f t="shared" si="25"/>
        <v>0</v>
      </c>
      <c r="N67" s="111">
        <f t="shared" si="25"/>
        <v>0</v>
      </c>
      <c r="O67" s="111">
        <f t="shared" si="25"/>
        <v>0</v>
      </c>
      <c r="P67" s="111">
        <f t="shared" si="25"/>
        <v>0</v>
      </c>
      <c r="Q67" s="111">
        <f t="shared" si="25"/>
        <v>0</v>
      </c>
      <c r="R67" s="111">
        <f t="shared" si="25"/>
        <v>0</v>
      </c>
      <c r="S67" s="111">
        <f t="shared" si="25"/>
        <v>0</v>
      </c>
      <c r="T67" s="111">
        <f t="shared" si="25"/>
        <v>0</v>
      </c>
      <c r="U67" s="111">
        <f t="shared" si="25"/>
        <v>0</v>
      </c>
      <c r="V67" s="111">
        <f t="shared" si="25"/>
        <v>0</v>
      </c>
      <c r="W67" s="111">
        <f t="shared" si="25"/>
        <v>0</v>
      </c>
      <c r="X67" s="111">
        <f t="shared" si="25"/>
        <v>0</v>
      </c>
      <c r="Y67" s="111">
        <f t="shared" si="25"/>
        <v>0</v>
      </c>
      <c r="Z67" s="111">
        <f t="shared" si="25"/>
        <v>0</v>
      </c>
      <c r="AA67" s="111">
        <f t="shared" si="25"/>
        <v>0</v>
      </c>
      <c r="AB67" s="111">
        <f t="shared" si="25"/>
        <v>0</v>
      </c>
      <c r="AC67" s="111">
        <f t="shared" si="25"/>
        <v>0</v>
      </c>
      <c r="AD67" s="111">
        <f t="shared" si="25"/>
        <v>360.9</v>
      </c>
      <c r="AE67" s="111">
        <f t="shared" si="25"/>
        <v>0</v>
      </c>
      <c r="AF67" s="29"/>
      <c r="AG67" s="716"/>
    </row>
    <row r="68" spans="1:33" ht="37.5" x14ac:dyDescent="0.3">
      <c r="A68" s="56" t="s">
        <v>63</v>
      </c>
      <c r="B68" s="137">
        <f>B10+B21+B50+B60</f>
        <v>437079.25700000004</v>
      </c>
      <c r="C68" s="519">
        <f>C69</f>
        <v>248816.35500000001</v>
      </c>
      <c r="D68" s="519">
        <f>D69</f>
        <v>248816.35500000001</v>
      </c>
      <c r="E68" s="519">
        <f>E69</f>
        <v>230371.59300000002</v>
      </c>
      <c r="F68" s="32">
        <f>E68/B68*100</f>
        <v>52.707052396220213</v>
      </c>
      <c r="G68" s="47">
        <f t="shared" si="23"/>
        <v>92.586997747796772</v>
      </c>
      <c r="H68" s="111">
        <f t="shared" ref="H68:AE68" si="26">H69</f>
        <v>8647.8289999999997</v>
      </c>
      <c r="I68" s="111">
        <f t="shared" si="26"/>
        <v>4845.607</v>
      </c>
      <c r="J68" s="111">
        <f t="shared" si="26"/>
        <v>13223.939</v>
      </c>
      <c r="K68" s="111">
        <f t="shared" si="26"/>
        <v>13449.98</v>
      </c>
      <c r="L68" s="111">
        <f t="shared" si="26"/>
        <v>7404.3340000000007</v>
      </c>
      <c r="M68" s="111">
        <f t="shared" si="26"/>
        <v>5280.9679999999998</v>
      </c>
      <c r="N68" s="111">
        <f t="shared" si="26"/>
        <v>15436.800999999999</v>
      </c>
      <c r="O68" s="111">
        <f t="shared" si="26"/>
        <v>7143.5010000000002</v>
      </c>
      <c r="P68" s="111">
        <f t="shared" si="26"/>
        <v>5815.5280000000002</v>
      </c>
      <c r="Q68" s="111">
        <f t="shared" si="26"/>
        <v>5375.3040000000001</v>
      </c>
      <c r="R68" s="111">
        <f t="shared" si="26"/>
        <v>5113.1239999999998</v>
      </c>
      <c r="S68" s="111">
        <f t="shared" si="26"/>
        <v>5371.0680000000002</v>
      </c>
      <c r="T68" s="111">
        <f t="shared" si="26"/>
        <v>20523.232</v>
      </c>
      <c r="U68" s="111">
        <f t="shared" si="26"/>
        <v>27363.531999999999</v>
      </c>
      <c r="V68" s="111">
        <f t="shared" si="26"/>
        <v>4757.5869999999995</v>
      </c>
      <c r="W68" s="111">
        <f t="shared" si="26"/>
        <v>0</v>
      </c>
      <c r="X68" s="111">
        <f t="shared" si="26"/>
        <v>4581.7939999999999</v>
      </c>
      <c r="Y68" s="111">
        <f t="shared" si="26"/>
        <v>0</v>
      </c>
      <c r="Z68" s="111">
        <f t="shared" si="26"/>
        <v>21031.902000000002</v>
      </c>
      <c r="AA68" s="111">
        <f t="shared" si="26"/>
        <v>0</v>
      </c>
      <c r="AB68" s="111">
        <f t="shared" si="26"/>
        <v>11618.455999999998</v>
      </c>
      <c r="AC68" s="111">
        <f t="shared" si="26"/>
        <v>0</v>
      </c>
      <c r="AD68" s="111">
        <f t="shared" si="26"/>
        <v>43613.513999999996</v>
      </c>
      <c r="AE68" s="111">
        <f t="shared" si="26"/>
        <v>0</v>
      </c>
      <c r="AF68" s="29"/>
      <c r="AG68" s="716"/>
    </row>
    <row r="69" spans="1:33" ht="18.75" x14ac:dyDescent="0.3">
      <c r="A69" s="15" t="s">
        <v>33</v>
      </c>
      <c r="B69" s="111">
        <f>B11+B22+B51+B61</f>
        <v>437079.25700000004</v>
      </c>
      <c r="C69" s="519">
        <f>C13+C42+C53+C63</f>
        <v>248816.35500000001</v>
      </c>
      <c r="D69" s="519">
        <f>D13+D42+D53+D63</f>
        <v>248816.35500000001</v>
      </c>
      <c r="E69" s="519">
        <f>E13+E42+E53+E63</f>
        <v>230371.59300000002</v>
      </c>
      <c r="F69" s="32">
        <f>E69/B69*100</f>
        <v>52.707052396220213</v>
      </c>
      <c r="G69" s="47">
        <f t="shared" si="23"/>
        <v>92.586997747796772</v>
      </c>
      <c r="H69" s="111">
        <f t="shared" ref="H69:AE69" si="27">H11++H40+H51+H61</f>
        <v>8647.8289999999997</v>
      </c>
      <c r="I69" s="111">
        <f t="shared" si="27"/>
        <v>4845.607</v>
      </c>
      <c r="J69" s="111">
        <f t="shared" si="27"/>
        <v>13223.939</v>
      </c>
      <c r="K69" s="111">
        <f t="shared" si="27"/>
        <v>13449.98</v>
      </c>
      <c r="L69" s="111">
        <f t="shared" si="27"/>
        <v>7404.3340000000007</v>
      </c>
      <c r="M69" s="111">
        <f t="shared" si="27"/>
        <v>5280.9679999999998</v>
      </c>
      <c r="N69" s="111">
        <f t="shared" si="27"/>
        <v>15436.800999999999</v>
      </c>
      <c r="O69" s="111">
        <f t="shared" si="27"/>
        <v>7143.5010000000002</v>
      </c>
      <c r="P69" s="111">
        <f t="shared" si="27"/>
        <v>5815.5280000000002</v>
      </c>
      <c r="Q69" s="111">
        <f t="shared" si="27"/>
        <v>5375.3040000000001</v>
      </c>
      <c r="R69" s="111">
        <f t="shared" si="27"/>
        <v>5113.1239999999998</v>
      </c>
      <c r="S69" s="111">
        <f t="shared" si="27"/>
        <v>5371.0680000000002</v>
      </c>
      <c r="T69" s="111">
        <f t="shared" si="27"/>
        <v>20523.232</v>
      </c>
      <c r="U69" s="111">
        <f t="shared" si="27"/>
        <v>27363.531999999999</v>
      </c>
      <c r="V69" s="111">
        <f t="shared" si="27"/>
        <v>4757.5869999999995</v>
      </c>
      <c r="W69" s="111">
        <f t="shared" si="27"/>
        <v>0</v>
      </c>
      <c r="X69" s="111">
        <f t="shared" si="27"/>
        <v>4581.7939999999999</v>
      </c>
      <c r="Y69" s="111">
        <f t="shared" si="27"/>
        <v>0</v>
      </c>
      <c r="Z69" s="111">
        <f t="shared" si="27"/>
        <v>21031.902000000002</v>
      </c>
      <c r="AA69" s="111">
        <f t="shared" si="27"/>
        <v>0</v>
      </c>
      <c r="AB69" s="111">
        <f t="shared" si="27"/>
        <v>11618.455999999998</v>
      </c>
      <c r="AC69" s="111">
        <f t="shared" si="27"/>
        <v>0</v>
      </c>
      <c r="AD69" s="111">
        <f t="shared" si="27"/>
        <v>43613.513999999996</v>
      </c>
      <c r="AE69" s="111">
        <f t="shared" si="27"/>
        <v>0</v>
      </c>
      <c r="AF69" s="29"/>
      <c r="AG69" s="716"/>
    </row>
    <row r="70" spans="1:33" ht="37.5" x14ac:dyDescent="0.3">
      <c r="A70" s="57" t="s">
        <v>100</v>
      </c>
      <c r="B70" s="111">
        <f>B71</f>
        <v>437079.25700000004</v>
      </c>
      <c r="C70" s="519">
        <f>C71</f>
        <v>248816.35500000001</v>
      </c>
      <c r="D70" s="519">
        <f>D71</f>
        <v>248816.35500000001</v>
      </c>
      <c r="E70" s="519">
        <f>E71</f>
        <v>230371.59300000002</v>
      </c>
      <c r="F70" s="32">
        <f>E70/B70*100</f>
        <v>52.707052396220213</v>
      </c>
      <c r="G70" s="47">
        <f t="shared" si="23"/>
        <v>92.586997747796772</v>
      </c>
      <c r="H70" s="111">
        <f t="shared" ref="H70:AE70" si="28">H71</f>
        <v>8647.8289999999997</v>
      </c>
      <c r="I70" s="111">
        <f t="shared" si="28"/>
        <v>4845.607</v>
      </c>
      <c r="J70" s="111">
        <f t="shared" si="28"/>
        <v>13223.939</v>
      </c>
      <c r="K70" s="111">
        <f t="shared" si="28"/>
        <v>13449.98</v>
      </c>
      <c r="L70" s="111">
        <f t="shared" si="28"/>
        <v>7404.3340000000007</v>
      </c>
      <c r="M70" s="111">
        <f t="shared" si="28"/>
        <v>5280.9679999999998</v>
      </c>
      <c r="N70" s="111">
        <f t="shared" si="28"/>
        <v>15436.800999999999</v>
      </c>
      <c r="O70" s="111">
        <f t="shared" si="28"/>
        <v>7143.5010000000002</v>
      </c>
      <c r="P70" s="111">
        <f t="shared" si="28"/>
        <v>5815.5280000000002</v>
      </c>
      <c r="Q70" s="111">
        <f t="shared" si="28"/>
        <v>5375.3040000000001</v>
      </c>
      <c r="R70" s="111">
        <f t="shared" si="28"/>
        <v>5113.1239999999998</v>
      </c>
      <c r="S70" s="111">
        <f t="shared" si="28"/>
        <v>5371.0680000000002</v>
      </c>
      <c r="T70" s="111">
        <f t="shared" si="28"/>
        <v>20523.232</v>
      </c>
      <c r="U70" s="111">
        <f t="shared" si="28"/>
        <v>27363.531999999999</v>
      </c>
      <c r="V70" s="111">
        <f t="shared" si="28"/>
        <v>4757.5869999999995</v>
      </c>
      <c r="W70" s="111">
        <f t="shared" si="28"/>
        <v>0</v>
      </c>
      <c r="X70" s="111">
        <f t="shared" si="28"/>
        <v>4581.7939999999999</v>
      </c>
      <c r="Y70" s="111">
        <f t="shared" si="28"/>
        <v>0</v>
      </c>
      <c r="Z70" s="111">
        <f t="shared" si="28"/>
        <v>21031.902000000002</v>
      </c>
      <c r="AA70" s="111">
        <f t="shared" si="28"/>
        <v>0</v>
      </c>
      <c r="AB70" s="111">
        <f t="shared" si="28"/>
        <v>11618.455999999998</v>
      </c>
      <c r="AC70" s="111">
        <f t="shared" si="28"/>
        <v>0</v>
      </c>
      <c r="AD70" s="111">
        <f t="shared" si="28"/>
        <v>43613.513999999996</v>
      </c>
      <c r="AE70" s="111">
        <f t="shared" si="28"/>
        <v>0</v>
      </c>
      <c r="AF70" s="29"/>
      <c r="AG70" s="716"/>
    </row>
    <row r="71" spans="1:33" ht="18.75" x14ac:dyDescent="0.3">
      <c r="A71" s="15" t="s">
        <v>33</v>
      </c>
      <c r="B71" s="111">
        <f>B69</f>
        <v>437079.25700000004</v>
      </c>
      <c r="C71" s="111">
        <f>C69</f>
        <v>248816.35500000001</v>
      </c>
      <c r="D71" s="111">
        <f>D69</f>
        <v>248816.35500000001</v>
      </c>
      <c r="E71" s="111">
        <f>E69</f>
        <v>230371.59300000002</v>
      </c>
      <c r="F71" s="32">
        <f>E71/B71*100</f>
        <v>52.707052396220213</v>
      </c>
      <c r="G71" s="47">
        <f t="shared" si="23"/>
        <v>92.586997747796772</v>
      </c>
      <c r="H71" s="111">
        <f t="shared" ref="H71:AE71" si="29">H69</f>
        <v>8647.8289999999997</v>
      </c>
      <c r="I71" s="111">
        <f t="shared" si="29"/>
        <v>4845.607</v>
      </c>
      <c r="J71" s="111">
        <f t="shared" si="29"/>
        <v>13223.939</v>
      </c>
      <c r="K71" s="111">
        <f t="shared" si="29"/>
        <v>13449.98</v>
      </c>
      <c r="L71" s="111">
        <f t="shared" si="29"/>
        <v>7404.3340000000007</v>
      </c>
      <c r="M71" s="111">
        <f t="shared" si="29"/>
        <v>5280.9679999999998</v>
      </c>
      <c r="N71" s="111">
        <f t="shared" si="29"/>
        <v>15436.800999999999</v>
      </c>
      <c r="O71" s="111">
        <f t="shared" si="29"/>
        <v>7143.5010000000002</v>
      </c>
      <c r="P71" s="111">
        <f t="shared" si="29"/>
        <v>5815.5280000000002</v>
      </c>
      <c r="Q71" s="111">
        <f t="shared" si="29"/>
        <v>5375.3040000000001</v>
      </c>
      <c r="R71" s="111">
        <f t="shared" si="29"/>
        <v>5113.1239999999998</v>
      </c>
      <c r="S71" s="111">
        <f t="shared" si="29"/>
        <v>5371.0680000000002</v>
      </c>
      <c r="T71" s="111">
        <f t="shared" si="29"/>
        <v>20523.232</v>
      </c>
      <c r="U71" s="111">
        <f t="shared" si="29"/>
        <v>27363.531999999999</v>
      </c>
      <c r="V71" s="111">
        <f t="shared" si="29"/>
        <v>4757.5869999999995</v>
      </c>
      <c r="W71" s="111">
        <f t="shared" si="29"/>
        <v>0</v>
      </c>
      <c r="X71" s="111">
        <f t="shared" si="29"/>
        <v>4581.7939999999999</v>
      </c>
      <c r="Y71" s="111">
        <f t="shared" si="29"/>
        <v>0</v>
      </c>
      <c r="Z71" s="111">
        <f t="shared" si="29"/>
        <v>21031.902000000002</v>
      </c>
      <c r="AA71" s="111">
        <f t="shared" si="29"/>
        <v>0</v>
      </c>
      <c r="AB71" s="111">
        <f t="shared" si="29"/>
        <v>11618.455999999998</v>
      </c>
      <c r="AC71" s="111">
        <f t="shared" si="29"/>
        <v>0</v>
      </c>
      <c r="AD71" s="111">
        <f t="shared" si="29"/>
        <v>43613.513999999996</v>
      </c>
      <c r="AE71" s="111">
        <f t="shared" si="29"/>
        <v>0</v>
      </c>
      <c r="AF71" s="29"/>
      <c r="AG71" s="716"/>
    </row>
    <row r="72" spans="1:33" ht="18.75" x14ac:dyDescent="0.3">
      <c r="A72" s="61"/>
      <c r="B72" s="652"/>
      <c r="C72" s="33"/>
      <c r="D72" s="65"/>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row>
    <row r="73" spans="1:33" ht="37.5" x14ac:dyDescent="0.3">
      <c r="A73" s="9" t="s">
        <v>71</v>
      </c>
      <c r="B73" s="26"/>
      <c r="C73" s="26"/>
      <c r="D73" s="803" t="s">
        <v>524</v>
      </c>
      <c r="E73" s="62"/>
    </row>
    <row r="74" spans="1:33" ht="18.75" x14ac:dyDescent="0.3">
      <c r="A74" s="9"/>
      <c r="B74" s="20" t="s">
        <v>68</v>
      </c>
      <c r="C74" s="20"/>
      <c r="D74" s="22"/>
    </row>
    <row r="75" spans="1:33" ht="41.25" customHeight="1" x14ac:dyDescent="0.3">
      <c r="A75" s="25" t="s">
        <v>69</v>
      </c>
      <c r="B75" s="645" t="s">
        <v>525</v>
      </c>
      <c r="C75" s="645"/>
      <c r="D75" s="646"/>
    </row>
  </sheetData>
  <customSheetViews>
    <customSheetView guid="{7C130984-112A-4861-AA43-E2940708E3DC}" scale="55" state="hidden">
      <pane xSplit="1" ySplit="6" topLeftCell="AF43" activePane="bottomRight" state="frozen"/>
      <selection pane="bottomRight" activeCell="AF51" sqref="AF51"/>
      <pageMargins left="0.7" right="0.7" top="0.75" bottom="0.75" header="0.3" footer="0.3"/>
      <pageSetup paperSize="9" orientation="portrait" r:id="rId1"/>
    </customSheetView>
    <customSheetView guid="{3C3F523F-5F34-4CF7-831E-F1ABC4278CEB}" scale="55">
      <pane xSplit="1" ySplit="6" topLeftCell="AF43" activePane="bottomRight" state="frozen"/>
      <selection pane="bottomRight" activeCell="AF51" sqref="AF51"/>
      <pageMargins left="0.7" right="0.7" top="0.75" bottom="0.75" header="0.3" footer="0.3"/>
      <pageSetup paperSize="9" orientation="portrait" r:id="rId2"/>
    </customSheetView>
    <customSheetView guid="{D01FA037-9AEC-4167-ADB8-2F327C01ECE6}" scale="55">
      <pane xSplit="1" ySplit="6" topLeftCell="AF43" activePane="bottomRight" state="frozen"/>
      <selection pane="bottomRight" activeCell="AF51" sqref="AF51"/>
      <pageMargins left="0.7" right="0.7" top="0.75" bottom="0.75" header="0.3" footer="0.3"/>
      <pageSetup paperSize="9" orientation="portrait" r:id="rId3"/>
    </customSheetView>
    <customSheetView guid="{602C8EDB-B9EF-4C85-B0D5-0558C3A0ABAB}" scale="55">
      <pane xSplit="1" ySplit="6" topLeftCell="AF43" activePane="bottomRight" state="frozen"/>
      <selection pane="bottomRight" activeCell="AF51" sqref="AF51"/>
      <pageMargins left="0.7" right="0.7" top="0.75" bottom="0.75" header="0.3" footer="0.3"/>
      <pageSetup paperSize="9" orientation="portrait" r:id="rId4"/>
    </customSheetView>
    <customSheetView guid="{69DABE6F-6182-4403-A4A2-969F10F1C13A}" scale="55">
      <pane xSplit="1" ySplit="6" topLeftCell="AF43" activePane="bottomRight" state="frozen"/>
      <selection pane="bottomRight" activeCell="AF51" sqref="AF51"/>
      <pageMargins left="0.7" right="0.7" top="0.75" bottom="0.75" header="0.3" footer="0.3"/>
      <pageSetup paperSize="9" orientation="portrait" r:id="rId5"/>
    </customSheetView>
    <customSheetView guid="{E508E171-4ED9-4B07-84DF-DA28C60E1969}" scale="55">
      <pane xSplit="1" ySplit="6" topLeftCell="AF43" activePane="bottomRight" state="frozen"/>
      <selection pane="bottomRight" activeCell="AF51" sqref="AF51"/>
      <pageMargins left="0.7" right="0.7" top="0.75" bottom="0.75" header="0.3" footer="0.3"/>
      <pageSetup paperSize="9" orientation="portrait" r:id="rId6"/>
    </customSheetView>
    <customSheetView guid="{AC2D5927-4079-4C74-AF69-1BFAC505648F}" scale="55">
      <pane xSplit="1" ySplit="6" topLeftCell="Q7" activePane="bottomRight" state="frozen"/>
      <selection pane="bottomRight" activeCell="AF30" sqref="AF30"/>
      <pageMargins left="0.7" right="0.7" top="0.75" bottom="0.75" header="0.3" footer="0.3"/>
      <pageSetup paperSize="9" orientation="portrait" r:id="rId7"/>
    </customSheetView>
    <customSheetView guid="{442F2C94-DD1B-4A01-8694-513D4D6F3BD9}" scale="55">
      <pane xSplit="1" ySplit="6" topLeftCell="B58" activePane="bottomRight" state="frozen"/>
      <selection pane="bottomRight" activeCell="E20" sqref="E20"/>
      <pageMargins left="0.7" right="0.7" top="0.75" bottom="0.75" header="0.3" footer="0.3"/>
      <pageSetup paperSize="9" orientation="portrait" r:id="rId8"/>
    </customSheetView>
    <customSheetView guid="{CE1CCA00-200D-4EAA-9FBE-F8EE7C5F82FE}" scale="55">
      <pane xSplit="1" ySplit="6" topLeftCell="B58" activePane="bottomRight" state="frozen"/>
      <selection pane="bottomRight" activeCell="E20" sqref="E20"/>
      <pageMargins left="0.7" right="0.7" top="0.75" bottom="0.75" header="0.3" footer="0.3"/>
      <pageSetup paperSize="9" orientation="portrait" r:id="rId9"/>
    </customSheetView>
    <customSheetView guid="{4D0DFB57-2CBA-42F2-9A97-C453A6851FBA}" scale="55">
      <pane xSplit="1" ySplit="6" topLeftCell="B7" activePane="bottomRight" state="frozen"/>
      <selection pane="bottomRight" activeCell="E20" sqref="E20"/>
      <pageMargins left="0.7" right="0.7" top="0.75" bottom="0.75" header="0.3" footer="0.3"/>
      <pageSetup paperSize="9" orientation="portrait" r:id="rId10"/>
    </customSheetView>
    <customSheetView guid="{85F4575B-DBC5-482A-9916-255D8F0BC94E}" scale="55">
      <pane xSplit="1" ySplit="6" topLeftCell="X54" activePane="bottomRight" state="frozen"/>
      <selection pane="bottomRight" activeCell="A49" sqref="A49"/>
      <pageMargins left="0.7" right="0.7" top="0.75" bottom="0.75" header="0.3" footer="0.3"/>
      <pageSetup paperSize="9" orientation="portrait" r:id="rId11"/>
    </customSheetView>
    <customSheetView guid="{B1BF08D1-D416-4B47-ADD0-4F59132DC9E8}" scale="55">
      <pane xSplit="1" ySplit="6" topLeftCell="X45" activePane="bottomRight" state="frozen"/>
      <selection pane="bottomRight" activeCell="AF49" sqref="AF49"/>
      <pageMargins left="0.7" right="0.7" top="0.75" bottom="0.75" header="0.3" footer="0.3"/>
      <pageSetup paperSize="9" orientation="portrait" r:id="rId12"/>
    </customSheetView>
    <customSheetView guid="{BCD82A82-B724-4763-8580-D765356E09BA}" scale="60">
      <pane xSplit="1" ySplit="6" topLeftCell="I7" activePane="bottomRight" state="frozen"/>
      <selection pane="bottomRight" activeCell="A2" sqref="A2:AE2"/>
      <pageMargins left="0.7" right="0.7" top="0.75" bottom="0.75" header="0.3" footer="0.3"/>
      <pageSetup paperSize="9" orientation="portrait" r:id="rId13"/>
    </customSheetView>
    <customSheetView guid="{C236B307-BD63-48C4-A75F-B3F3717BF55C}" scale="60">
      <pane xSplit="1" ySplit="6" topLeftCell="I64" activePane="bottomRight" state="frozen"/>
      <selection pane="bottomRight" activeCell="A2" sqref="A2:AE2"/>
      <pageMargins left="0.7" right="0.7" top="0.75" bottom="0.75" header="0.3" footer="0.3"/>
      <pageSetup paperSize="9" orientation="portrait" r:id="rId14"/>
    </customSheetView>
    <customSheetView guid="{874882D1-E741-4CCA-BF0D-E72FA60B771D}" scale="60">
      <pane xSplit="1" ySplit="6" topLeftCell="I64" activePane="bottomRight" state="frozen"/>
      <selection pane="bottomRight" activeCell="A2" sqref="A2:AE2"/>
      <pageMargins left="0.7" right="0.7" top="0.75" bottom="0.75" header="0.3" footer="0.3"/>
      <pageSetup paperSize="9" orientation="portrait" r:id="rId15"/>
    </customSheetView>
    <customSheetView guid="{B82BA08A-1A30-4F4D-A478-74A6BD09EA97}" scale="60">
      <pane xSplit="1" ySplit="6" topLeftCell="B7" activePane="bottomRight" state="frozen"/>
      <selection pane="bottomRight" activeCell="P79" sqref="P79"/>
      <pageMargins left="0.7" right="0.7" top="0.75" bottom="0.75" header="0.3" footer="0.3"/>
      <pageSetup paperSize="9" orientation="portrait" r:id="rId16"/>
    </customSheetView>
    <customSheetView guid="{770624BF-07F3-44B6-94C3-4CC447CDD45C}" scale="60">
      <pane xSplit="1" ySplit="6" topLeftCell="B7" activePane="bottomRight" state="frozen"/>
      <selection pane="bottomRight" activeCell="AB25" sqref="AB25"/>
      <pageMargins left="0.7" right="0.7" top="0.75" bottom="0.75" header="0.3" footer="0.3"/>
      <pageSetup paperSize="9" orientation="portrait" r:id="rId17"/>
    </customSheetView>
    <customSheetView guid="{009B3074-D8EC-4952-BF50-43CD64449612}" scale="55">
      <pane xSplit="1" ySplit="6" topLeftCell="B33" activePane="bottomRight" state="frozen"/>
      <selection pane="bottomRight" activeCell="B41" sqref="B41"/>
      <pageMargins left="0.7" right="0.7" top="0.75" bottom="0.75" header="0.3" footer="0.3"/>
      <pageSetup paperSize="9" orientation="portrait" r:id="rId18"/>
    </customSheetView>
    <customSheetView guid="{F679EF4A-C5FD-4B86-B87B-D85968E0F2CA}" scale="55">
      <pane xSplit="1" ySplit="6" topLeftCell="B33" activePane="bottomRight" state="frozen"/>
      <selection pane="bottomRight" activeCell="C52" sqref="C52"/>
      <pageMargins left="0.7" right="0.7" top="0.75" bottom="0.75" header="0.3" footer="0.3"/>
      <pageSetup paperSize="9" orientation="portrait" r:id="rId19"/>
    </customSheetView>
    <customSheetView guid="{959E901C-5DDE-42EE-AE94-AB8976B5E00B}" scale="55">
      <pane xSplit="1" ySplit="6" topLeftCell="X45" activePane="bottomRight" state="frozen"/>
      <selection pane="bottomRight" activeCell="AF49" sqref="AF49"/>
      <pageMargins left="0.7" right="0.7" top="0.75" bottom="0.75" header="0.3" footer="0.3"/>
      <pageSetup paperSize="9" orientation="portrait" r:id="rId20"/>
    </customSheetView>
    <customSheetView guid="{533DC55B-6AD4-4674-9488-685EF2039F3E}" scale="55">
      <pane xSplit="1" ySplit="6" topLeftCell="B7" activePane="bottomRight" state="frozen"/>
      <selection pane="bottomRight" activeCell="F75" sqref="F75"/>
      <pageMargins left="0.7" right="0.7" top="0.75" bottom="0.75" header="0.3" footer="0.3"/>
      <pageSetup paperSize="9" orientation="portrait" r:id="rId21"/>
    </customSheetView>
    <customSheetView guid="{87218168-6C8E-4D5B-A5E5-DCCC26803AA3}" scale="55">
      <pane xSplit="1" ySplit="6" topLeftCell="B7" activePane="bottomRight" state="frozen"/>
      <selection pane="bottomRight" activeCell="E20" sqref="E20"/>
      <pageMargins left="0.7" right="0.7" top="0.75" bottom="0.75" header="0.3" footer="0.3"/>
      <pageSetup paperSize="9" orientation="portrait" r:id="rId22"/>
    </customSheetView>
    <customSheetView guid="{DAA8A688-7558-4B5B-8DBD-E2629BD9E9A8}" scale="55">
      <pane xSplit="1" ySplit="6" topLeftCell="B58" activePane="bottomRight" state="frozen"/>
      <selection pane="bottomRight" activeCell="E20" sqref="E20"/>
      <pageMargins left="0.7" right="0.7" top="0.75" bottom="0.75" header="0.3" footer="0.3"/>
      <pageSetup paperSize="9" orientation="portrait" r:id="rId23"/>
    </customSheetView>
    <customSheetView guid="{391AB76E-B386-49C1-800F-016A48AA1A46}" scale="55">
      <pane xSplit="1" ySplit="6" topLeftCell="Q7" activePane="bottomRight" state="frozen"/>
      <selection pane="bottomRight" activeCell="AF30" sqref="AF30"/>
      <pageMargins left="0.7" right="0.7" top="0.75" bottom="0.75" header="0.3" footer="0.3"/>
      <pageSetup paperSize="9" orientation="portrait" r:id="rId24"/>
    </customSheetView>
    <customSheetView guid="{09C3E205-981E-4A4E-BE89-8B7044192060}" scale="55">
      <pane xSplit="1" ySplit="6" topLeftCell="AF43" activePane="bottomRight" state="frozen"/>
      <selection pane="bottomRight" activeCell="AF51" sqref="AF51"/>
      <pageMargins left="0.7" right="0.7" top="0.75" bottom="0.75" header="0.3" footer="0.3"/>
      <pageSetup paperSize="9" orientation="portrait" r:id="rId25"/>
    </customSheetView>
    <customSheetView guid="{84867370-1F3E-4368-AF79-FBCE46FFFE92}" scale="55">
      <pane xSplit="1" ySplit="6" topLeftCell="AF43" activePane="bottomRight" state="frozen"/>
      <selection pane="bottomRight" activeCell="AF51" sqref="AF51"/>
      <pageMargins left="0.7" right="0.7" top="0.75" bottom="0.75" header="0.3" footer="0.3"/>
      <pageSetup paperSize="9" orientation="portrait" r:id="rId26"/>
    </customSheetView>
    <customSheetView guid="{0C2B9C2A-7B94-41EF-A2E6-F8AC9A67DE25}" scale="55">
      <pane xSplit="1" ySplit="6" topLeftCell="AF43" activePane="bottomRight" state="frozen"/>
      <selection pane="bottomRight" activeCell="AF51" sqref="AF51"/>
      <pageMargins left="0.7" right="0.7" top="0.75" bottom="0.75" header="0.3" footer="0.3"/>
      <pageSetup paperSize="9" orientation="portrait" r:id="rId27"/>
    </customSheetView>
    <customSheetView guid="{CB4792DB-A624-4844-AEB6-A6ADA80946BB}" scale="55">
      <pane xSplit="1" ySplit="6" topLeftCell="AF43" activePane="bottomRight" state="frozen"/>
      <selection pane="bottomRight" activeCell="AF51" sqref="AF51"/>
      <pageMargins left="0.7" right="0.7" top="0.75" bottom="0.75" header="0.3" footer="0.3"/>
      <pageSetup paperSize="9" orientation="portrait" r:id="rId28"/>
    </customSheetView>
    <customSheetView guid="{74870EE6-26B9-40F7-9DC9-260EF16D8959}" scale="55">
      <pane xSplit="1" ySplit="6" topLeftCell="B61" activePane="bottomRight" state="frozen"/>
      <selection pane="bottomRight" activeCell="AF30" sqref="AF30"/>
      <pageMargins left="0.7" right="0.7" top="0.75" bottom="0.75" header="0.3" footer="0.3"/>
      <pageSetup paperSize="9" orientation="portrait" r:id="rId29"/>
    </customSheetView>
    <customSheetView guid="{6A602CB8-B24C-4ED4-B378-B27354BE0A1A}" scale="55">
      <pane xSplit="1" ySplit="6" topLeftCell="AF43" activePane="bottomRight" state="frozen"/>
      <selection pane="bottomRight" activeCell="AF51" sqref="AF51"/>
      <pageMargins left="0.7" right="0.7" top="0.75" bottom="0.75" header="0.3" footer="0.3"/>
      <pageSetup paperSize="9" orientation="portrait" r:id="rId30"/>
    </customSheetView>
    <customSheetView guid="{4F41B9CC-959D-442C-80B0-1F0DB2C76D27}" scale="55">
      <pane xSplit="1" ySplit="5" topLeftCell="AF43" activePane="bottomRight" state="frozen"/>
      <selection pane="bottomRight" activeCell="AF51" sqref="AF51"/>
      <pageMargins left="0.7" right="0.7" top="0.75" bottom="0.75" header="0.3" footer="0.3"/>
      <pageSetup paperSize="9" orientation="portrait" r:id="rId31"/>
    </customSheetView>
    <customSheetView guid="{47B983AB-FE5F-4725-860C-A2F29420596D}" scale="55">
      <pane xSplit="1" ySplit="6" topLeftCell="AF43" activePane="bottomRight" state="frozen"/>
      <selection pane="bottomRight" activeCell="AF51" sqref="AF51"/>
      <pageMargins left="0.7" right="0.7" top="0.75" bottom="0.75" header="0.3" footer="0.3"/>
      <pageSetup paperSize="9" orientation="portrait" r:id="rId32"/>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 &quot;Управление муниципальным имуществом города Когалыма&quot;"/>
  </hyperlinks>
  <pageMargins left="0.7" right="0.7" top="0.75" bottom="0.75" header="0.3" footer="0.3"/>
  <pageSetup paperSize="9" orientation="portrait" r:id="rId33"/>
  <legacyDrawing r:id="rId3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46"/>
  <sheetViews>
    <sheetView zoomScale="55" zoomScaleNormal="55" workbookViewId="0">
      <pane xSplit="5" ySplit="6" topLeftCell="F118" activePane="bottomRight" state="frozen"/>
      <selection pane="topRight" activeCell="F1" sqref="F1"/>
      <selection pane="bottomLeft" activeCell="A7" sqref="A7"/>
      <selection pane="bottomRight" activeCell="U122" sqref="U122"/>
    </sheetView>
  </sheetViews>
  <sheetFormatPr defaultRowHeight="15" x14ac:dyDescent="0.25"/>
  <cols>
    <col min="1" max="1" width="46.140625" style="62" customWidth="1"/>
    <col min="2" max="2" width="18.7109375" bestFit="1" customWidth="1"/>
    <col min="3" max="3" width="15.42578125" bestFit="1" customWidth="1"/>
    <col min="4" max="4" width="21" customWidth="1"/>
    <col min="5" max="5" width="17.5703125" customWidth="1"/>
    <col min="6" max="6" width="16.5703125" bestFit="1" customWidth="1"/>
    <col min="7" max="7" width="20.28515625" customWidth="1"/>
    <col min="8" max="8" width="15.5703125" bestFit="1" customWidth="1"/>
    <col min="9" max="9" width="15.28515625" customWidth="1"/>
    <col min="10" max="10" width="17.28515625" bestFit="1" customWidth="1"/>
    <col min="11" max="11" width="16.85546875" customWidth="1"/>
    <col min="12" max="12" width="15.5703125" bestFit="1" customWidth="1"/>
    <col min="13" max="13" width="16.42578125" customWidth="1"/>
    <col min="14" max="14" width="17.28515625" bestFit="1" customWidth="1"/>
    <col min="15" max="15" width="14.42578125" bestFit="1" customWidth="1"/>
    <col min="16" max="16" width="17.28515625" bestFit="1" customWidth="1"/>
    <col min="17" max="17" width="17" customWidth="1"/>
    <col min="18" max="18" width="17.28515625" bestFit="1" customWidth="1"/>
    <col min="19" max="19" width="16.7109375" customWidth="1"/>
    <col min="20" max="20" width="17.28515625" bestFit="1" customWidth="1"/>
    <col min="21" max="21" width="15.140625" customWidth="1"/>
    <col min="22" max="22" width="17.28515625" bestFit="1" customWidth="1"/>
    <col min="23" max="23" width="13.5703125" bestFit="1" customWidth="1"/>
    <col min="24" max="24" width="15.5703125" bestFit="1" customWidth="1"/>
    <col min="25" max="25" width="13.5703125" bestFit="1" customWidth="1"/>
    <col min="26" max="26" width="17.28515625" bestFit="1" customWidth="1"/>
    <col min="27" max="27" width="13.5703125" bestFit="1" customWidth="1"/>
    <col min="28" max="28" width="15.5703125" bestFit="1" customWidth="1"/>
    <col min="29" max="29" width="13.5703125" bestFit="1" customWidth="1"/>
    <col min="30" max="30" width="17" bestFit="1" customWidth="1"/>
    <col min="31" max="31" width="13.5703125" bestFit="1" customWidth="1"/>
    <col min="32" max="32" width="32.140625" customWidth="1"/>
    <col min="33" max="33" width="11.7109375" customWidth="1"/>
  </cols>
  <sheetData>
    <row r="1" spans="1:33" ht="18.75" x14ac:dyDescent="0.25">
      <c r="A1" s="1050" t="s">
        <v>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row>
    <row r="2" spans="1:33" ht="18.75" x14ac:dyDescent="0.25">
      <c r="A2" s="1051" t="s">
        <v>94</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 t="s">
        <v>1</v>
      </c>
    </row>
    <row r="3" spans="1:33" x14ac:dyDescent="0.25">
      <c r="A3" s="1043" t="s">
        <v>2</v>
      </c>
      <c r="B3" s="1052" t="s">
        <v>3</v>
      </c>
      <c r="C3" s="1052" t="s">
        <v>3</v>
      </c>
      <c r="D3" s="1052" t="s">
        <v>4</v>
      </c>
      <c r="E3" s="1054" t="s">
        <v>5</v>
      </c>
      <c r="F3" s="1046" t="s">
        <v>6</v>
      </c>
      <c r="G3" s="1047"/>
      <c r="H3" s="1046" t="s">
        <v>7</v>
      </c>
      <c r="I3" s="1047"/>
      <c r="J3" s="1046" t="s">
        <v>8</v>
      </c>
      <c r="K3" s="1047"/>
      <c r="L3" s="1046" t="s">
        <v>9</v>
      </c>
      <c r="M3" s="1047"/>
      <c r="N3" s="1046" t="s">
        <v>10</v>
      </c>
      <c r="O3" s="1047"/>
      <c r="P3" s="1046" t="s">
        <v>11</v>
      </c>
      <c r="Q3" s="1047"/>
      <c r="R3" s="1046" t="s">
        <v>12</v>
      </c>
      <c r="S3" s="1047"/>
      <c r="T3" s="1046" t="s">
        <v>13</v>
      </c>
      <c r="U3" s="1047"/>
      <c r="V3" s="1046" t="s">
        <v>14</v>
      </c>
      <c r="W3" s="1047"/>
      <c r="X3" s="1046" t="s">
        <v>15</v>
      </c>
      <c r="Y3" s="1047"/>
      <c r="Z3" s="1046" t="s">
        <v>16</v>
      </c>
      <c r="AA3" s="1047"/>
      <c r="AB3" s="1046" t="s">
        <v>17</v>
      </c>
      <c r="AC3" s="1047"/>
      <c r="AD3" s="1046" t="s">
        <v>18</v>
      </c>
      <c r="AE3" s="1047"/>
      <c r="AF3" s="1043" t="s">
        <v>19</v>
      </c>
    </row>
    <row r="4" spans="1:33" ht="42.75" customHeight="1" x14ac:dyDescent="0.25">
      <c r="A4" s="1044"/>
      <c r="B4" s="1053"/>
      <c r="C4" s="1053"/>
      <c r="D4" s="1053"/>
      <c r="E4" s="1055"/>
      <c r="F4" s="1048"/>
      <c r="G4" s="1049"/>
      <c r="H4" s="1048"/>
      <c r="I4" s="1049"/>
      <c r="J4" s="1048"/>
      <c r="K4" s="1049"/>
      <c r="L4" s="1048"/>
      <c r="M4" s="1049"/>
      <c r="N4" s="1048"/>
      <c r="O4" s="1049"/>
      <c r="P4" s="1048"/>
      <c r="Q4" s="1049"/>
      <c r="R4" s="1048"/>
      <c r="S4" s="1049"/>
      <c r="T4" s="1048"/>
      <c r="U4" s="1049"/>
      <c r="V4" s="1048"/>
      <c r="W4" s="1049"/>
      <c r="X4" s="1048"/>
      <c r="Y4" s="1049"/>
      <c r="Z4" s="1048"/>
      <c r="AA4" s="1049"/>
      <c r="AB4" s="1048"/>
      <c r="AC4" s="1049"/>
      <c r="AD4" s="1048"/>
      <c r="AE4" s="1049"/>
      <c r="AF4" s="1044"/>
    </row>
    <row r="5" spans="1:33" ht="37.5" x14ac:dyDescent="0.25">
      <c r="A5" s="24"/>
      <c r="B5" s="3">
        <v>2024</v>
      </c>
      <c r="C5" s="4">
        <v>45505</v>
      </c>
      <c r="D5" s="4">
        <v>45505</v>
      </c>
      <c r="E5" s="4">
        <v>45505</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45"/>
    </row>
    <row r="6" spans="1:33" ht="18.75" x14ac:dyDescent="0.25">
      <c r="A6" s="6">
        <v>1</v>
      </c>
      <c r="B6" s="760">
        <v>2</v>
      </c>
      <c r="C6" s="760">
        <v>3</v>
      </c>
      <c r="D6" s="760">
        <v>4</v>
      </c>
      <c r="E6" s="760">
        <v>5</v>
      </c>
      <c r="F6" s="760">
        <v>6</v>
      </c>
      <c r="G6" s="760">
        <v>7</v>
      </c>
      <c r="H6" s="760">
        <v>8</v>
      </c>
      <c r="I6" s="760">
        <v>9</v>
      </c>
      <c r="J6" s="760">
        <v>10</v>
      </c>
      <c r="K6" s="760">
        <v>11</v>
      </c>
      <c r="L6" s="760">
        <v>12</v>
      </c>
      <c r="M6" s="760">
        <v>13</v>
      </c>
      <c r="N6" s="760">
        <v>14</v>
      </c>
      <c r="O6" s="760">
        <v>15</v>
      </c>
      <c r="P6" s="760">
        <v>16</v>
      </c>
      <c r="Q6" s="760">
        <v>17</v>
      </c>
      <c r="R6" s="760">
        <v>18</v>
      </c>
      <c r="S6" s="760">
        <v>19</v>
      </c>
      <c r="T6" s="760">
        <v>20</v>
      </c>
      <c r="U6" s="760">
        <v>21</v>
      </c>
      <c r="V6" s="760">
        <v>22</v>
      </c>
      <c r="W6" s="760">
        <v>23</v>
      </c>
      <c r="X6" s="760">
        <v>24</v>
      </c>
      <c r="Y6" s="760">
        <v>25</v>
      </c>
      <c r="Z6" s="760">
        <v>26</v>
      </c>
      <c r="AA6" s="760">
        <v>27</v>
      </c>
      <c r="AB6" s="760">
        <v>28</v>
      </c>
      <c r="AC6" s="760">
        <v>29</v>
      </c>
      <c r="AD6" s="760">
        <v>30</v>
      </c>
      <c r="AE6" s="760">
        <v>31</v>
      </c>
      <c r="AF6" s="2">
        <v>32</v>
      </c>
    </row>
    <row r="7" spans="1:33" ht="37.5" x14ac:dyDescent="0.25">
      <c r="A7" s="66" t="s">
        <v>95</v>
      </c>
      <c r="B7" s="760"/>
      <c r="C7" s="761"/>
      <c r="D7" s="760"/>
      <c r="E7" s="760"/>
      <c r="F7" s="760"/>
      <c r="G7" s="760"/>
      <c r="H7" s="760"/>
      <c r="I7" s="760"/>
      <c r="J7" s="760"/>
      <c r="K7" s="760"/>
      <c r="L7" s="760"/>
      <c r="M7" s="760"/>
      <c r="N7" s="760"/>
      <c r="O7" s="760"/>
      <c r="P7" s="760"/>
      <c r="Q7" s="760"/>
      <c r="R7" s="760"/>
      <c r="S7" s="760"/>
      <c r="T7" s="760"/>
      <c r="U7" s="760"/>
      <c r="V7" s="760"/>
      <c r="W7" s="760"/>
      <c r="X7" s="760"/>
      <c r="Y7" s="760"/>
      <c r="Z7" s="760"/>
      <c r="AA7" s="760"/>
      <c r="AB7" s="760"/>
      <c r="AC7" s="760"/>
      <c r="AD7" s="760"/>
      <c r="AE7" s="760"/>
      <c r="AF7" s="2"/>
    </row>
    <row r="8" spans="1:33" ht="18.75" x14ac:dyDescent="0.25">
      <c r="A8" s="64" t="s">
        <v>54</v>
      </c>
      <c r="B8" s="760"/>
      <c r="C8" s="760"/>
      <c r="D8" s="760"/>
      <c r="E8" s="760"/>
      <c r="F8" s="760"/>
      <c r="G8" s="760"/>
      <c r="H8" s="760"/>
      <c r="I8" s="760"/>
      <c r="J8" s="760"/>
      <c r="K8" s="760"/>
      <c r="L8" s="760"/>
      <c r="M8" s="760"/>
      <c r="N8" s="760"/>
      <c r="O8" s="760"/>
      <c r="P8" s="760"/>
      <c r="Q8" s="760"/>
      <c r="R8" s="760"/>
      <c r="S8" s="760"/>
      <c r="T8" s="760"/>
      <c r="U8" s="760"/>
      <c r="V8" s="760"/>
      <c r="W8" s="760"/>
      <c r="X8" s="760"/>
      <c r="Y8" s="760"/>
      <c r="Z8" s="760"/>
      <c r="AA8" s="760"/>
      <c r="AB8" s="760"/>
      <c r="AC8" s="760"/>
      <c r="AD8" s="760"/>
      <c r="AE8" s="760"/>
      <c r="AF8" s="2"/>
    </row>
    <row r="9" spans="1:33" ht="56.25" customHeight="1" x14ac:dyDescent="0.25">
      <c r="A9" s="50" t="s">
        <v>96</v>
      </c>
      <c r="B9" s="30">
        <f>B10</f>
        <v>647.34</v>
      </c>
      <c r="C9" s="705">
        <f>C10</f>
        <v>165.77</v>
      </c>
      <c r="D9" s="705">
        <f>D10</f>
        <v>177.14999999999998</v>
      </c>
      <c r="E9" s="705">
        <f>E10</f>
        <v>160.82</v>
      </c>
      <c r="F9" s="705"/>
      <c r="G9" s="30"/>
      <c r="H9" s="705"/>
      <c r="I9" s="705"/>
      <c r="J9" s="705"/>
      <c r="K9" s="705"/>
      <c r="L9" s="705"/>
      <c r="M9" s="705"/>
      <c r="N9" s="30"/>
      <c r="O9" s="30"/>
      <c r="P9" s="30"/>
      <c r="Q9" s="30"/>
      <c r="R9" s="30"/>
      <c r="S9" s="30"/>
      <c r="T9" s="30"/>
      <c r="U9" s="30"/>
      <c r="V9" s="30"/>
      <c r="W9" s="30"/>
      <c r="X9" s="30"/>
      <c r="Y9" s="30"/>
      <c r="Z9" s="30"/>
      <c r="AA9" s="30"/>
      <c r="AB9" s="30"/>
      <c r="AC9" s="30"/>
      <c r="AD9" s="30"/>
      <c r="AE9" s="30"/>
      <c r="AF9" s="21"/>
    </row>
    <row r="10" spans="1:33" ht="18.75" x14ac:dyDescent="0.3">
      <c r="A10" s="13" t="s">
        <v>31</v>
      </c>
      <c r="B10" s="47">
        <f>B12+B11</f>
        <v>647.34</v>
      </c>
      <c r="C10" s="701">
        <f>C12+C11</f>
        <v>165.77</v>
      </c>
      <c r="D10" s="701">
        <f>D11+D12+D13</f>
        <v>177.14999999999998</v>
      </c>
      <c r="E10" s="701">
        <f>E12+E11</f>
        <v>160.82</v>
      </c>
      <c r="F10" s="702">
        <f>E10/B10*100</f>
        <v>24.843204498408873</v>
      </c>
      <c r="G10" s="32">
        <f>E10/C10*100</f>
        <v>97.013934970139331</v>
      </c>
      <c r="H10" s="701">
        <f>H11+H12</f>
        <v>0</v>
      </c>
      <c r="I10" s="701">
        <f t="shared" ref="I10:AE10" si="0">I11+I12</f>
        <v>0</v>
      </c>
      <c r="J10" s="701">
        <f t="shared" si="0"/>
        <v>0</v>
      </c>
      <c r="K10" s="701">
        <f t="shared" si="0"/>
        <v>0</v>
      </c>
      <c r="L10" s="701">
        <f t="shared" si="0"/>
        <v>0</v>
      </c>
      <c r="M10" s="701">
        <f t="shared" si="0"/>
        <v>0</v>
      </c>
      <c r="N10" s="47">
        <f>N12+N11</f>
        <v>165.77</v>
      </c>
      <c r="O10" s="701">
        <f t="shared" si="0"/>
        <v>154.07</v>
      </c>
      <c r="P10" s="701">
        <f t="shared" si="0"/>
        <v>0</v>
      </c>
      <c r="Q10" s="701">
        <f t="shared" si="0"/>
        <v>6.75</v>
      </c>
      <c r="R10" s="701">
        <f t="shared" si="0"/>
        <v>0</v>
      </c>
      <c r="S10" s="701">
        <f t="shared" si="0"/>
        <v>0</v>
      </c>
      <c r="T10" s="47">
        <v>159.02000000000001</v>
      </c>
      <c r="U10" s="701">
        <f t="shared" si="0"/>
        <v>0</v>
      </c>
      <c r="V10" s="701">
        <f t="shared" si="0"/>
        <v>0</v>
      </c>
      <c r="W10" s="701">
        <f t="shared" si="0"/>
        <v>0</v>
      </c>
      <c r="X10" s="701">
        <f t="shared" si="0"/>
        <v>0</v>
      </c>
      <c r="Y10" s="701">
        <f t="shared" si="0"/>
        <v>0</v>
      </c>
      <c r="Z10" s="47">
        <f t="shared" si="0"/>
        <v>161.27000000000001</v>
      </c>
      <c r="AA10" s="701">
        <f t="shared" si="0"/>
        <v>0</v>
      </c>
      <c r="AB10" s="701">
        <f t="shared" si="0"/>
        <v>0</v>
      </c>
      <c r="AC10" s="701">
        <f t="shared" si="0"/>
        <v>0</v>
      </c>
      <c r="AD10" s="47">
        <f t="shared" si="0"/>
        <v>161.27000000000001</v>
      </c>
      <c r="AE10" s="701">
        <f t="shared" si="0"/>
        <v>0</v>
      </c>
      <c r="AF10" s="29"/>
      <c r="AG10" s="706"/>
    </row>
    <row r="11" spans="1:33" ht="18.75" x14ac:dyDescent="0.3">
      <c r="A11" s="13" t="s">
        <v>97</v>
      </c>
      <c r="B11" s="47">
        <f>H11+J11+L11+N11+P11+R11+T11+V11+X11+Z11+AB11+AD11</f>
        <v>152.29</v>
      </c>
      <c r="C11" s="701">
        <f>H11+J11+L11+N11</f>
        <v>38.07</v>
      </c>
      <c r="D11" s="701">
        <f>E11</f>
        <v>38.07</v>
      </c>
      <c r="E11" s="701">
        <f>K11+M11+O11+Q11+S11+U11+W11+Y11+AA11+AC11+AE11</f>
        <v>38.07</v>
      </c>
      <c r="F11" s="702">
        <f>E11/B11*100</f>
        <v>24.998358395167116</v>
      </c>
      <c r="G11" s="32">
        <f>E11/C11*100</f>
        <v>100</v>
      </c>
      <c r="H11" s="701">
        <v>0</v>
      </c>
      <c r="I11" s="701">
        <v>0</v>
      </c>
      <c r="J11" s="701">
        <v>0</v>
      </c>
      <c r="K11" s="701">
        <v>0</v>
      </c>
      <c r="L11" s="701">
        <v>0</v>
      </c>
      <c r="M11" s="701">
        <v>0</v>
      </c>
      <c r="N11" s="47">
        <v>38.07</v>
      </c>
      <c r="O11" s="701">
        <v>38.07</v>
      </c>
      <c r="P11" s="701"/>
      <c r="Q11" s="701"/>
      <c r="R11" s="701"/>
      <c r="S11" s="701"/>
      <c r="T11" s="47">
        <v>38.08</v>
      </c>
      <c r="U11" s="701"/>
      <c r="V11" s="701"/>
      <c r="W11" s="701"/>
      <c r="X11" s="701"/>
      <c r="Y11" s="701"/>
      <c r="Z11" s="47">
        <v>38.07</v>
      </c>
      <c r="AA11" s="701"/>
      <c r="AB11" s="701"/>
      <c r="AC11" s="701"/>
      <c r="AD11" s="47">
        <v>38.07</v>
      </c>
      <c r="AE11" s="701"/>
      <c r="AF11" s="29"/>
      <c r="AG11" s="706"/>
    </row>
    <row r="12" spans="1:33" ht="93.75" x14ac:dyDescent="0.3">
      <c r="A12" s="17" t="s">
        <v>33</v>
      </c>
      <c r="B12" s="47">
        <f>H12+J12+L12+N12+P12+R12+T12+V12+X12+Z12+AB12+AD12</f>
        <v>495.05</v>
      </c>
      <c r="C12" s="701">
        <f>H12+J12+L12+N12</f>
        <v>127.7</v>
      </c>
      <c r="D12" s="701">
        <f>E12</f>
        <v>122.75</v>
      </c>
      <c r="E12" s="701">
        <f>K12+M12+O12+Q12+S12+U12+W12+Y12+AA12+AC12+AE12+I12</f>
        <v>122.75</v>
      </c>
      <c r="F12" s="702">
        <f>E12/B12*100</f>
        <v>24.795475204524795</v>
      </c>
      <c r="G12" s="32">
        <f>E12/C12*100</f>
        <v>96.123727486296005</v>
      </c>
      <c r="H12" s="702">
        <v>0</v>
      </c>
      <c r="I12" s="702">
        <v>0</v>
      </c>
      <c r="J12" s="702">
        <v>0</v>
      </c>
      <c r="K12" s="702">
        <v>0</v>
      </c>
      <c r="L12" s="702">
        <v>0</v>
      </c>
      <c r="M12" s="702">
        <v>0</v>
      </c>
      <c r="N12" s="47">
        <v>127.7</v>
      </c>
      <c r="O12" s="701">
        <v>116</v>
      </c>
      <c r="P12" s="701"/>
      <c r="Q12" s="701">
        <v>6.75</v>
      </c>
      <c r="R12" s="701"/>
      <c r="S12" s="701"/>
      <c r="T12" s="47">
        <v>120.95</v>
      </c>
      <c r="U12" s="701"/>
      <c r="V12" s="701"/>
      <c r="W12" s="701"/>
      <c r="X12" s="701"/>
      <c r="Y12" s="701"/>
      <c r="Z12" s="47">
        <v>123.2</v>
      </c>
      <c r="AA12" s="701"/>
      <c r="AB12" s="701"/>
      <c r="AC12" s="701"/>
      <c r="AD12" s="47">
        <v>123.2</v>
      </c>
      <c r="AE12" s="702"/>
      <c r="AF12" s="970" t="s">
        <v>599</v>
      </c>
      <c r="AG12" s="706"/>
    </row>
    <row r="13" spans="1:33" ht="37.5" x14ac:dyDescent="0.3">
      <c r="A13" s="73" t="s">
        <v>130</v>
      </c>
      <c r="B13" s="35">
        <f>H13+J13+L13+N13+P13+R13+T13+V13+X13+Z13+AB13+AD13</f>
        <v>65.319999999999993</v>
      </c>
      <c r="C13" s="701">
        <f>H13+J13+L13+N13+P13+R13+T13+V13+X13</f>
        <v>32.659999999999997</v>
      </c>
      <c r="D13" s="701">
        <f>E13</f>
        <v>16.329999999999998</v>
      </c>
      <c r="E13" s="701">
        <f>K13+M13+O13+Q13+S13+U13+W13+Y13+AA13+AC13+AE13+I13</f>
        <v>16.329999999999998</v>
      </c>
      <c r="F13" s="702">
        <f>E13/B13*100</f>
        <v>25</v>
      </c>
      <c r="G13" s="32">
        <f>E13/C13*100</f>
        <v>50</v>
      </c>
      <c r="H13" s="702"/>
      <c r="I13" s="702"/>
      <c r="J13" s="702"/>
      <c r="K13" s="702"/>
      <c r="L13" s="702"/>
      <c r="M13" s="702"/>
      <c r="N13" s="47">
        <v>16.329999999999998</v>
      </c>
      <c r="O13" s="701">
        <v>16.329999999999998</v>
      </c>
      <c r="P13" s="701"/>
      <c r="Q13" s="701"/>
      <c r="R13" s="701"/>
      <c r="S13" s="701"/>
      <c r="T13" s="47">
        <v>16.329999999999998</v>
      </c>
      <c r="U13" s="701"/>
      <c r="V13" s="701"/>
      <c r="W13" s="701"/>
      <c r="X13" s="701"/>
      <c r="Y13" s="701"/>
      <c r="Z13" s="47">
        <v>16.329999999999998</v>
      </c>
      <c r="AA13" s="701"/>
      <c r="AB13" s="701"/>
      <c r="AC13" s="701"/>
      <c r="AD13" s="47">
        <v>16.329999999999998</v>
      </c>
      <c r="AE13" s="702"/>
      <c r="AF13" s="29"/>
      <c r="AG13" s="706"/>
    </row>
    <row r="14" spans="1:33" ht="112.5" x14ac:dyDescent="0.3">
      <c r="A14" s="50" t="s">
        <v>98</v>
      </c>
      <c r="B14" s="644"/>
      <c r="C14" s="644"/>
      <c r="D14" s="644"/>
      <c r="E14" s="644"/>
      <c r="F14" s="32"/>
      <c r="G14" s="32"/>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775" t="s">
        <v>655</v>
      </c>
      <c r="AG14" s="706"/>
    </row>
    <row r="15" spans="1:33" ht="18.75" x14ac:dyDescent="0.3">
      <c r="A15" s="13" t="s">
        <v>31</v>
      </c>
      <c r="B15" s="644">
        <f>B16</f>
        <v>9983.5</v>
      </c>
      <c r="C15" s="644">
        <f>C16</f>
        <v>5790.4000000000005</v>
      </c>
      <c r="D15" s="644">
        <f>D16</f>
        <v>2673.51</v>
      </c>
      <c r="E15" s="644">
        <f>E16</f>
        <v>2673.51</v>
      </c>
      <c r="F15" s="32">
        <f>E15/B15*100</f>
        <v>26.779285821605654</v>
      </c>
      <c r="G15" s="32">
        <f>E15/C15*100</f>
        <v>46.171421663442942</v>
      </c>
      <c r="H15" s="644">
        <f>H16</f>
        <v>758.66</v>
      </c>
      <c r="I15" s="644">
        <f t="shared" ref="I15:AE15" si="1">I16</f>
        <v>733.85</v>
      </c>
      <c r="J15" s="644">
        <f t="shared" si="1"/>
        <v>838.79</v>
      </c>
      <c r="K15" s="644">
        <f t="shared" si="1"/>
        <v>646.39</v>
      </c>
      <c r="L15" s="644">
        <f t="shared" si="1"/>
        <v>838.59</v>
      </c>
      <c r="M15" s="644">
        <f t="shared" si="1"/>
        <v>647.1</v>
      </c>
      <c r="N15" s="644">
        <f t="shared" si="1"/>
        <v>838.59</v>
      </c>
      <c r="O15" s="644">
        <f t="shared" si="1"/>
        <v>646.16999999999996</v>
      </c>
      <c r="P15" s="644">
        <f t="shared" si="1"/>
        <v>838.59</v>
      </c>
      <c r="Q15" s="644">
        <f t="shared" si="1"/>
        <v>645.28</v>
      </c>
      <c r="R15" s="644">
        <f t="shared" si="1"/>
        <v>838.59</v>
      </c>
      <c r="S15" s="644">
        <f t="shared" si="1"/>
        <v>645.73</v>
      </c>
      <c r="T15" s="644">
        <f t="shared" si="1"/>
        <v>838.59</v>
      </c>
      <c r="U15" s="644">
        <f t="shared" si="1"/>
        <v>640</v>
      </c>
      <c r="V15" s="644">
        <f t="shared" si="1"/>
        <v>838.59</v>
      </c>
      <c r="W15" s="644">
        <f t="shared" si="1"/>
        <v>0</v>
      </c>
      <c r="X15" s="644">
        <f t="shared" si="1"/>
        <v>838.59</v>
      </c>
      <c r="Y15" s="644">
        <f t="shared" si="1"/>
        <v>0</v>
      </c>
      <c r="Z15" s="644">
        <f t="shared" si="1"/>
        <v>838.59</v>
      </c>
      <c r="AA15" s="644">
        <f t="shared" si="1"/>
        <v>0</v>
      </c>
      <c r="AB15" s="644">
        <f t="shared" si="1"/>
        <v>838.58</v>
      </c>
      <c r="AC15" s="644">
        <f t="shared" si="1"/>
        <v>0</v>
      </c>
      <c r="AD15" s="644">
        <f t="shared" si="1"/>
        <v>838.75</v>
      </c>
      <c r="AE15" s="644">
        <f t="shared" si="1"/>
        <v>0</v>
      </c>
      <c r="AF15" s="29"/>
      <c r="AG15" s="706"/>
    </row>
    <row r="16" spans="1:33" ht="18.75" x14ac:dyDescent="0.3">
      <c r="A16" s="17" t="s">
        <v>33</v>
      </c>
      <c r="B16" s="47">
        <f>H16+J16+L16+N16+P16+R16+T16+V16+X16+Z16+AB16+AD16</f>
        <v>9983.5</v>
      </c>
      <c r="C16" s="47">
        <f>H16+J16+L16+N16+P16+R16+T16</f>
        <v>5790.4000000000005</v>
      </c>
      <c r="D16" s="47">
        <f>E16</f>
        <v>2673.51</v>
      </c>
      <c r="E16" s="47">
        <f>I16+K16+M16+O16</f>
        <v>2673.51</v>
      </c>
      <c r="F16" s="32">
        <f>E16/B16*100</f>
        <v>26.779285821605654</v>
      </c>
      <c r="G16" s="32">
        <f>E16/C16*100</f>
        <v>46.171421663442942</v>
      </c>
      <c r="H16" s="644">
        <v>758.66</v>
      </c>
      <c r="I16" s="644">
        <v>733.85</v>
      </c>
      <c r="J16" s="644">
        <v>838.79</v>
      </c>
      <c r="K16" s="644">
        <v>646.39</v>
      </c>
      <c r="L16" s="644">
        <v>838.59</v>
      </c>
      <c r="M16" s="644">
        <v>647.1</v>
      </c>
      <c r="N16" s="644">
        <v>838.59</v>
      </c>
      <c r="O16" s="644">
        <v>646.16999999999996</v>
      </c>
      <c r="P16" s="644">
        <v>838.59</v>
      </c>
      <c r="Q16" s="644">
        <v>645.28</v>
      </c>
      <c r="R16" s="644">
        <v>838.59</v>
      </c>
      <c r="S16" s="644">
        <v>645.73</v>
      </c>
      <c r="T16" s="644">
        <v>838.59</v>
      </c>
      <c r="U16" s="644">
        <v>640</v>
      </c>
      <c r="V16" s="644">
        <v>838.59</v>
      </c>
      <c r="W16" s="644"/>
      <c r="X16" s="644">
        <v>838.59</v>
      </c>
      <c r="Y16" s="644"/>
      <c r="Z16" s="644">
        <v>838.59</v>
      </c>
      <c r="AA16" s="644"/>
      <c r="AB16" s="644">
        <v>838.58</v>
      </c>
      <c r="AC16" s="644"/>
      <c r="AD16" s="644">
        <v>838.75</v>
      </c>
      <c r="AE16" s="644"/>
      <c r="AF16" s="29"/>
      <c r="AG16" s="706"/>
    </row>
    <row r="17" spans="1:33" ht="168.75" x14ac:dyDescent="0.3">
      <c r="A17" s="70" t="s">
        <v>99</v>
      </c>
      <c r="B17" s="644"/>
      <c r="C17" s="644"/>
      <c r="D17" s="644"/>
      <c r="E17" s="644"/>
      <c r="F17" s="32"/>
      <c r="G17" s="32"/>
      <c r="H17" s="644"/>
      <c r="I17" s="644"/>
      <c r="J17" s="644"/>
      <c r="K17" s="644"/>
      <c r="L17" s="644"/>
      <c r="M17" s="644"/>
      <c r="N17" s="644"/>
      <c r="O17" s="644"/>
      <c r="P17" s="644"/>
      <c r="Q17" s="644"/>
      <c r="R17" s="644"/>
      <c r="S17" s="644"/>
      <c r="T17" s="644"/>
      <c r="U17" s="644"/>
      <c r="V17" s="644"/>
      <c r="W17" s="644"/>
      <c r="X17" s="644"/>
      <c r="Y17" s="644"/>
      <c r="Z17" s="644"/>
      <c r="AA17" s="644"/>
      <c r="AB17" s="644"/>
      <c r="AC17" s="644"/>
      <c r="AD17" s="644"/>
      <c r="AE17" s="644"/>
      <c r="AF17" s="911" t="s">
        <v>563</v>
      </c>
      <c r="AG17" s="706"/>
    </row>
    <row r="18" spans="1:33" ht="18.75" x14ac:dyDescent="0.3">
      <c r="A18" s="13" t="s">
        <v>31</v>
      </c>
      <c r="B18" s="644">
        <f>B19+B20</f>
        <v>3251.3900000000003</v>
      </c>
      <c r="C18" s="644">
        <f>C19+C20</f>
        <v>1017.0799999999999</v>
      </c>
      <c r="D18" s="644">
        <f>D19+D20</f>
        <v>2209.88</v>
      </c>
      <c r="E18" s="644">
        <f>E19+E20</f>
        <v>2209.88</v>
      </c>
      <c r="F18" s="32">
        <f>E18/B18*100</f>
        <v>67.967238627171753</v>
      </c>
      <c r="G18" s="32">
        <f>E18/C18*100</f>
        <v>217.27691037086566</v>
      </c>
      <c r="H18" s="644">
        <f t="shared" ref="H18:AE18" si="2">H19+H20</f>
        <v>351.32</v>
      </c>
      <c r="I18" s="644">
        <f t="shared" si="2"/>
        <v>256.21000000000004</v>
      </c>
      <c r="J18" s="644">
        <f t="shared" si="2"/>
        <v>216.67</v>
      </c>
      <c r="K18" s="644">
        <f t="shared" si="2"/>
        <v>251.63</v>
      </c>
      <c r="L18" s="644">
        <f t="shared" si="2"/>
        <v>385.99</v>
      </c>
      <c r="M18" s="644">
        <f t="shared" si="2"/>
        <v>318.68</v>
      </c>
      <c r="N18" s="644">
        <f t="shared" si="2"/>
        <v>371.54</v>
      </c>
      <c r="O18" s="644">
        <f t="shared" si="2"/>
        <v>276.31</v>
      </c>
      <c r="P18" s="644">
        <f t="shared" si="2"/>
        <v>306.22000000000003</v>
      </c>
      <c r="Q18" s="644">
        <f t="shared" si="2"/>
        <v>263.17</v>
      </c>
      <c r="R18" s="644">
        <f t="shared" si="2"/>
        <v>278.45999999999998</v>
      </c>
      <c r="S18" s="644">
        <f t="shared" si="2"/>
        <v>288.14</v>
      </c>
      <c r="T18" s="644">
        <f t="shared" si="2"/>
        <v>387.73</v>
      </c>
      <c r="U18" s="644">
        <f t="shared" si="2"/>
        <v>555.74</v>
      </c>
      <c r="V18" s="644">
        <f t="shared" si="2"/>
        <v>171.6</v>
      </c>
      <c r="W18" s="644">
        <f t="shared" si="2"/>
        <v>0</v>
      </c>
      <c r="X18" s="644">
        <f t="shared" si="2"/>
        <v>150.26</v>
      </c>
      <c r="Y18" s="644">
        <f t="shared" si="2"/>
        <v>0</v>
      </c>
      <c r="Z18" s="644">
        <f t="shared" si="2"/>
        <v>234.16000000000003</v>
      </c>
      <c r="AA18" s="644">
        <f t="shared" si="2"/>
        <v>0</v>
      </c>
      <c r="AB18" s="644">
        <f t="shared" si="2"/>
        <v>171.61</v>
      </c>
      <c r="AC18" s="644">
        <f t="shared" si="2"/>
        <v>0</v>
      </c>
      <c r="AD18" s="644">
        <f t="shared" si="2"/>
        <v>225.83</v>
      </c>
      <c r="AE18" s="644">
        <f t="shared" si="2"/>
        <v>0</v>
      </c>
      <c r="AF18" s="29"/>
      <c r="AG18" s="706"/>
    </row>
    <row r="19" spans="1:33" ht="135" customHeight="1" x14ac:dyDescent="0.3">
      <c r="A19" s="13" t="s">
        <v>97</v>
      </c>
      <c r="B19" s="47">
        <f>H19+J19+L19+N19+P19+R19+T19+V19+X19+Z19+AB19+AD19</f>
        <v>3177.1900000000005</v>
      </c>
      <c r="C19" s="47">
        <f>H19+J19+L19</f>
        <v>946.43</v>
      </c>
      <c r="D19" s="47">
        <f>E19</f>
        <v>2191.31</v>
      </c>
      <c r="E19" s="47">
        <f>K19+M19+O19+Q19+S19+U19+W19+Y19+AA19+AC19+AE19+I19</f>
        <v>2191.31</v>
      </c>
      <c r="F19" s="32">
        <f>E19/B19*100</f>
        <v>68.97006474274437</v>
      </c>
      <c r="G19" s="32">
        <f>E19/C19*100</f>
        <v>231.53429202371015</v>
      </c>
      <c r="H19" s="644">
        <v>343.77</v>
      </c>
      <c r="I19" s="644">
        <v>248.71</v>
      </c>
      <c r="J19" s="644">
        <v>216.67</v>
      </c>
      <c r="K19" s="644">
        <v>251.63</v>
      </c>
      <c r="L19" s="644">
        <v>385.99</v>
      </c>
      <c r="M19" s="644">
        <v>318.68</v>
      </c>
      <c r="N19" s="644">
        <v>313.99</v>
      </c>
      <c r="O19" s="644">
        <v>270.79000000000002</v>
      </c>
      <c r="P19" s="644">
        <v>306.22000000000003</v>
      </c>
      <c r="Q19" s="644">
        <v>263.17</v>
      </c>
      <c r="R19" s="644">
        <v>278.45999999999998</v>
      </c>
      <c r="S19" s="644">
        <v>288.14</v>
      </c>
      <c r="T19" s="644">
        <v>382.18</v>
      </c>
      <c r="U19" s="644">
        <v>550.19000000000005</v>
      </c>
      <c r="V19" s="644">
        <v>171.6</v>
      </c>
      <c r="W19" s="644"/>
      <c r="X19" s="644">
        <v>150.26</v>
      </c>
      <c r="Y19" s="644"/>
      <c r="Z19" s="644">
        <v>230.61</v>
      </c>
      <c r="AA19" s="644"/>
      <c r="AB19" s="644">
        <v>171.61</v>
      </c>
      <c r="AC19" s="644"/>
      <c r="AD19" s="644">
        <v>225.83</v>
      </c>
      <c r="AE19" s="644"/>
      <c r="AF19" s="914" t="s">
        <v>514</v>
      </c>
      <c r="AG19" s="706"/>
    </row>
    <row r="20" spans="1:33" ht="18.75" x14ac:dyDescent="0.3">
      <c r="A20" s="17" t="s">
        <v>33</v>
      </c>
      <c r="B20" s="47">
        <f>H20+N20+T20+Z20</f>
        <v>74.199999999999989</v>
      </c>
      <c r="C20" s="47">
        <f>H20+J20+L20+N20+P20+R20+T20</f>
        <v>70.649999999999991</v>
      </c>
      <c r="D20" s="47">
        <f>E20</f>
        <v>18.57</v>
      </c>
      <c r="E20" s="47">
        <f>K20+M20+O20+Q20+S20+U20+W20+Y20+AA20+AC20+AE20+I20</f>
        <v>18.57</v>
      </c>
      <c r="F20" s="32">
        <f>E20/B20*100</f>
        <v>25.026954177897576</v>
      </c>
      <c r="G20" s="32">
        <f>E20/C20*100</f>
        <v>26.284501061571131</v>
      </c>
      <c r="H20" s="644">
        <v>7.55</v>
      </c>
      <c r="I20" s="644">
        <v>7.5</v>
      </c>
      <c r="J20" s="644"/>
      <c r="K20" s="644"/>
      <c r="L20" s="644"/>
      <c r="M20" s="644"/>
      <c r="N20" s="644">
        <v>57.55</v>
      </c>
      <c r="O20" s="644">
        <v>5.52</v>
      </c>
      <c r="P20" s="644"/>
      <c r="Q20" s="644"/>
      <c r="R20" s="644"/>
      <c r="S20" s="644"/>
      <c r="T20" s="644">
        <v>5.55</v>
      </c>
      <c r="U20" s="644">
        <v>5.55</v>
      </c>
      <c r="V20" s="644"/>
      <c r="W20" s="644"/>
      <c r="X20" s="644"/>
      <c r="Y20" s="644"/>
      <c r="Z20" s="644">
        <v>3.55</v>
      </c>
      <c r="AA20" s="644"/>
      <c r="AB20" s="644"/>
      <c r="AC20" s="644"/>
      <c r="AD20" s="644"/>
      <c r="AE20" s="644"/>
      <c r="AF20" s="29"/>
      <c r="AG20" s="706"/>
    </row>
    <row r="21" spans="1:33" ht="112.5" x14ac:dyDescent="0.3">
      <c r="A21" s="70" t="s">
        <v>101</v>
      </c>
      <c r="B21" s="644"/>
      <c r="C21" s="644"/>
      <c r="D21" s="644"/>
      <c r="E21" s="644"/>
      <c r="F21" s="32"/>
      <c r="G21" s="32"/>
      <c r="H21" s="644"/>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29"/>
      <c r="AG21" s="706"/>
    </row>
    <row r="22" spans="1:33" ht="18.75" x14ac:dyDescent="0.3">
      <c r="A22" s="13" t="s">
        <v>31</v>
      </c>
      <c r="B22" s="644">
        <f>B23</f>
        <v>2.8</v>
      </c>
      <c r="C22" s="757">
        <f>C23</f>
        <v>2.8</v>
      </c>
      <c r="D22" s="757">
        <f>I22+K22+M22+O22+Q22+S22+U22+W22+Y22+AA22+AC22+AE22</f>
        <v>2.79</v>
      </c>
      <c r="E22" s="757">
        <f>E23</f>
        <v>2.79</v>
      </c>
      <c r="F22" s="702">
        <f>E22/B22*100</f>
        <v>99.642857142857153</v>
      </c>
      <c r="G22" s="32">
        <f>E22/C22*100</f>
        <v>99.642857142857153</v>
      </c>
      <c r="H22" s="757">
        <f>H23</f>
        <v>0</v>
      </c>
      <c r="I22" s="757">
        <f t="shared" ref="I22:AE23" si="3">I23</f>
        <v>0</v>
      </c>
      <c r="J22" s="757">
        <f t="shared" si="3"/>
        <v>0</v>
      </c>
      <c r="K22" s="757">
        <f t="shared" si="3"/>
        <v>0</v>
      </c>
      <c r="L22" s="757">
        <f t="shared" si="3"/>
        <v>0</v>
      </c>
      <c r="M22" s="757">
        <f t="shared" si="3"/>
        <v>0</v>
      </c>
      <c r="N22" s="757">
        <f t="shared" si="3"/>
        <v>0</v>
      </c>
      <c r="O22" s="757">
        <f t="shared" si="3"/>
        <v>0</v>
      </c>
      <c r="P22" s="644">
        <f t="shared" si="3"/>
        <v>2.8</v>
      </c>
      <c r="Q22" s="757">
        <f t="shared" si="3"/>
        <v>2.79</v>
      </c>
      <c r="R22" s="757">
        <f t="shared" si="3"/>
        <v>0</v>
      </c>
      <c r="S22" s="757">
        <f t="shared" si="3"/>
        <v>0</v>
      </c>
      <c r="T22" s="757">
        <f t="shared" si="3"/>
        <v>0</v>
      </c>
      <c r="U22" s="757">
        <f t="shared" si="3"/>
        <v>0</v>
      </c>
      <c r="V22" s="757">
        <f t="shared" si="3"/>
        <v>0</v>
      </c>
      <c r="W22" s="757">
        <f t="shared" si="3"/>
        <v>0</v>
      </c>
      <c r="X22" s="757">
        <f t="shared" si="3"/>
        <v>0</v>
      </c>
      <c r="Y22" s="757">
        <f t="shared" si="3"/>
        <v>0</v>
      </c>
      <c r="Z22" s="757">
        <f t="shared" si="3"/>
        <v>0</v>
      </c>
      <c r="AA22" s="757">
        <f t="shared" si="3"/>
        <v>0</v>
      </c>
      <c r="AB22" s="757">
        <f t="shared" si="3"/>
        <v>0</v>
      </c>
      <c r="AC22" s="757">
        <f t="shared" si="3"/>
        <v>0</v>
      </c>
      <c r="AD22" s="757">
        <f t="shared" si="3"/>
        <v>0</v>
      </c>
      <c r="AE22" s="757">
        <f t="shared" si="3"/>
        <v>0</v>
      </c>
      <c r="AF22" s="29"/>
      <c r="AG22" s="706"/>
    </row>
    <row r="23" spans="1:33" ht="18.75" x14ac:dyDescent="0.3">
      <c r="A23" s="13" t="s">
        <v>102</v>
      </c>
      <c r="B23" s="47">
        <f>H23+J23+L23+N23+P23+R23+T23+V23+X23+Z23+AB23+AD23</f>
        <v>2.8</v>
      </c>
      <c r="C23" s="701">
        <f>H23+J23+L23+N23+P23+R23+T23</f>
        <v>2.8</v>
      </c>
      <c r="D23" s="701">
        <f>I23+K23+M23+O23+Q23+S23+U23+W23+Y23+AA23+AC23+AE23</f>
        <v>2.79</v>
      </c>
      <c r="E23" s="701">
        <f>K23+M23+O23+Q23+S23+U23+W23+Y23+AA23+AC23+AE23</f>
        <v>2.79</v>
      </c>
      <c r="F23" s="702">
        <f>E23/B23*100</f>
        <v>99.642857142857153</v>
      </c>
      <c r="G23" s="32">
        <f>E23/C23*100</f>
        <v>99.642857142857153</v>
      </c>
      <c r="H23" s="757">
        <f>H24</f>
        <v>0</v>
      </c>
      <c r="I23" s="757">
        <f t="shared" si="3"/>
        <v>0</v>
      </c>
      <c r="J23" s="757">
        <f t="shared" si="3"/>
        <v>0</v>
      </c>
      <c r="K23" s="757">
        <f t="shared" si="3"/>
        <v>0</v>
      </c>
      <c r="L23" s="757">
        <f t="shared" si="3"/>
        <v>0</v>
      </c>
      <c r="M23" s="757">
        <f t="shared" si="3"/>
        <v>0</v>
      </c>
      <c r="N23" s="757">
        <f t="shared" si="3"/>
        <v>0</v>
      </c>
      <c r="O23" s="757">
        <f t="shared" si="3"/>
        <v>0</v>
      </c>
      <c r="P23" s="644">
        <v>2.8</v>
      </c>
      <c r="Q23" s="757">
        <v>2.79</v>
      </c>
      <c r="R23" s="757">
        <f t="shared" si="3"/>
        <v>0</v>
      </c>
      <c r="S23" s="757">
        <f t="shared" si="3"/>
        <v>0</v>
      </c>
      <c r="T23" s="757">
        <f t="shared" si="3"/>
        <v>0</v>
      </c>
      <c r="U23" s="757">
        <f t="shared" si="3"/>
        <v>0</v>
      </c>
      <c r="V23" s="757">
        <f t="shared" si="3"/>
        <v>0</v>
      </c>
      <c r="W23" s="757">
        <f t="shared" si="3"/>
        <v>0</v>
      </c>
      <c r="X23" s="757">
        <f t="shared" si="3"/>
        <v>0</v>
      </c>
      <c r="Y23" s="757">
        <f t="shared" si="3"/>
        <v>0</v>
      </c>
      <c r="Z23" s="757">
        <f t="shared" si="3"/>
        <v>0</v>
      </c>
      <c r="AA23" s="757">
        <f t="shared" si="3"/>
        <v>0</v>
      </c>
      <c r="AB23" s="757">
        <f t="shared" si="3"/>
        <v>0</v>
      </c>
      <c r="AC23" s="757">
        <f t="shared" si="3"/>
        <v>0</v>
      </c>
      <c r="AD23" s="757">
        <f t="shared" si="3"/>
        <v>0</v>
      </c>
      <c r="AE23" s="757">
        <f t="shared" si="3"/>
        <v>0</v>
      </c>
      <c r="AF23" s="29"/>
      <c r="AG23" s="706"/>
    </row>
    <row r="24" spans="1:33" ht="93.75" x14ac:dyDescent="0.3">
      <c r="A24" s="48" t="s">
        <v>103</v>
      </c>
      <c r="B24" s="644"/>
      <c r="C24" s="644"/>
      <c r="D24" s="644"/>
      <c r="E24" s="644"/>
      <c r="F24" s="32"/>
      <c r="G24" s="32"/>
      <c r="H24" s="644"/>
      <c r="I24" s="644"/>
      <c r="J24" s="644"/>
      <c r="K24" s="644"/>
      <c r="L24" s="644"/>
      <c r="M24" s="644"/>
      <c r="N24" s="644"/>
      <c r="O24" s="644"/>
      <c r="P24" s="644"/>
      <c r="Q24" s="644"/>
      <c r="R24" s="644"/>
      <c r="S24" s="644"/>
      <c r="T24" s="644"/>
      <c r="U24" s="644"/>
      <c r="V24" s="644"/>
      <c r="W24" s="644"/>
      <c r="X24" s="644"/>
      <c r="Y24" s="644"/>
      <c r="Z24" s="644"/>
      <c r="AA24" s="644"/>
      <c r="AB24" s="644"/>
      <c r="AC24" s="644"/>
      <c r="AD24" s="644"/>
      <c r="AE24" s="644"/>
      <c r="AF24" s="29"/>
      <c r="AG24" s="706"/>
    </row>
    <row r="25" spans="1:33" ht="18.75" x14ac:dyDescent="0.3">
      <c r="A25" s="13" t="s">
        <v>31</v>
      </c>
      <c r="B25" s="644">
        <f>B26</f>
        <v>264.5</v>
      </c>
      <c r="C25" s="757">
        <f>C26</f>
        <v>20.350000000000001</v>
      </c>
      <c r="D25" s="757">
        <f>D26</f>
        <v>0</v>
      </c>
      <c r="E25" s="757">
        <f>E26</f>
        <v>4.66</v>
      </c>
      <c r="F25" s="702">
        <f>E25/B25*100</f>
        <v>1.7618147448015122</v>
      </c>
      <c r="G25" s="32">
        <f>E25/C25*100</f>
        <v>22.899262899262897</v>
      </c>
      <c r="H25" s="757">
        <f>H26</f>
        <v>0</v>
      </c>
      <c r="I25" s="757">
        <f t="shared" ref="I25:AE25" si="4">I26</f>
        <v>0</v>
      </c>
      <c r="J25" s="757">
        <f t="shared" si="4"/>
        <v>0</v>
      </c>
      <c r="K25" s="757">
        <f t="shared" si="4"/>
        <v>0</v>
      </c>
      <c r="L25" s="757">
        <f t="shared" si="4"/>
        <v>0</v>
      </c>
      <c r="M25" s="757">
        <f t="shared" si="4"/>
        <v>0</v>
      </c>
      <c r="N25" s="757">
        <f t="shared" si="4"/>
        <v>0</v>
      </c>
      <c r="O25" s="757">
        <f t="shared" si="4"/>
        <v>0</v>
      </c>
      <c r="P25" s="644">
        <f t="shared" si="4"/>
        <v>10.17</v>
      </c>
      <c r="Q25" s="644">
        <f t="shared" si="4"/>
        <v>0</v>
      </c>
      <c r="R25" s="644">
        <f t="shared" si="4"/>
        <v>10.18</v>
      </c>
      <c r="S25" s="644">
        <f t="shared" si="4"/>
        <v>0</v>
      </c>
      <c r="T25" s="644">
        <f t="shared" si="4"/>
        <v>10.18</v>
      </c>
      <c r="U25" s="644">
        <f t="shared" si="4"/>
        <v>4.66</v>
      </c>
      <c r="V25" s="644">
        <f t="shared" si="4"/>
        <v>10.18</v>
      </c>
      <c r="W25" s="644">
        <f t="shared" si="4"/>
        <v>0</v>
      </c>
      <c r="X25" s="644">
        <f t="shared" si="4"/>
        <v>10.18</v>
      </c>
      <c r="Y25" s="644">
        <f t="shared" si="4"/>
        <v>0</v>
      </c>
      <c r="Z25" s="644">
        <f t="shared" si="4"/>
        <v>10.17</v>
      </c>
      <c r="AA25" s="644">
        <f t="shared" si="4"/>
        <v>0</v>
      </c>
      <c r="AB25" s="644">
        <f t="shared" si="4"/>
        <v>10.17</v>
      </c>
      <c r="AC25" s="644">
        <f t="shared" si="4"/>
        <v>0</v>
      </c>
      <c r="AD25" s="644">
        <f t="shared" si="4"/>
        <v>193.26999999999998</v>
      </c>
      <c r="AE25" s="644">
        <f t="shared" si="4"/>
        <v>0</v>
      </c>
      <c r="AF25" s="29"/>
      <c r="AG25" s="706"/>
    </row>
    <row r="26" spans="1:33" ht="18.75" x14ac:dyDescent="0.3">
      <c r="A26" s="17" t="s">
        <v>33</v>
      </c>
      <c r="B26" s="47">
        <f>B29+B32+B35+B38</f>
        <v>264.5</v>
      </c>
      <c r="C26" s="701">
        <f>H26+J26+L26+N26+P26+R26</f>
        <v>20.350000000000001</v>
      </c>
      <c r="D26" s="701">
        <f>D29+D32+D35+D38</f>
        <v>0</v>
      </c>
      <c r="E26" s="701">
        <f>E29+E32+E35+E38</f>
        <v>4.66</v>
      </c>
      <c r="F26" s="702">
        <f>E26/B26*100</f>
        <v>1.7618147448015122</v>
      </c>
      <c r="G26" s="32">
        <f>E26/C26*100</f>
        <v>22.899262899262897</v>
      </c>
      <c r="H26" s="701">
        <f>H29+H32+H35+H38</f>
        <v>0</v>
      </c>
      <c r="I26" s="701">
        <f t="shared" ref="I26:AE26" si="5">I29+I32+I35+I38</f>
        <v>0</v>
      </c>
      <c r="J26" s="701">
        <f t="shared" si="5"/>
        <v>0</v>
      </c>
      <c r="K26" s="701">
        <f t="shared" si="5"/>
        <v>0</v>
      </c>
      <c r="L26" s="701">
        <f t="shared" si="5"/>
        <v>0</v>
      </c>
      <c r="M26" s="701">
        <f t="shared" si="5"/>
        <v>0</v>
      </c>
      <c r="N26" s="701">
        <f t="shared" si="5"/>
        <v>0</v>
      </c>
      <c r="O26" s="701">
        <f t="shared" si="5"/>
        <v>0</v>
      </c>
      <c r="P26" s="47">
        <f t="shared" si="5"/>
        <v>10.17</v>
      </c>
      <c r="Q26" s="47">
        <f t="shared" si="5"/>
        <v>0</v>
      </c>
      <c r="R26" s="47">
        <f t="shared" si="5"/>
        <v>10.18</v>
      </c>
      <c r="S26" s="47">
        <f t="shared" si="5"/>
        <v>0</v>
      </c>
      <c r="T26" s="47">
        <f t="shared" si="5"/>
        <v>10.18</v>
      </c>
      <c r="U26" s="47">
        <f t="shared" si="5"/>
        <v>4.66</v>
      </c>
      <c r="V26" s="47">
        <f t="shared" si="5"/>
        <v>10.18</v>
      </c>
      <c r="W26" s="47">
        <f t="shared" si="5"/>
        <v>0</v>
      </c>
      <c r="X26" s="47">
        <f t="shared" si="5"/>
        <v>10.18</v>
      </c>
      <c r="Y26" s="47">
        <f t="shared" si="5"/>
        <v>0</v>
      </c>
      <c r="Z26" s="47">
        <f t="shared" si="5"/>
        <v>10.17</v>
      </c>
      <c r="AA26" s="47">
        <f t="shared" si="5"/>
        <v>0</v>
      </c>
      <c r="AB26" s="47">
        <f t="shared" si="5"/>
        <v>10.17</v>
      </c>
      <c r="AC26" s="47">
        <f t="shared" si="5"/>
        <v>0</v>
      </c>
      <c r="AD26" s="47">
        <f t="shared" si="5"/>
        <v>193.26999999999998</v>
      </c>
      <c r="AE26" s="47">
        <f t="shared" si="5"/>
        <v>0</v>
      </c>
      <c r="AF26" s="29"/>
      <c r="AG26" s="706"/>
    </row>
    <row r="27" spans="1:33" ht="112.5" x14ac:dyDescent="0.3">
      <c r="A27" s="17" t="s">
        <v>104</v>
      </c>
      <c r="B27" s="644"/>
      <c r="C27" s="644"/>
      <c r="D27" s="644"/>
      <c r="E27" s="644"/>
      <c r="F27" s="32"/>
      <c r="G27" s="32"/>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29"/>
      <c r="AG27" s="706"/>
    </row>
    <row r="28" spans="1:33" ht="18.75" x14ac:dyDescent="0.3">
      <c r="A28" s="13" t="s">
        <v>31</v>
      </c>
      <c r="B28" s="644">
        <f>B29</f>
        <v>100</v>
      </c>
      <c r="C28" s="757">
        <f>C29</f>
        <v>0</v>
      </c>
      <c r="D28" s="762"/>
      <c r="E28" s="762">
        <f>E29</f>
        <v>0</v>
      </c>
      <c r="F28" s="704"/>
      <c r="G28" s="704"/>
      <c r="H28" s="757">
        <f t="shared" ref="H28:AC29" si="6">H29</f>
        <v>0</v>
      </c>
      <c r="I28" s="757">
        <f t="shared" si="6"/>
        <v>0</v>
      </c>
      <c r="J28" s="757">
        <f t="shared" si="6"/>
        <v>0</v>
      </c>
      <c r="K28" s="757">
        <f t="shared" si="6"/>
        <v>0</v>
      </c>
      <c r="L28" s="757">
        <f t="shared" si="6"/>
        <v>0</v>
      </c>
      <c r="M28" s="757">
        <f t="shared" si="6"/>
        <v>0</v>
      </c>
      <c r="N28" s="757">
        <f t="shared" si="6"/>
        <v>0</v>
      </c>
      <c r="O28" s="757">
        <f t="shared" si="6"/>
        <v>0</v>
      </c>
      <c r="P28" s="757">
        <f t="shared" si="6"/>
        <v>0</v>
      </c>
      <c r="Q28" s="757">
        <f t="shared" si="6"/>
        <v>0</v>
      </c>
      <c r="R28" s="757">
        <f t="shared" si="6"/>
        <v>0</v>
      </c>
      <c r="S28" s="757">
        <f t="shared" si="6"/>
        <v>0</v>
      </c>
      <c r="T28" s="757">
        <f t="shared" si="6"/>
        <v>0</v>
      </c>
      <c r="U28" s="757">
        <f t="shared" si="6"/>
        <v>0</v>
      </c>
      <c r="V28" s="757">
        <f t="shared" si="6"/>
        <v>0</v>
      </c>
      <c r="W28" s="757">
        <f t="shared" si="6"/>
        <v>0</v>
      </c>
      <c r="X28" s="757">
        <f t="shared" si="6"/>
        <v>0</v>
      </c>
      <c r="Y28" s="757">
        <f t="shared" si="6"/>
        <v>0</v>
      </c>
      <c r="Z28" s="757">
        <f t="shared" si="6"/>
        <v>0</v>
      </c>
      <c r="AA28" s="757">
        <f t="shared" si="6"/>
        <v>0</v>
      </c>
      <c r="AB28" s="757">
        <f t="shared" si="6"/>
        <v>0</v>
      </c>
      <c r="AC28" s="757">
        <f t="shared" si="6"/>
        <v>0</v>
      </c>
      <c r="AD28" s="644">
        <f>AD29</f>
        <v>100</v>
      </c>
      <c r="AE28" s="644"/>
      <c r="AF28" s="29"/>
      <c r="AG28" s="706"/>
    </row>
    <row r="29" spans="1:33" ht="18.75" x14ac:dyDescent="0.3">
      <c r="A29" s="17" t="s">
        <v>33</v>
      </c>
      <c r="B29" s="47">
        <f>H29+J29+L29+N29+P29+R29+T29+V29+X29+Z29+AB29+AD29</f>
        <v>100</v>
      </c>
      <c r="C29" s="701">
        <f>H29+J29+L29+N29+P29+R29</f>
        <v>0</v>
      </c>
      <c r="D29" s="587"/>
      <c r="E29" s="701">
        <f>K29+M29+O29+Q29+S29+U29+W29+Y29+AA29+AC29+AE29</f>
        <v>0</v>
      </c>
      <c r="F29" s="702">
        <f>E29/B29*100</f>
        <v>0</v>
      </c>
      <c r="G29" s="32" t="e">
        <f>E29/C29*100</f>
        <v>#DIV/0!</v>
      </c>
      <c r="H29" s="757">
        <f t="shared" si="6"/>
        <v>0</v>
      </c>
      <c r="I29" s="757">
        <f t="shared" si="6"/>
        <v>0</v>
      </c>
      <c r="J29" s="757">
        <f t="shared" si="6"/>
        <v>0</v>
      </c>
      <c r="K29" s="757">
        <f t="shared" si="6"/>
        <v>0</v>
      </c>
      <c r="L29" s="757">
        <f t="shared" si="6"/>
        <v>0</v>
      </c>
      <c r="M29" s="757">
        <f t="shared" si="6"/>
        <v>0</v>
      </c>
      <c r="N29" s="757">
        <f t="shared" si="6"/>
        <v>0</v>
      </c>
      <c r="O29" s="757">
        <f t="shared" si="6"/>
        <v>0</v>
      </c>
      <c r="P29" s="757">
        <f t="shared" si="6"/>
        <v>0</v>
      </c>
      <c r="Q29" s="757">
        <f t="shared" si="6"/>
        <v>0</v>
      </c>
      <c r="R29" s="757">
        <f t="shared" si="6"/>
        <v>0</v>
      </c>
      <c r="S29" s="757">
        <f t="shared" si="6"/>
        <v>0</v>
      </c>
      <c r="T29" s="757">
        <f t="shared" si="6"/>
        <v>0</v>
      </c>
      <c r="U29" s="757">
        <f t="shared" si="6"/>
        <v>0</v>
      </c>
      <c r="V29" s="757">
        <f t="shared" si="6"/>
        <v>0</v>
      </c>
      <c r="W29" s="757">
        <f t="shared" si="6"/>
        <v>0</v>
      </c>
      <c r="X29" s="757">
        <f t="shared" si="6"/>
        <v>0</v>
      </c>
      <c r="Y29" s="757">
        <f t="shared" si="6"/>
        <v>0</v>
      </c>
      <c r="Z29" s="757">
        <f t="shared" si="6"/>
        <v>0</v>
      </c>
      <c r="AA29" s="757">
        <f t="shared" si="6"/>
        <v>0</v>
      </c>
      <c r="AB29" s="757">
        <f t="shared" si="6"/>
        <v>0</v>
      </c>
      <c r="AC29" s="757">
        <f t="shared" si="6"/>
        <v>0</v>
      </c>
      <c r="AD29" s="644">
        <v>100</v>
      </c>
      <c r="AE29" s="644"/>
      <c r="AF29" s="29"/>
      <c r="AG29" s="706"/>
    </row>
    <row r="30" spans="1:33" ht="262.5" x14ac:dyDescent="0.3">
      <c r="A30" s="17" t="s">
        <v>105</v>
      </c>
      <c r="B30" s="644"/>
      <c r="C30" s="644"/>
      <c r="D30" s="644"/>
      <c r="E30" s="644"/>
      <c r="F30" s="32"/>
      <c r="G30" s="32"/>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29"/>
      <c r="AG30" s="706"/>
    </row>
    <row r="31" spans="1:33" ht="18.75" x14ac:dyDescent="0.3">
      <c r="A31" s="13" t="s">
        <v>31</v>
      </c>
      <c r="B31" s="644">
        <f>B32</f>
        <v>83.1</v>
      </c>
      <c r="C31" s="644">
        <f>C32</f>
        <v>0</v>
      </c>
      <c r="D31" s="644"/>
      <c r="E31" s="644">
        <f>E32</f>
        <v>0</v>
      </c>
      <c r="F31" s="32"/>
      <c r="G31" s="32"/>
      <c r="H31" s="644">
        <f>H32</f>
        <v>0</v>
      </c>
      <c r="I31" s="644">
        <f t="shared" ref="I31:AE31" si="7">I32</f>
        <v>0</v>
      </c>
      <c r="J31" s="644">
        <f t="shared" si="7"/>
        <v>0</v>
      </c>
      <c r="K31" s="644">
        <f t="shared" si="7"/>
        <v>0</v>
      </c>
      <c r="L31" s="644">
        <f t="shared" si="7"/>
        <v>0</v>
      </c>
      <c r="M31" s="644">
        <f t="shared" si="7"/>
        <v>0</v>
      </c>
      <c r="N31" s="644">
        <f t="shared" si="7"/>
        <v>0</v>
      </c>
      <c r="O31" s="644">
        <f t="shared" si="7"/>
        <v>0</v>
      </c>
      <c r="P31" s="644">
        <f t="shared" si="7"/>
        <v>0</v>
      </c>
      <c r="Q31" s="644">
        <f t="shared" si="7"/>
        <v>0</v>
      </c>
      <c r="R31" s="644">
        <f t="shared" si="7"/>
        <v>0</v>
      </c>
      <c r="S31" s="644">
        <f t="shared" si="7"/>
        <v>0</v>
      </c>
      <c r="T31" s="644">
        <f t="shared" si="7"/>
        <v>0</v>
      </c>
      <c r="U31" s="644">
        <f t="shared" si="7"/>
        <v>0</v>
      </c>
      <c r="V31" s="644">
        <f t="shared" si="7"/>
        <v>0</v>
      </c>
      <c r="W31" s="644">
        <f t="shared" si="7"/>
        <v>0</v>
      </c>
      <c r="X31" s="644">
        <f t="shared" si="7"/>
        <v>0</v>
      </c>
      <c r="Y31" s="644">
        <f t="shared" si="7"/>
        <v>0</v>
      </c>
      <c r="Z31" s="644">
        <f t="shared" si="7"/>
        <v>0</v>
      </c>
      <c r="AA31" s="644">
        <f t="shared" si="7"/>
        <v>0</v>
      </c>
      <c r="AB31" s="644">
        <f t="shared" si="7"/>
        <v>0</v>
      </c>
      <c r="AC31" s="644">
        <f t="shared" si="7"/>
        <v>0</v>
      </c>
      <c r="AD31" s="644">
        <f t="shared" si="7"/>
        <v>83.1</v>
      </c>
      <c r="AE31" s="644">
        <f t="shared" si="7"/>
        <v>0</v>
      </c>
      <c r="AF31" s="29"/>
      <c r="AG31" s="706"/>
    </row>
    <row r="32" spans="1:33" ht="18.75" x14ac:dyDescent="0.3">
      <c r="A32" s="17" t="s">
        <v>33</v>
      </c>
      <c r="B32" s="47">
        <f>H32+J32+L32+N32+P32+R32+T32+V32+X32+Z32+AB32+AD32</f>
        <v>83.1</v>
      </c>
      <c r="C32" s="47">
        <f>H32+J32+L32+N32+P32+R32</f>
        <v>0</v>
      </c>
      <c r="D32" s="47"/>
      <c r="E32" s="47">
        <f>K32+M32+O32+Q32+S32+U32+W32+Y32+AA32+AC32+AE32</f>
        <v>0</v>
      </c>
      <c r="F32" s="32">
        <f>E32/B32*100</f>
        <v>0</v>
      </c>
      <c r="G32" s="32" t="e">
        <f>E32/C32*100</f>
        <v>#DIV/0!</v>
      </c>
      <c r="H32" s="644"/>
      <c r="I32" s="644"/>
      <c r="J32" s="644"/>
      <c r="K32" s="644"/>
      <c r="L32" s="644"/>
      <c r="M32" s="644"/>
      <c r="N32" s="644"/>
      <c r="O32" s="644"/>
      <c r="P32" s="644"/>
      <c r="Q32" s="644"/>
      <c r="R32" s="644"/>
      <c r="S32" s="644"/>
      <c r="T32" s="644"/>
      <c r="U32" s="644"/>
      <c r="V32" s="644"/>
      <c r="W32" s="644"/>
      <c r="X32" s="644"/>
      <c r="Y32" s="644"/>
      <c r="Z32" s="644"/>
      <c r="AA32" s="644"/>
      <c r="AB32" s="644"/>
      <c r="AC32" s="644"/>
      <c r="AD32" s="644">
        <v>83.1</v>
      </c>
      <c r="AE32" s="644"/>
      <c r="AF32" s="29"/>
      <c r="AG32" s="706"/>
    </row>
    <row r="33" spans="1:33" ht="131.25" x14ac:dyDescent="0.3">
      <c r="A33" s="17" t="s">
        <v>106</v>
      </c>
      <c r="B33" s="644"/>
      <c r="C33" s="644"/>
      <c r="D33" s="644"/>
      <c r="E33" s="644"/>
      <c r="F33" s="32"/>
      <c r="G33" s="32"/>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29"/>
      <c r="AG33" s="706"/>
    </row>
    <row r="34" spans="1:33" ht="18.75" x14ac:dyDescent="0.3">
      <c r="A34" s="13" t="s">
        <v>31</v>
      </c>
      <c r="B34" s="757">
        <f>B35</f>
        <v>0</v>
      </c>
      <c r="C34" s="757">
        <f>H34+J34+L34</f>
        <v>0</v>
      </c>
      <c r="D34" s="757">
        <f>D35</f>
        <v>0</v>
      </c>
      <c r="E34" s="757">
        <f>E35</f>
        <v>0</v>
      </c>
      <c r="F34" s="703">
        <v>0</v>
      </c>
      <c r="G34" s="703">
        <v>0</v>
      </c>
      <c r="H34" s="763">
        <f>H35</f>
        <v>0</v>
      </c>
      <c r="I34" s="763">
        <f t="shared" ref="I34:Z34" si="8">I35</f>
        <v>0</v>
      </c>
      <c r="J34" s="763">
        <f t="shared" si="8"/>
        <v>0</v>
      </c>
      <c r="K34" s="763">
        <f t="shared" si="8"/>
        <v>0</v>
      </c>
      <c r="L34" s="763">
        <f t="shared" si="8"/>
        <v>0</v>
      </c>
      <c r="M34" s="763">
        <f t="shared" si="8"/>
        <v>0</v>
      </c>
      <c r="N34" s="763">
        <f t="shared" si="8"/>
        <v>0</v>
      </c>
      <c r="O34" s="763">
        <f t="shared" si="8"/>
        <v>0</v>
      </c>
      <c r="P34" s="763">
        <f t="shared" si="8"/>
        <v>0</v>
      </c>
      <c r="Q34" s="763">
        <f t="shared" si="8"/>
        <v>0</v>
      </c>
      <c r="R34" s="763">
        <f t="shared" si="8"/>
        <v>0</v>
      </c>
      <c r="S34" s="763">
        <f t="shared" si="8"/>
        <v>0</v>
      </c>
      <c r="T34" s="763">
        <f t="shared" si="8"/>
        <v>0</v>
      </c>
      <c r="U34" s="763">
        <f t="shared" si="8"/>
        <v>0</v>
      </c>
      <c r="V34" s="763">
        <f t="shared" si="8"/>
        <v>0</v>
      </c>
      <c r="W34" s="763">
        <f t="shared" si="8"/>
        <v>0</v>
      </c>
      <c r="X34" s="763">
        <f t="shared" si="8"/>
        <v>0</v>
      </c>
      <c r="Y34" s="763">
        <f t="shared" si="8"/>
        <v>0</v>
      </c>
      <c r="Z34" s="763">
        <f t="shared" si="8"/>
        <v>0</v>
      </c>
      <c r="AA34" s="763">
        <f>AA35</f>
        <v>0</v>
      </c>
      <c r="AB34" s="763">
        <f>AB35</f>
        <v>0</v>
      </c>
      <c r="AC34" s="763">
        <f>AC35</f>
        <v>0</v>
      </c>
      <c r="AD34" s="763">
        <f>AD35</f>
        <v>0</v>
      </c>
      <c r="AE34" s="763">
        <f>AE35</f>
        <v>0</v>
      </c>
      <c r="AF34" s="29"/>
      <c r="AG34" s="706"/>
    </row>
    <row r="35" spans="1:33" ht="18.75" x14ac:dyDescent="0.3">
      <c r="A35" s="17" t="s">
        <v>33</v>
      </c>
      <c r="B35" s="701">
        <v>0</v>
      </c>
      <c r="C35" s="701">
        <f>H35+J35+L35+N35+P35+R35</f>
        <v>0</v>
      </c>
      <c r="D35" s="701">
        <f>I35+K35+M35+O35+Q35</f>
        <v>0</v>
      </c>
      <c r="E35" s="47">
        <f>K35+M35+O35+Q35+S35+U35+W35+Y35+AA35+AC35+AE35</f>
        <v>0</v>
      </c>
      <c r="F35" s="703">
        <v>0</v>
      </c>
      <c r="G35" s="703">
        <v>0</v>
      </c>
      <c r="H35" s="763">
        <v>0</v>
      </c>
      <c r="I35" s="763">
        <v>0</v>
      </c>
      <c r="J35" s="763">
        <v>0</v>
      </c>
      <c r="K35" s="763">
        <v>0</v>
      </c>
      <c r="L35" s="763">
        <v>0</v>
      </c>
      <c r="M35" s="763">
        <v>0</v>
      </c>
      <c r="N35" s="763">
        <v>0</v>
      </c>
      <c r="O35" s="763">
        <v>0</v>
      </c>
      <c r="P35" s="763">
        <v>0</v>
      </c>
      <c r="Q35" s="763">
        <v>0</v>
      </c>
      <c r="R35" s="763">
        <v>0</v>
      </c>
      <c r="S35" s="763">
        <v>0</v>
      </c>
      <c r="T35" s="763">
        <v>0</v>
      </c>
      <c r="U35" s="763">
        <v>0</v>
      </c>
      <c r="V35" s="763">
        <v>0</v>
      </c>
      <c r="W35" s="763">
        <v>0</v>
      </c>
      <c r="X35" s="763">
        <v>0</v>
      </c>
      <c r="Y35" s="763">
        <v>0</v>
      </c>
      <c r="Z35" s="763">
        <v>0</v>
      </c>
      <c r="AA35" s="763">
        <v>0</v>
      </c>
      <c r="AB35" s="763">
        <v>0</v>
      </c>
      <c r="AC35" s="763">
        <v>0</v>
      </c>
      <c r="AD35" s="763">
        <v>0</v>
      </c>
      <c r="AE35" s="763">
        <v>0</v>
      </c>
      <c r="AF35" s="29"/>
      <c r="AG35" s="706"/>
    </row>
    <row r="36" spans="1:33" ht="131.25" x14ac:dyDescent="0.3">
      <c r="A36" s="17" t="s">
        <v>107</v>
      </c>
      <c r="B36" s="644"/>
      <c r="C36" s="644"/>
      <c r="D36" s="644"/>
      <c r="E36" s="644"/>
      <c r="F36" s="32"/>
      <c r="G36" s="32"/>
      <c r="H36" s="644"/>
      <c r="I36" s="644"/>
      <c r="J36" s="644"/>
      <c r="K36" s="644"/>
      <c r="L36" s="644"/>
      <c r="M36" s="644"/>
      <c r="N36" s="644"/>
      <c r="O36" s="644"/>
      <c r="P36" s="644"/>
      <c r="Q36" s="644"/>
      <c r="R36" s="644"/>
      <c r="S36" s="644"/>
      <c r="T36" s="644"/>
      <c r="U36" s="644"/>
      <c r="V36" s="644"/>
      <c r="W36" s="644"/>
      <c r="X36" s="644"/>
      <c r="Y36" s="644"/>
      <c r="Z36" s="644"/>
      <c r="AA36" s="644"/>
      <c r="AB36" s="644"/>
      <c r="AC36" s="644"/>
      <c r="AD36" s="644"/>
      <c r="AE36" s="644"/>
      <c r="AF36" s="972" t="s">
        <v>600</v>
      </c>
      <c r="AG36" s="706"/>
    </row>
    <row r="37" spans="1:33" ht="18.75" x14ac:dyDescent="0.3">
      <c r="A37" s="13" t="s">
        <v>31</v>
      </c>
      <c r="B37" s="644">
        <f>B38</f>
        <v>81.400000000000006</v>
      </c>
      <c r="C37" s="757">
        <f>C38</f>
        <v>20.350000000000001</v>
      </c>
      <c r="D37" s="757">
        <f>D38</f>
        <v>0</v>
      </c>
      <c r="E37" s="757">
        <f>E38</f>
        <v>4.66</v>
      </c>
      <c r="F37" s="702">
        <f>E37/B37*100</f>
        <v>5.7248157248157243</v>
      </c>
      <c r="G37" s="32">
        <f>E37/C37*100</f>
        <v>22.899262899262897</v>
      </c>
      <c r="H37" s="757">
        <f>H38</f>
        <v>0</v>
      </c>
      <c r="I37" s="757">
        <f t="shared" ref="I37:AE38" si="9">I38</f>
        <v>0</v>
      </c>
      <c r="J37" s="757">
        <f t="shared" si="9"/>
        <v>0</v>
      </c>
      <c r="K37" s="757">
        <f t="shared" si="9"/>
        <v>0</v>
      </c>
      <c r="L37" s="757">
        <f t="shared" si="9"/>
        <v>0</v>
      </c>
      <c r="M37" s="757">
        <f t="shared" si="9"/>
        <v>0</v>
      </c>
      <c r="N37" s="757">
        <f t="shared" si="9"/>
        <v>0</v>
      </c>
      <c r="O37" s="757">
        <f t="shared" si="9"/>
        <v>0</v>
      </c>
      <c r="P37" s="644">
        <f t="shared" si="9"/>
        <v>10.17</v>
      </c>
      <c r="Q37" s="644">
        <f t="shared" si="9"/>
        <v>0</v>
      </c>
      <c r="R37" s="644">
        <f t="shared" si="9"/>
        <v>10.18</v>
      </c>
      <c r="S37" s="644">
        <f t="shared" si="9"/>
        <v>0</v>
      </c>
      <c r="T37" s="644">
        <f t="shared" si="9"/>
        <v>10.18</v>
      </c>
      <c r="U37" s="644">
        <f t="shared" si="9"/>
        <v>4.66</v>
      </c>
      <c r="V37" s="644">
        <f t="shared" si="9"/>
        <v>10.18</v>
      </c>
      <c r="W37" s="644">
        <f t="shared" si="9"/>
        <v>0</v>
      </c>
      <c r="X37" s="644">
        <f t="shared" si="9"/>
        <v>10.18</v>
      </c>
      <c r="Y37" s="644">
        <f t="shared" si="9"/>
        <v>0</v>
      </c>
      <c r="Z37" s="644">
        <f t="shared" si="9"/>
        <v>10.17</v>
      </c>
      <c r="AA37" s="644">
        <f t="shared" si="9"/>
        <v>0</v>
      </c>
      <c r="AB37" s="644">
        <f t="shared" si="9"/>
        <v>10.17</v>
      </c>
      <c r="AC37" s="644">
        <f t="shared" si="9"/>
        <v>0</v>
      </c>
      <c r="AD37" s="644">
        <f t="shared" si="9"/>
        <v>10.17</v>
      </c>
      <c r="AE37" s="644">
        <f t="shared" si="9"/>
        <v>0</v>
      </c>
      <c r="AF37" s="29"/>
      <c r="AG37" s="706"/>
    </row>
    <row r="38" spans="1:33" ht="18.75" x14ac:dyDescent="0.3">
      <c r="A38" s="17" t="s">
        <v>33</v>
      </c>
      <c r="B38" s="47">
        <f>H38+J38+L38+N38+P38+R38+T38+V38+X38+Z38+AB38+AD38</f>
        <v>81.400000000000006</v>
      </c>
      <c r="C38" s="701">
        <f>H38+J38+L38+N38+P38+R38</f>
        <v>20.350000000000001</v>
      </c>
      <c r="D38" s="757">
        <f>D39</f>
        <v>0</v>
      </c>
      <c r="E38" s="47">
        <f>K38+M38+O38+Q38+S38+U38+W38+Y38+AA38+AC38+AE38</f>
        <v>4.66</v>
      </c>
      <c r="F38" s="702">
        <f>E38/B38*100</f>
        <v>5.7248157248157243</v>
      </c>
      <c r="G38" s="32">
        <f>E38/C38*100</f>
        <v>22.899262899262897</v>
      </c>
      <c r="H38" s="757">
        <f>H39</f>
        <v>0</v>
      </c>
      <c r="I38" s="757">
        <f t="shared" si="9"/>
        <v>0</v>
      </c>
      <c r="J38" s="757">
        <f t="shared" si="9"/>
        <v>0</v>
      </c>
      <c r="K38" s="757">
        <f t="shared" si="9"/>
        <v>0</v>
      </c>
      <c r="L38" s="757">
        <f t="shared" si="9"/>
        <v>0</v>
      </c>
      <c r="M38" s="757">
        <f t="shared" si="9"/>
        <v>0</v>
      </c>
      <c r="N38" s="757">
        <f t="shared" si="9"/>
        <v>0</v>
      </c>
      <c r="O38" s="757">
        <f t="shared" si="9"/>
        <v>0</v>
      </c>
      <c r="P38" s="644">
        <v>10.17</v>
      </c>
      <c r="Q38" s="644"/>
      <c r="R38" s="644">
        <v>10.18</v>
      </c>
      <c r="S38" s="644"/>
      <c r="T38" s="644">
        <v>10.18</v>
      </c>
      <c r="U38" s="644">
        <v>4.66</v>
      </c>
      <c r="V38" s="644">
        <v>10.18</v>
      </c>
      <c r="W38" s="644"/>
      <c r="X38" s="644">
        <v>10.18</v>
      </c>
      <c r="Y38" s="644"/>
      <c r="Z38" s="644">
        <v>10.17</v>
      </c>
      <c r="AA38" s="644"/>
      <c r="AB38" s="644">
        <v>10.17</v>
      </c>
      <c r="AC38" s="644"/>
      <c r="AD38" s="644">
        <v>10.17</v>
      </c>
      <c r="AE38" s="644"/>
      <c r="AF38" s="29"/>
      <c r="AG38" s="706"/>
    </row>
    <row r="39" spans="1:33" ht="56.25" x14ac:dyDescent="0.3">
      <c r="A39" s="70" t="s">
        <v>108</v>
      </c>
      <c r="B39" s="644"/>
      <c r="C39" s="644"/>
      <c r="D39" s="644"/>
      <c r="E39" s="644"/>
      <c r="F39" s="32"/>
      <c r="G39" s="32"/>
      <c r="H39" s="644"/>
      <c r="I39" s="644"/>
      <c r="J39" s="644"/>
      <c r="K39" s="644"/>
      <c r="L39" s="644"/>
      <c r="M39" s="644"/>
      <c r="N39" s="644"/>
      <c r="O39" s="644"/>
      <c r="P39" s="644"/>
      <c r="Q39" s="644"/>
      <c r="R39" s="644"/>
      <c r="S39" s="644"/>
      <c r="T39" s="644"/>
      <c r="U39" s="644"/>
      <c r="V39" s="644"/>
      <c r="W39" s="644"/>
      <c r="X39" s="644"/>
      <c r="Y39" s="644"/>
      <c r="Z39" s="644"/>
      <c r="AA39" s="644"/>
      <c r="AB39" s="644"/>
      <c r="AC39" s="644"/>
      <c r="AD39" s="644"/>
      <c r="AE39" s="644"/>
      <c r="AF39" s="29"/>
      <c r="AG39" s="706"/>
    </row>
    <row r="40" spans="1:33" ht="18.75" x14ac:dyDescent="0.3">
      <c r="A40" s="13" t="s">
        <v>31</v>
      </c>
      <c r="B40" s="644">
        <f>B41</f>
        <v>514.6</v>
      </c>
      <c r="C40" s="644">
        <f>C41</f>
        <v>481.3</v>
      </c>
      <c r="D40" s="644">
        <f>D41</f>
        <v>316.3</v>
      </c>
      <c r="E40" s="644">
        <f>E41</f>
        <v>316.3</v>
      </c>
      <c r="F40" s="32">
        <f>E40/B40*100</f>
        <v>61.465215701515739</v>
      </c>
      <c r="G40" s="32">
        <f>E40/C40*100</f>
        <v>65.717847496364016</v>
      </c>
      <c r="H40" s="644">
        <f>H41</f>
        <v>266.3</v>
      </c>
      <c r="I40" s="644">
        <f t="shared" ref="I40:AE40" si="10">I41</f>
        <v>108</v>
      </c>
      <c r="J40" s="644">
        <f t="shared" si="10"/>
        <v>50</v>
      </c>
      <c r="K40" s="644">
        <f t="shared" si="10"/>
        <v>208.3</v>
      </c>
      <c r="L40" s="757">
        <f t="shared" si="10"/>
        <v>0</v>
      </c>
      <c r="M40" s="757">
        <f t="shared" si="10"/>
        <v>0</v>
      </c>
      <c r="N40" s="757">
        <f t="shared" si="10"/>
        <v>0</v>
      </c>
      <c r="O40" s="757">
        <f t="shared" si="10"/>
        <v>0</v>
      </c>
      <c r="P40" s="644">
        <f t="shared" si="10"/>
        <v>165</v>
      </c>
      <c r="Q40" s="757">
        <f t="shared" si="10"/>
        <v>165</v>
      </c>
      <c r="R40" s="757">
        <f t="shared" si="10"/>
        <v>0</v>
      </c>
      <c r="S40" s="757">
        <f t="shared" si="10"/>
        <v>0</v>
      </c>
      <c r="T40" s="757">
        <f t="shared" si="10"/>
        <v>0</v>
      </c>
      <c r="U40" s="757">
        <f t="shared" si="10"/>
        <v>0</v>
      </c>
      <c r="V40" s="757">
        <f t="shared" si="10"/>
        <v>0</v>
      </c>
      <c r="W40" s="757">
        <f t="shared" si="10"/>
        <v>0</v>
      </c>
      <c r="X40" s="757">
        <f t="shared" si="10"/>
        <v>0</v>
      </c>
      <c r="Y40" s="757">
        <f t="shared" si="10"/>
        <v>0</v>
      </c>
      <c r="Z40" s="757">
        <f t="shared" si="10"/>
        <v>0</v>
      </c>
      <c r="AA40" s="757">
        <f t="shared" si="10"/>
        <v>0</v>
      </c>
      <c r="AB40" s="757">
        <f t="shared" si="10"/>
        <v>0</v>
      </c>
      <c r="AC40" s="757">
        <f t="shared" si="10"/>
        <v>0</v>
      </c>
      <c r="AD40" s="644">
        <f t="shared" si="10"/>
        <v>33.299999999999997</v>
      </c>
      <c r="AE40" s="757">
        <f t="shared" si="10"/>
        <v>0</v>
      </c>
      <c r="AF40" s="29"/>
      <c r="AG40" s="706"/>
    </row>
    <row r="41" spans="1:33" ht="18.75" x14ac:dyDescent="0.3">
      <c r="A41" s="17" t="s">
        <v>33</v>
      </c>
      <c r="B41" s="644">
        <f>B44+B47</f>
        <v>514.6</v>
      </c>
      <c r="C41" s="644">
        <f>C44+C47</f>
        <v>481.3</v>
      </c>
      <c r="D41" s="644">
        <f>D44+D47</f>
        <v>316.3</v>
      </c>
      <c r="E41" s="764">
        <f>E43</f>
        <v>316.3</v>
      </c>
      <c r="F41" s="32">
        <f>E41/B41*100</f>
        <v>61.465215701515739</v>
      </c>
      <c r="G41" s="32">
        <f>E41/C41*100</f>
        <v>65.717847496364016</v>
      </c>
      <c r="H41" s="644">
        <f t="shared" ref="H41:AE41" si="11">H44+H47</f>
        <v>266.3</v>
      </c>
      <c r="I41" s="644">
        <f t="shared" si="11"/>
        <v>108</v>
      </c>
      <c r="J41" s="644">
        <f t="shared" si="11"/>
        <v>50</v>
      </c>
      <c r="K41" s="644">
        <f t="shared" si="11"/>
        <v>208.3</v>
      </c>
      <c r="L41" s="757">
        <f t="shared" si="11"/>
        <v>0</v>
      </c>
      <c r="M41" s="757">
        <f t="shared" si="11"/>
        <v>0</v>
      </c>
      <c r="N41" s="757">
        <f t="shared" si="11"/>
        <v>0</v>
      </c>
      <c r="O41" s="757">
        <f t="shared" si="11"/>
        <v>0</v>
      </c>
      <c r="P41" s="644">
        <f t="shared" si="11"/>
        <v>165</v>
      </c>
      <c r="Q41" s="757">
        <f t="shared" si="11"/>
        <v>165</v>
      </c>
      <c r="R41" s="757">
        <f t="shared" si="11"/>
        <v>0</v>
      </c>
      <c r="S41" s="757">
        <f t="shared" si="11"/>
        <v>0</v>
      </c>
      <c r="T41" s="757">
        <f t="shared" si="11"/>
        <v>0</v>
      </c>
      <c r="U41" s="757">
        <f t="shared" si="11"/>
        <v>0</v>
      </c>
      <c r="V41" s="757">
        <f t="shared" si="11"/>
        <v>0</v>
      </c>
      <c r="W41" s="757">
        <f t="shared" si="11"/>
        <v>0</v>
      </c>
      <c r="X41" s="757">
        <f t="shared" si="11"/>
        <v>0</v>
      </c>
      <c r="Y41" s="757">
        <f t="shared" si="11"/>
        <v>0</v>
      </c>
      <c r="Z41" s="757">
        <f t="shared" si="11"/>
        <v>0</v>
      </c>
      <c r="AA41" s="757">
        <f t="shared" si="11"/>
        <v>0</v>
      </c>
      <c r="AB41" s="757">
        <f t="shared" si="11"/>
        <v>0</v>
      </c>
      <c r="AC41" s="757">
        <f t="shared" si="11"/>
        <v>0</v>
      </c>
      <c r="AD41" s="644">
        <f t="shared" si="11"/>
        <v>33.299999999999997</v>
      </c>
      <c r="AE41" s="757">
        <f t="shared" si="11"/>
        <v>0</v>
      </c>
      <c r="AF41" s="774"/>
      <c r="AG41" s="706"/>
    </row>
    <row r="42" spans="1:33" ht="206.25" x14ac:dyDescent="0.3">
      <c r="A42" s="17" t="s">
        <v>109</v>
      </c>
      <c r="B42" s="644"/>
      <c r="C42" s="644"/>
      <c r="D42" s="644"/>
      <c r="E42" s="644"/>
      <c r="F42" s="32"/>
      <c r="G42" s="32"/>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29"/>
      <c r="AG42" s="706"/>
    </row>
    <row r="43" spans="1:33" ht="18.75" x14ac:dyDescent="0.3">
      <c r="A43" s="13" t="s">
        <v>31</v>
      </c>
      <c r="B43" s="644">
        <f>B44</f>
        <v>349.6</v>
      </c>
      <c r="C43" s="644">
        <f>C44</f>
        <v>316.3</v>
      </c>
      <c r="D43" s="644">
        <f>D44</f>
        <v>316.3</v>
      </c>
      <c r="E43" s="644">
        <f>E44</f>
        <v>316.3</v>
      </c>
      <c r="F43" s="32">
        <f>E43/B43*100</f>
        <v>90.474828375286037</v>
      </c>
      <c r="G43" s="32">
        <f>G44</f>
        <v>100</v>
      </c>
      <c r="H43" s="644">
        <f>H44</f>
        <v>266.3</v>
      </c>
      <c r="I43" s="644">
        <f t="shared" ref="I43:AE44" si="12">I44</f>
        <v>108</v>
      </c>
      <c r="J43" s="644">
        <f t="shared" si="12"/>
        <v>50</v>
      </c>
      <c r="K43" s="644">
        <f t="shared" si="12"/>
        <v>208.3</v>
      </c>
      <c r="L43" s="757">
        <f t="shared" si="12"/>
        <v>0</v>
      </c>
      <c r="M43" s="757">
        <f t="shared" si="12"/>
        <v>0</v>
      </c>
      <c r="N43" s="757">
        <f t="shared" si="12"/>
        <v>0</v>
      </c>
      <c r="O43" s="757">
        <f t="shared" si="12"/>
        <v>0</v>
      </c>
      <c r="P43" s="757">
        <f t="shared" si="12"/>
        <v>0</v>
      </c>
      <c r="Q43" s="757">
        <f t="shared" si="12"/>
        <v>0</v>
      </c>
      <c r="R43" s="757">
        <f t="shared" si="12"/>
        <v>0</v>
      </c>
      <c r="S43" s="757">
        <f t="shared" si="12"/>
        <v>0</v>
      </c>
      <c r="T43" s="757">
        <f t="shared" si="12"/>
        <v>0</v>
      </c>
      <c r="U43" s="757">
        <f t="shared" si="12"/>
        <v>0</v>
      </c>
      <c r="V43" s="757">
        <f t="shared" si="12"/>
        <v>0</v>
      </c>
      <c r="W43" s="757">
        <f t="shared" si="12"/>
        <v>0</v>
      </c>
      <c r="X43" s="757">
        <f t="shared" si="12"/>
        <v>0</v>
      </c>
      <c r="Y43" s="757">
        <f t="shared" si="12"/>
        <v>0</v>
      </c>
      <c r="Z43" s="757">
        <f t="shared" si="12"/>
        <v>0</v>
      </c>
      <c r="AA43" s="757">
        <f t="shared" si="12"/>
        <v>0</v>
      </c>
      <c r="AB43" s="757">
        <f t="shared" si="12"/>
        <v>0</v>
      </c>
      <c r="AC43" s="757">
        <f t="shared" si="12"/>
        <v>0</v>
      </c>
      <c r="AD43" s="644">
        <f t="shared" si="12"/>
        <v>33.299999999999997</v>
      </c>
      <c r="AE43" s="644">
        <f t="shared" si="12"/>
        <v>0</v>
      </c>
      <c r="AF43" s="29"/>
      <c r="AG43" s="706"/>
    </row>
    <row r="44" spans="1:33" ht="18.75" x14ac:dyDescent="0.3">
      <c r="A44" s="17" t="s">
        <v>33</v>
      </c>
      <c r="B44" s="47">
        <f>H44+J44+L44+N44+P44+R44+T44+V44+X44+Z44+AB44+AD44</f>
        <v>349.6</v>
      </c>
      <c r="C44" s="47">
        <f>H44+J44+L44+N44+P44+R44</f>
        <v>316.3</v>
      </c>
      <c r="D44" s="47">
        <f>E44</f>
        <v>316.3</v>
      </c>
      <c r="E44" s="47">
        <f>I44+K44</f>
        <v>316.3</v>
      </c>
      <c r="F44" s="32">
        <f>E44/B44*100</f>
        <v>90.474828375286037</v>
      </c>
      <c r="G44" s="32">
        <f>E44/C44*100</f>
        <v>100</v>
      </c>
      <c r="H44" s="644">
        <v>266.3</v>
      </c>
      <c r="I44" s="644">
        <v>108</v>
      </c>
      <c r="J44" s="644">
        <v>50</v>
      </c>
      <c r="K44" s="644">
        <v>208.3</v>
      </c>
      <c r="L44" s="757">
        <f t="shared" si="12"/>
        <v>0</v>
      </c>
      <c r="M44" s="757">
        <f t="shared" si="12"/>
        <v>0</v>
      </c>
      <c r="N44" s="757">
        <f t="shared" si="12"/>
        <v>0</v>
      </c>
      <c r="O44" s="757">
        <f t="shared" si="12"/>
        <v>0</v>
      </c>
      <c r="P44" s="757">
        <f t="shared" si="12"/>
        <v>0</v>
      </c>
      <c r="Q44" s="757">
        <f t="shared" si="12"/>
        <v>0</v>
      </c>
      <c r="R44" s="757">
        <f t="shared" si="12"/>
        <v>0</v>
      </c>
      <c r="S44" s="757">
        <f t="shared" si="12"/>
        <v>0</v>
      </c>
      <c r="T44" s="757">
        <f t="shared" si="12"/>
        <v>0</v>
      </c>
      <c r="U44" s="757">
        <f t="shared" si="12"/>
        <v>0</v>
      </c>
      <c r="V44" s="757">
        <f t="shared" si="12"/>
        <v>0</v>
      </c>
      <c r="W44" s="757">
        <f t="shared" si="12"/>
        <v>0</v>
      </c>
      <c r="X44" s="757">
        <f t="shared" si="12"/>
        <v>0</v>
      </c>
      <c r="Y44" s="757">
        <f t="shared" si="12"/>
        <v>0</v>
      </c>
      <c r="Z44" s="757">
        <f t="shared" si="12"/>
        <v>0</v>
      </c>
      <c r="AA44" s="757">
        <f t="shared" si="12"/>
        <v>0</v>
      </c>
      <c r="AB44" s="757">
        <f t="shared" si="12"/>
        <v>0</v>
      </c>
      <c r="AC44" s="757">
        <f t="shared" si="12"/>
        <v>0</v>
      </c>
      <c r="AD44" s="644">
        <v>33.299999999999997</v>
      </c>
      <c r="AE44" s="644"/>
      <c r="AF44" s="29"/>
      <c r="AG44" s="706"/>
    </row>
    <row r="45" spans="1:33" ht="93.75" x14ac:dyDescent="0.3">
      <c r="A45" s="17" t="s">
        <v>110</v>
      </c>
      <c r="B45" s="644"/>
      <c r="C45" s="644"/>
      <c r="D45" s="644"/>
      <c r="E45" s="644"/>
      <c r="F45" s="32"/>
      <c r="G45" s="32"/>
      <c r="H45" s="644"/>
      <c r="I45" s="644"/>
      <c r="J45" s="644"/>
      <c r="K45" s="644"/>
      <c r="L45" s="644"/>
      <c r="M45" s="644"/>
      <c r="N45" s="644"/>
      <c r="O45" s="644"/>
      <c r="P45" s="644"/>
      <c r="Q45" s="644"/>
      <c r="R45" s="644"/>
      <c r="S45" s="644"/>
      <c r="T45" s="644"/>
      <c r="U45" s="644"/>
      <c r="V45" s="644"/>
      <c r="W45" s="644"/>
      <c r="X45" s="644"/>
      <c r="Y45" s="644"/>
      <c r="Z45" s="644"/>
      <c r="AA45" s="644"/>
      <c r="AB45" s="644"/>
      <c r="AC45" s="644"/>
      <c r="AD45" s="644"/>
      <c r="AE45" s="644"/>
      <c r="AF45" s="29"/>
      <c r="AG45" s="706"/>
    </row>
    <row r="46" spans="1:33" ht="18.75" x14ac:dyDescent="0.3">
      <c r="A46" s="13" t="s">
        <v>31</v>
      </c>
      <c r="B46" s="644">
        <f>B47</f>
        <v>165</v>
      </c>
      <c r="C46" s="644">
        <f>C47</f>
        <v>165</v>
      </c>
      <c r="D46" s="644"/>
      <c r="E46" s="644">
        <f>E47</f>
        <v>165</v>
      </c>
      <c r="F46" s="32"/>
      <c r="G46" s="32">
        <f>G47</f>
        <v>100</v>
      </c>
      <c r="H46" s="644">
        <f>H47</f>
        <v>0</v>
      </c>
      <c r="I46" s="644">
        <f t="shared" ref="I46:AE46" si="13">I47</f>
        <v>0</v>
      </c>
      <c r="J46" s="644">
        <f t="shared" si="13"/>
        <v>0</v>
      </c>
      <c r="K46" s="644">
        <f t="shared" si="13"/>
        <v>0</v>
      </c>
      <c r="L46" s="644">
        <f t="shared" si="13"/>
        <v>0</v>
      </c>
      <c r="M46" s="644">
        <f t="shared" si="13"/>
        <v>0</v>
      </c>
      <c r="N46" s="644">
        <f t="shared" si="13"/>
        <v>0</v>
      </c>
      <c r="O46" s="644">
        <f t="shared" si="13"/>
        <v>0</v>
      </c>
      <c r="P46" s="644">
        <f t="shared" si="13"/>
        <v>165</v>
      </c>
      <c r="Q46" s="644">
        <f t="shared" si="13"/>
        <v>165</v>
      </c>
      <c r="R46" s="644">
        <f t="shared" si="13"/>
        <v>0</v>
      </c>
      <c r="S46" s="644">
        <f t="shared" si="13"/>
        <v>0</v>
      </c>
      <c r="T46" s="644">
        <f t="shared" si="13"/>
        <v>0</v>
      </c>
      <c r="U46" s="644">
        <f t="shared" si="13"/>
        <v>0</v>
      </c>
      <c r="V46" s="644">
        <f t="shared" si="13"/>
        <v>0</v>
      </c>
      <c r="W46" s="644">
        <f t="shared" si="13"/>
        <v>0</v>
      </c>
      <c r="X46" s="644">
        <f t="shared" si="13"/>
        <v>0</v>
      </c>
      <c r="Y46" s="644">
        <f t="shared" si="13"/>
        <v>0</v>
      </c>
      <c r="Z46" s="644">
        <f t="shared" si="13"/>
        <v>0</v>
      </c>
      <c r="AA46" s="644">
        <f t="shared" si="13"/>
        <v>0</v>
      </c>
      <c r="AB46" s="644">
        <f t="shared" si="13"/>
        <v>0</v>
      </c>
      <c r="AC46" s="644">
        <f t="shared" si="13"/>
        <v>0</v>
      </c>
      <c r="AD46" s="644">
        <f t="shared" si="13"/>
        <v>0</v>
      </c>
      <c r="AE46" s="644">
        <f t="shared" si="13"/>
        <v>0</v>
      </c>
      <c r="AF46" s="29"/>
      <c r="AG46" s="706"/>
    </row>
    <row r="47" spans="1:33" ht="18.75" x14ac:dyDescent="0.3">
      <c r="A47" s="17" t="s">
        <v>33</v>
      </c>
      <c r="B47" s="47">
        <f>H47+J47+L47+N47+P47+R47+T47+V47+X47+Z47+AB47+AD47</f>
        <v>165</v>
      </c>
      <c r="C47" s="47">
        <f>H47+J47+L47+N47+P47+R47</f>
        <v>165</v>
      </c>
      <c r="D47" s="47"/>
      <c r="E47" s="47">
        <f>K47+M47+O47+Q47+S47+U47+W47+Y47+AA47+AC47+AE47+I47</f>
        <v>165</v>
      </c>
      <c r="F47" s="32">
        <f>E47/B47*100</f>
        <v>100</v>
      </c>
      <c r="G47" s="32">
        <f>E47/C47*100</f>
        <v>100</v>
      </c>
      <c r="H47" s="644"/>
      <c r="I47" s="644"/>
      <c r="J47" s="644"/>
      <c r="K47" s="644"/>
      <c r="L47" s="644"/>
      <c r="M47" s="644"/>
      <c r="N47" s="644"/>
      <c r="O47" s="644"/>
      <c r="P47" s="644">
        <v>165</v>
      </c>
      <c r="Q47" s="644">
        <v>165</v>
      </c>
      <c r="R47" s="644"/>
      <c r="S47" s="644"/>
      <c r="T47" s="644"/>
      <c r="U47" s="644"/>
      <c r="V47" s="644"/>
      <c r="W47" s="644"/>
      <c r="X47" s="644"/>
      <c r="Y47" s="644"/>
      <c r="Z47" s="644"/>
      <c r="AA47" s="644"/>
      <c r="AB47" s="644"/>
      <c r="AC47" s="644"/>
      <c r="AD47" s="644"/>
      <c r="AE47" s="644"/>
      <c r="AF47" s="29"/>
      <c r="AG47" s="706"/>
    </row>
    <row r="48" spans="1:33" ht="318.75" x14ac:dyDescent="0.3">
      <c r="A48" s="913" t="s">
        <v>129</v>
      </c>
      <c r="B48" s="644"/>
      <c r="C48" s="644"/>
      <c r="D48" s="644"/>
      <c r="E48" s="644"/>
      <c r="F48" s="32"/>
      <c r="G48" s="32"/>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912" t="s">
        <v>564</v>
      </c>
      <c r="AG48" s="706"/>
    </row>
    <row r="49" spans="1:33" ht="18.75" x14ac:dyDescent="0.3">
      <c r="A49" s="13" t="s">
        <v>31</v>
      </c>
      <c r="B49" s="644">
        <f>B50</f>
        <v>810.6</v>
      </c>
      <c r="C49" s="644">
        <f>C50</f>
        <v>0</v>
      </c>
      <c r="D49" s="644"/>
      <c r="E49" s="644">
        <f>E50</f>
        <v>591.97</v>
      </c>
      <c r="F49" s="32"/>
      <c r="G49" s="32"/>
      <c r="H49" s="644">
        <f>H50</f>
        <v>0</v>
      </c>
      <c r="I49" s="644">
        <f t="shared" ref="I49:AE49" si="14">I50</f>
        <v>0</v>
      </c>
      <c r="J49" s="644">
        <f t="shared" si="14"/>
        <v>0</v>
      </c>
      <c r="K49" s="644">
        <f t="shared" si="14"/>
        <v>0</v>
      </c>
      <c r="L49" s="644">
        <f t="shared" si="14"/>
        <v>0</v>
      </c>
      <c r="M49" s="644">
        <f t="shared" si="14"/>
        <v>0</v>
      </c>
      <c r="N49" s="644">
        <f t="shared" si="14"/>
        <v>0</v>
      </c>
      <c r="O49" s="644">
        <f t="shared" si="14"/>
        <v>0</v>
      </c>
      <c r="P49" s="644">
        <f t="shared" si="14"/>
        <v>0</v>
      </c>
      <c r="Q49" s="644">
        <f t="shared" si="14"/>
        <v>591.97</v>
      </c>
      <c r="R49" s="644">
        <f t="shared" si="14"/>
        <v>0</v>
      </c>
      <c r="S49" s="644">
        <f t="shared" si="14"/>
        <v>0</v>
      </c>
      <c r="T49" s="644">
        <f t="shared" si="14"/>
        <v>0</v>
      </c>
      <c r="U49" s="644">
        <f t="shared" si="14"/>
        <v>0</v>
      </c>
      <c r="V49" s="644">
        <f t="shared" si="14"/>
        <v>0</v>
      </c>
      <c r="W49" s="644">
        <f t="shared" si="14"/>
        <v>0</v>
      </c>
      <c r="X49" s="644">
        <f t="shared" si="14"/>
        <v>0</v>
      </c>
      <c r="Y49" s="644">
        <f t="shared" si="14"/>
        <v>0</v>
      </c>
      <c r="Z49" s="644">
        <f t="shared" si="14"/>
        <v>810.6</v>
      </c>
      <c r="AA49" s="644">
        <f t="shared" si="14"/>
        <v>0</v>
      </c>
      <c r="AB49" s="644">
        <f t="shared" si="14"/>
        <v>0</v>
      </c>
      <c r="AC49" s="644">
        <f t="shared" si="14"/>
        <v>0</v>
      </c>
      <c r="AD49" s="644">
        <f t="shared" si="14"/>
        <v>0</v>
      </c>
      <c r="AE49" s="644">
        <f t="shared" si="14"/>
        <v>0</v>
      </c>
      <c r="AF49" s="29"/>
      <c r="AG49" s="706"/>
    </row>
    <row r="50" spans="1:33" ht="18.75" x14ac:dyDescent="0.3">
      <c r="A50" s="17" t="s">
        <v>33</v>
      </c>
      <c r="B50" s="47">
        <f>H50+J50+L50+N50+P50+R50+T50+V50+X50+Z50+AB50+AD50</f>
        <v>810.6</v>
      </c>
      <c r="C50" s="47">
        <f>H50+J50+L50+N50+P50+R50</f>
        <v>0</v>
      </c>
      <c r="D50" s="47"/>
      <c r="E50" s="47">
        <f>K50+M50+O50+Q50+S50+U50+W50+Y50+AA50+AC50+AE50+I50</f>
        <v>591.97</v>
      </c>
      <c r="F50" s="32">
        <f>E50/B50*100</f>
        <v>73.028620774734762</v>
      </c>
      <c r="G50" s="32" t="e">
        <f>E50/C50*100</f>
        <v>#DIV/0!</v>
      </c>
      <c r="H50" s="644"/>
      <c r="I50" s="644"/>
      <c r="J50" s="644"/>
      <c r="K50" s="644"/>
      <c r="L50" s="644"/>
      <c r="M50" s="644"/>
      <c r="N50" s="644"/>
      <c r="O50" s="644"/>
      <c r="P50" s="644"/>
      <c r="Q50" s="644">
        <v>591.97</v>
      </c>
      <c r="R50" s="644"/>
      <c r="S50" s="644"/>
      <c r="T50" s="644"/>
      <c r="U50" s="644"/>
      <c r="V50" s="644"/>
      <c r="W50" s="644"/>
      <c r="X50" s="644"/>
      <c r="Y50" s="644"/>
      <c r="Z50" s="644">
        <v>810.6</v>
      </c>
      <c r="AA50" s="644"/>
      <c r="AB50" s="644"/>
      <c r="AC50" s="644"/>
      <c r="AD50" s="644"/>
      <c r="AE50" s="644"/>
      <c r="AF50" s="29"/>
      <c r="AG50" s="706"/>
    </row>
    <row r="51" spans="1:33" ht="18.75" x14ac:dyDescent="0.3">
      <c r="A51" s="54" t="s">
        <v>53</v>
      </c>
      <c r="B51" s="644"/>
      <c r="C51" s="644"/>
      <c r="D51" s="644"/>
      <c r="E51" s="644"/>
      <c r="F51" s="32"/>
      <c r="G51" s="32"/>
      <c r="H51" s="644"/>
      <c r="I51" s="644"/>
      <c r="J51" s="644"/>
      <c r="K51" s="644"/>
      <c r="L51" s="644"/>
      <c r="M51" s="644"/>
      <c r="N51" s="644"/>
      <c r="O51" s="644"/>
      <c r="P51" s="644"/>
      <c r="Q51" s="644"/>
      <c r="R51" s="644"/>
      <c r="S51" s="644"/>
      <c r="T51" s="644"/>
      <c r="U51" s="644"/>
      <c r="V51" s="644"/>
      <c r="W51" s="644"/>
      <c r="X51" s="644"/>
      <c r="Y51" s="644"/>
      <c r="Z51" s="644"/>
      <c r="AA51" s="644"/>
      <c r="AB51" s="644"/>
      <c r="AC51" s="644"/>
      <c r="AD51" s="644"/>
      <c r="AE51" s="644"/>
      <c r="AF51" s="29"/>
      <c r="AG51" s="706"/>
    </row>
    <row r="52" spans="1:33" ht="18.75" x14ac:dyDescent="0.3">
      <c r="A52" s="13" t="s">
        <v>31</v>
      </c>
      <c r="B52" s="644">
        <f>B9+B15+B18+B22+B25+B40+B49</f>
        <v>15474.73</v>
      </c>
      <c r="C52" s="644">
        <f>C53+C54+C55</f>
        <v>7477.7000000000007</v>
      </c>
      <c r="D52" s="644">
        <f>D53+D54+D55</f>
        <v>5363.3000000000011</v>
      </c>
      <c r="E52" s="644">
        <f>E53+E54+E55</f>
        <v>5367.9600000000009</v>
      </c>
      <c r="F52" s="32">
        <f t="shared" ref="F52:G56" si="15">D52/B52*100</f>
        <v>34.658439921084252</v>
      </c>
      <c r="G52" s="32">
        <f t="shared" si="15"/>
        <v>71.7862444334488</v>
      </c>
      <c r="H52" s="644">
        <f>H53+H54+H55</f>
        <v>1376.28</v>
      </c>
      <c r="I52" s="644">
        <f t="shared" ref="I52:AE52" si="16">I53+I54+I55</f>
        <v>1098.06</v>
      </c>
      <c r="J52" s="644">
        <f t="shared" si="16"/>
        <v>1105.46</v>
      </c>
      <c r="K52" s="644">
        <f t="shared" si="16"/>
        <v>1106.3200000000002</v>
      </c>
      <c r="L52" s="644">
        <f t="shared" si="16"/>
        <v>1224.58</v>
      </c>
      <c r="M52" s="644">
        <f t="shared" si="16"/>
        <v>965.78</v>
      </c>
      <c r="N52" s="644">
        <f t="shared" si="16"/>
        <v>1375.9</v>
      </c>
      <c r="O52" s="644">
        <f t="shared" si="16"/>
        <v>1076.55</v>
      </c>
      <c r="P52" s="644">
        <f t="shared" si="16"/>
        <v>1322.78</v>
      </c>
      <c r="Q52" s="644">
        <f t="shared" si="16"/>
        <v>1674.96</v>
      </c>
      <c r="R52" s="644">
        <f t="shared" si="16"/>
        <v>1127.23</v>
      </c>
      <c r="S52" s="644">
        <f t="shared" si="16"/>
        <v>933.87</v>
      </c>
      <c r="T52" s="644">
        <f t="shared" si="16"/>
        <v>1395.53</v>
      </c>
      <c r="U52" s="644">
        <f t="shared" si="16"/>
        <v>1200.4000000000001</v>
      </c>
      <c r="V52" s="644">
        <f t="shared" si="16"/>
        <v>1020.37</v>
      </c>
      <c r="W52" s="644">
        <f t="shared" si="16"/>
        <v>0</v>
      </c>
      <c r="X52" s="644">
        <f t="shared" si="16"/>
        <v>999.03</v>
      </c>
      <c r="Y52" s="644">
        <f t="shared" si="16"/>
        <v>0</v>
      </c>
      <c r="Z52" s="644">
        <f t="shared" si="16"/>
        <v>2054.79</v>
      </c>
      <c r="AA52" s="644">
        <f t="shared" si="16"/>
        <v>0</v>
      </c>
      <c r="AB52" s="644">
        <f t="shared" si="16"/>
        <v>1020.36</v>
      </c>
      <c r="AC52" s="644">
        <f t="shared" si="16"/>
        <v>0</v>
      </c>
      <c r="AD52" s="644">
        <f t="shared" si="16"/>
        <v>1452.42</v>
      </c>
      <c r="AE52" s="644">
        <f t="shared" si="16"/>
        <v>0</v>
      </c>
      <c r="AF52" s="29"/>
      <c r="AG52" s="706"/>
    </row>
    <row r="53" spans="1:33" ht="18.75" x14ac:dyDescent="0.3">
      <c r="A53" s="13" t="s">
        <v>102</v>
      </c>
      <c r="B53" s="644">
        <f>B23</f>
        <v>2.8</v>
      </c>
      <c r="C53" s="644">
        <f>C23</f>
        <v>2.8</v>
      </c>
      <c r="D53" s="644">
        <f>D23</f>
        <v>2.79</v>
      </c>
      <c r="E53" s="644">
        <f>E23</f>
        <v>2.79</v>
      </c>
      <c r="F53" s="32">
        <f t="shared" si="15"/>
        <v>99.642857142857153</v>
      </c>
      <c r="G53" s="32">
        <f t="shared" si="15"/>
        <v>99.642857142857153</v>
      </c>
      <c r="H53" s="644">
        <f>H23</f>
        <v>0</v>
      </c>
      <c r="I53" s="644">
        <f t="shared" ref="I53:AE53" si="17">I23</f>
        <v>0</v>
      </c>
      <c r="J53" s="644">
        <f t="shared" si="17"/>
        <v>0</v>
      </c>
      <c r="K53" s="644">
        <f t="shared" si="17"/>
        <v>0</v>
      </c>
      <c r="L53" s="644">
        <f t="shared" si="17"/>
        <v>0</v>
      </c>
      <c r="M53" s="644">
        <f t="shared" si="17"/>
        <v>0</v>
      </c>
      <c r="N53" s="644">
        <f t="shared" si="17"/>
        <v>0</v>
      </c>
      <c r="O53" s="644">
        <f t="shared" si="17"/>
        <v>0</v>
      </c>
      <c r="P53" s="644">
        <f t="shared" si="17"/>
        <v>2.8</v>
      </c>
      <c r="Q53" s="644">
        <f t="shared" si="17"/>
        <v>2.79</v>
      </c>
      <c r="R53" s="644">
        <f t="shared" si="17"/>
        <v>0</v>
      </c>
      <c r="S53" s="644">
        <f t="shared" si="17"/>
        <v>0</v>
      </c>
      <c r="T53" s="644">
        <f t="shared" si="17"/>
        <v>0</v>
      </c>
      <c r="U53" s="644">
        <f t="shared" si="17"/>
        <v>0</v>
      </c>
      <c r="V53" s="644">
        <f t="shared" si="17"/>
        <v>0</v>
      </c>
      <c r="W53" s="644">
        <f t="shared" si="17"/>
        <v>0</v>
      </c>
      <c r="X53" s="644">
        <f t="shared" si="17"/>
        <v>0</v>
      </c>
      <c r="Y53" s="644">
        <f t="shared" si="17"/>
        <v>0</v>
      </c>
      <c r="Z53" s="644">
        <f t="shared" si="17"/>
        <v>0</v>
      </c>
      <c r="AA53" s="644">
        <f t="shared" si="17"/>
        <v>0</v>
      </c>
      <c r="AB53" s="644">
        <f t="shared" si="17"/>
        <v>0</v>
      </c>
      <c r="AC53" s="644">
        <f t="shared" si="17"/>
        <v>0</v>
      </c>
      <c r="AD53" s="644">
        <f t="shared" si="17"/>
        <v>0</v>
      </c>
      <c r="AE53" s="644">
        <f t="shared" si="17"/>
        <v>0</v>
      </c>
      <c r="AF53" s="29"/>
      <c r="AG53" s="706"/>
    </row>
    <row r="54" spans="1:33" ht="18.75" x14ac:dyDescent="0.3">
      <c r="A54" s="13" t="s">
        <v>97</v>
      </c>
      <c r="B54" s="644">
        <f>B11+B19</f>
        <v>3329.4800000000005</v>
      </c>
      <c r="C54" s="644">
        <f>C11+C19</f>
        <v>984.5</v>
      </c>
      <c r="D54" s="644">
        <f>D11+D19</f>
        <v>2229.38</v>
      </c>
      <c r="E54" s="644">
        <f>E11+E19</f>
        <v>2229.38</v>
      </c>
      <c r="F54" s="32">
        <f t="shared" si="15"/>
        <v>66.958804377860801</v>
      </c>
      <c r="G54" s="32">
        <f t="shared" si="15"/>
        <v>226.44794311833419</v>
      </c>
      <c r="H54" s="644">
        <f>H11+H19</f>
        <v>343.77</v>
      </c>
      <c r="I54" s="644">
        <f t="shared" ref="I54:AE54" si="18">I11+I19</f>
        <v>248.71</v>
      </c>
      <c r="J54" s="644">
        <f t="shared" si="18"/>
        <v>216.67</v>
      </c>
      <c r="K54" s="644">
        <f t="shared" si="18"/>
        <v>251.63</v>
      </c>
      <c r="L54" s="644">
        <f t="shared" si="18"/>
        <v>385.99</v>
      </c>
      <c r="M54" s="644">
        <f t="shared" si="18"/>
        <v>318.68</v>
      </c>
      <c r="N54" s="644">
        <f t="shared" si="18"/>
        <v>352.06</v>
      </c>
      <c r="O54" s="644">
        <f t="shared" si="18"/>
        <v>308.86</v>
      </c>
      <c r="P54" s="644">
        <f t="shared" si="18"/>
        <v>306.22000000000003</v>
      </c>
      <c r="Q54" s="644">
        <f t="shared" si="18"/>
        <v>263.17</v>
      </c>
      <c r="R54" s="644">
        <f t="shared" si="18"/>
        <v>278.45999999999998</v>
      </c>
      <c r="S54" s="644">
        <f t="shared" si="18"/>
        <v>288.14</v>
      </c>
      <c r="T54" s="644">
        <f t="shared" si="18"/>
        <v>420.26</v>
      </c>
      <c r="U54" s="644">
        <f t="shared" si="18"/>
        <v>550.19000000000005</v>
      </c>
      <c r="V54" s="644">
        <f t="shared" si="18"/>
        <v>171.6</v>
      </c>
      <c r="W54" s="644">
        <f t="shared" si="18"/>
        <v>0</v>
      </c>
      <c r="X54" s="644">
        <f t="shared" si="18"/>
        <v>150.26</v>
      </c>
      <c r="Y54" s="644">
        <f t="shared" si="18"/>
        <v>0</v>
      </c>
      <c r="Z54" s="644">
        <f t="shared" si="18"/>
        <v>268.68</v>
      </c>
      <c r="AA54" s="644">
        <f t="shared" si="18"/>
        <v>0</v>
      </c>
      <c r="AB54" s="644">
        <f t="shared" si="18"/>
        <v>171.61</v>
      </c>
      <c r="AC54" s="644">
        <f t="shared" si="18"/>
        <v>0</v>
      </c>
      <c r="AD54" s="644">
        <f t="shared" si="18"/>
        <v>263.90000000000003</v>
      </c>
      <c r="AE54" s="644">
        <f t="shared" si="18"/>
        <v>0</v>
      </c>
      <c r="AF54" s="29"/>
      <c r="AG54" s="706"/>
    </row>
    <row r="55" spans="1:33" ht="18.75" x14ac:dyDescent="0.3">
      <c r="A55" s="17" t="s">
        <v>33</v>
      </c>
      <c r="B55" s="644">
        <f>B12+B16+B20+B26+B41+B50</f>
        <v>12142.45</v>
      </c>
      <c r="C55" s="644">
        <f>C12+C16+C20+C26+C41</f>
        <v>6490.4000000000005</v>
      </c>
      <c r="D55" s="644">
        <f>D12+D16+D20+D26+D41</f>
        <v>3131.1300000000006</v>
      </c>
      <c r="E55" s="644">
        <f>E12+E16+E20+E26+E41</f>
        <v>3135.7900000000004</v>
      </c>
      <c r="F55" s="32">
        <f t="shared" si="15"/>
        <v>25.786641081495087</v>
      </c>
      <c r="G55" s="32">
        <f t="shared" si="15"/>
        <v>48.314279551337364</v>
      </c>
      <c r="H55" s="644">
        <f>H12+H16+H20+H26+H41+H50</f>
        <v>1032.51</v>
      </c>
      <c r="I55" s="644">
        <f t="shared" ref="I55:AE55" si="19">I12+I16+I20+I26+I41+I50</f>
        <v>849.35</v>
      </c>
      <c r="J55" s="644">
        <f t="shared" si="19"/>
        <v>888.79</v>
      </c>
      <c r="K55" s="644">
        <f t="shared" si="19"/>
        <v>854.69</v>
      </c>
      <c r="L55" s="644">
        <f t="shared" si="19"/>
        <v>838.59</v>
      </c>
      <c r="M55" s="644">
        <f t="shared" si="19"/>
        <v>647.1</v>
      </c>
      <c r="N55" s="644">
        <f t="shared" si="19"/>
        <v>1023.84</v>
      </c>
      <c r="O55" s="644">
        <f t="shared" si="19"/>
        <v>767.68999999999994</v>
      </c>
      <c r="P55" s="644">
        <f t="shared" si="19"/>
        <v>1013.76</v>
      </c>
      <c r="Q55" s="644">
        <f t="shared" si="19"/>
        <v>1409</v>
      </c>
      <c r="R55" s="644">
        <f t="shared" si="19"/>
        <v>848.77</v>
      </c>
      <c r="S55" s="644">
        <f t="shared" si="19"/>
        <v>645.73</v>
      </c>
      <c r="T55" s="644">
        <f t="shared" si="19"/>
        <v>975.27</v>
      </c>
      <c r="U55" s="644">
        <f t="shared" si="19"/>
        <v>650.20999999999992</v>
      </c>
      <c r="V55" s="644">
        <f t="shared" si="19"/>
        <v>848.77</v>
      </c>
      <c r="W55" s="644">
        <f t="shared" si="19"/>
        <v>0</v>
      </c>
      <c r="X55" s="644">
        <f t="shared" si="19"/>
        <v>848.77</v>
      </c>
      <c r="Y55" s="644">
        <f t="shared" si="19"/>
        <v>0</v>
      </c>
      <c r="Z55" s="644">
        <f t="shared" si="19"/>
        <v>1786.1100000000001</v>
      </c>
      <c r="AA55" s="644">
        <f t="shared" si="19"/>
        <v>0</v>
      </c>
      <c r="AB55" s="644">
        <f t="shared" si="19"/>
        <v>848.75</v>
      </c>
      <c r="AC55" s="644">
        <f t="shared" si="19"/>
        <v>0</v>
      </c>
      <c r="AD55" s="644">
        <f t="shared" si="19"/>
        <v>1188.52</v>
      </c>
      <c r="AE55" s="644">
        <f t="shared" si="19"/>
        <v>0</v>
      </c>
      <c r="AF55" s="29"/>
      <c r="AG55" s="706"/>
    </row>
    <row r="56" spans="1:33" ht="37.5" x14ac:dyDescent="0.3">
      <c r="A56" s="73" t="s">
        <v>130</v>
      </c>
      <c r="B56" s="644">
        <f>B13</f>
        <v>65.319999999999993</v>
      </c>
      <c r="C56" s="644">
        <f>C13</f>
        <v>32.659999999999997</v>
      </c>
      <c r="D56" s="644">
        <f>D13</f>
        <v>16.329999999999998</v>
      </c>
      <c r="E56" s="644">
        <f>E13</f>
        <v>16.329999999999998</v>
      </c>
      <c r="F56" s="32">
        <f t="shared" si="15"/>
        <v>25</v>
      </c>
      <c r="G56" s="32">
        <f t="shared" si="15"/>
        <v>50</v>
      </c>
      <c r="H56" s="644">
        <f>H13</f>
        <v>0</v>
      </c>
      <c r="I56" s="644">
        <f t="shared" ref="I56:AE56" si="20">I13</f>
        <v>0</v>
      </c>
      <c r="J56" s="644">
        <f t="shared" si="20"/>
        <v>0</v>
      </c>
      <c r="K56" s="644">
        <f t="shared" si="20"/>
        <v>0</v>
      </c>
      <c r="L56" s="644">
        <f t="shared" si="20"/>
        <v>0</v>
      </c>
      <c r="M56" s="644">
        <f t="shared" si="20"/>
        <v>0</v>
      </c>
      <c r="N56" s="644">
        <f t="shared" si="20"/>
        <v>16.329999999999998</v>
      </c>
      <c r="O56" s="644">
        <f t="shared" si="20"/>
        <v>16.329999999999998</v>
      </c>
      <c r="P56" s="644">
        <f t="shared" si="20"/>
        <v>0</v>
      </c>
      <c r="Q56" s="644">
        <f t="shared" si="20"/>
        <v>0</v>
      </c>
      <c r="R56" s="644">
        <f t="shared" si="20"/>
        <v>0</v>
      </c>
      <c r="S56" s="644">
        <f t="shared" si="20"/>
        <v>0</v>
      </c>
      <c r="T56" s="644">
        <f t="shared" si="20"/>
        <v>16.329999999999998</v>
      </c>
      <c r="U56" s="644">
        <f t="shared" si="20"/>
        <v>0</v>
      </c>
      <c r="V56" s="644">
        <f t="shared" si="20"/>
        <v>0</v>
      </c>
      <c r="W56" s="644">
        <f t="shared" si="20"/>
        <v>0</v>
      </c>
      <c r="X56" s="644">
        <f t="shared" si="20"/>
        <v>0</v>
      </c>
      <c r="Y56" s="644">
        <f t="shared" si="20"/>
        <v>0</v>
      </c>
      <c r="Z56" s="644">
        <f t="shared" si="20"/>
        <v>16.329999999999998</v>
      </c>
      <c r="AA56" s="644">
        <f t="shared" si="20"/>
        <v>0</v>
      </c>
      <c r="AB56" s="644">
        <f t="shared" si="20"/>
        <v>0</v>
      </c>
      <c r="AC56" s="644">
        <f t="shared" si="20"/>
        <v>0</v>
      </c>
      <c r="AD56" s="644">
        <f t="shared" si="20"/>
        <v>16.329999999999998</v>
      </c>
      <c r="AE56" s="644">
        <f t="shared" si="20"/>
        <v>0</v>
      </c>
      <c r="AF56" s="29"/>
      <c r="AG56" s="706"/>
    </row>
    <row r="57" spans="1:33" ht="37.5" x14ac:dyDescent="0.3">
      <c r="A57" s="28" t="s">
        <v>72</v>
      </c>
      <c r="B57" s="615"/>
      <c r="C57" s="615"/>
      <c r="D57" s="615"/>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29"/>
      <c r="AG57" s="706"/>
    </row>
    <row r="58" spans="1:33" ht="18.75" x14ac:dyDescent="0.3">
      <c r="A58" s="8" t="s">
        <v>31</v>
      </c>
      <c r="B58" s="644">
        <f>B61+B59+B60</f>
        <v>15474.73</v>
      </c>
      <c r="C58" s="644">
        <f>C61+C59+C60</f>
        <v>7477.7000000000007</v>
      </c>
      <c r="D58" s="644">
        <f>D61+D59+D60</f>
        <v>5363.3000000000011</v>
      </c>
      <c r="E58" s="644">
        <f>E61+E59+E60</f>
        <v>5367.9600000000009</v>
      </c>
      <c r="F58" s="32">
        <f>E58/B58*100</f>
        <v>34.688553532113332</v>
      </c>
      <c r="G58" s="32">
        <f>E58/C58*100</f>
        <v>71.7862444334488</v>
      </c>
      <c r="H58" s="644">
        <f>H61+H59+H60</f>
        <v>1376.28</v>
      </c>
      <c r="I58" s="644">
        <f t="shared" ref="I58:AE58" si="21">I61+I59+I60</f>
        <v>1098.06</v>
      </c>
      <c r="J58" s="644">
        <f t="shared" si="21"/>
        <v>1105.46</v>
      </c>
      <c r="K58" s="644">
        <f t="shared" si="21"/>
        <v>1106.3200000000002</v>
      </c>
      <c r="L58" s="644">
        <f t="shared" si="21"/>
        <v>1224.58</v>
      </c>
      <c r="M58" s="644">
        <f t="shared" si="21"/>
        <v>965.78</v>
      </c>
      <c r="N58" s="644">
        <f t="shared" si="21"/>
        <v>1375.9</v>
      </c>
      <c r="O58" s="644">
        <f t="shared" si="21"/>
        <v>1076.55</v>
      </c>
      <c r="P58" s="644">
        <f t="shared" si="21"/>
        <v>1322.78</v>
      </c>
      <c r="Q58" s="644">
        <f t="shared" si="21"/>
        <v>1674.96</v>
      </c>
      <c r="R58" s="644">
        <f t="shared" si="21"/>
        <v>1127.23</v>
      </c>
      <c r="S58" s="644">
        <f t="shared" si="21"/>
        <v>933.87</v>
      </c>
      <c r="T58" s="644">
        <f t="shared" si="21"/>
        <v>1395.53</v>
      </c>
      <c r="U58" s="644">
        <f t="shared" si="21"/>
        <v>1200.4000000000001</v>
      </c>
      <c r="V58" s="644">
        <f t="shared" si="21"/>
        <v>1020.37</v>
      </c>
      <c r="W58" s="644">
        <f t="shared" si="21"/>
        <v>0</v>
      </c>
      <c r="X58" s="644">
        <f t="shared" si="21"/>
        <v>999.03</v>
      </c>
      <c r="Y58" s="644">
        <f t="shared" si="21"/>
        <v>0</v>
      </c>
      <c r="Z58" s="644">
        <f t="shared" si="21"/>
        <v>2054.79</v>
      </c>
      <c r="AA58" s="644">
        <f t="shared" si="21"/>
        <v>0</v>
      </c>
      <c r="AB58" s="644">
        <f t="shared" si="21"/>
        <v>1020.36</v>
      </c>
      <c r="AC58" s="644">
        <f t="shared" si="21"/>
        <v>0</v>
      </c>
      <c r="AD58" s="644">
        <f t="shared" si="21"/>
        <v>1452.42</v>
      </c>
      <c r="AE58" s="644">
        <f t="shared" si="21"/>
        <v>0</v>
      </c>
      <c r="AF58" s="29"/>
      <c r="AG58" s="706"/>
    </row>
    <row r="59" spans="1:33" ht="18.75" x14ac:dyDescent="0.3">
      <c r="A59" s="13" t="s">
        <v>102</v>
      </c>
      <c r="B59" s="644">
        <f t="shared" ref="B59:E61" si="22">B53</f>
        <v>2.8</v>
      </c>
      <c r="C59" s="644">
        <f t="shared" si="22"/>
        <v>2.8</v>
      </c>
      <c r="D59" s="644">
        <f t="shared" si="22"/>
        <v>2.79</v>
      </c>
      <c r="E59" s="644">
        <f t="shared" si="22"/>
        <v>2.79</v>
      </c>
      <c r="F59" s="32">
        <f>E59/B59*100</f>
        <v>99.642857142857153</v>
      </c>
      <c r="G59" s="32">
        <f>E59/C59*100</f>
        <v>99.642857142857153</v>
      </c>
      <c r="H59" s="644">
        <f>H53</f>
        <v>0</v>
      </c>
      <c r="I59" s="644">
        <f t="shared" ref="I59:AE59" si="23">I53</f>
        <v>0</v>
      </c>
      <c r="J59" s="644">
        <f t="shared" si="23"/>
        <v>0</v>
      </c>
      <c r="K59" s="644">
        <f t="shared" si="23"/>
        <v>0</v>
      </c>
      <c r="L59" s="644">
        <f t="shared" si="23"/>
        <v>0</v>
      </c>
      <c r="M59" s="644">
        <f t="shared" si="23"/>
        <v>0</v>
      </c>
      <c r="N59" s="644">
        <f t="shared" si="23"/>
        <v>0</v>
      </c>
      <c r="O59" s="644">
        <f t="shared" si="23"/>
        <v>0</v>
      </c>
      <c r="P59" s="644">
        <f t="shared" si="23"/>
        <v>2.8</v>
      </c>
      <c r="Q59" s="644">
        <f t="shared" si="23"/>
        <v>2.79</v>
      </c>
      <c r="R59" s="644">
        <f t="shared" si="23"/>
        <v>0</v>
      </c>
      <c r="S59" s="644">
        <f t="shared" si="23"/>
        <v>0</v>
      </c>
      <c r="T59" s="644">
        <f t="shared" si="23"/>
        <v>0</v>
      </c>
      <c r="U59" s="644">
        <f t="shared" si="23"/>
        <v>0</v>
      </c>
      <c r="V59" s="644">
        <f t="shared" si="23"/>
        <v>0</v>
      </c>
      <c r="W59" s="644">
        <f t="shared" si="23"/>
        <v>0</v>
      </c>
      <c r="X59" s="644">
        <f t="shared" si="23"/>
        <v>0</v>
      </c>
      <c r="Y59" s="644">
        <f t="shared" si="23"/>
        <v>0</v>
      </c>
      <c r="Z59" s="644">
        <f t="shared" si="23"/>
        <v>0</v>
      </c>
      <c r="AA59" s="644">
        <f t="shared" si="23"/>
        <v>0</v>
      </c>
      <c r="AB59" s="644">
        <f t="shared" si="23"/>
        <v>0</v>
      </c>
      <c r="AC59" s="644">
        <f t="shared" si="23"/>
        <v>0</v>
      </c>
      <c r="AD59" s="644">
        <f t="shared" si="23"/>
        <v>0</v>
      </c>
      <c r="AE59" s="644">
        <f t="shared" si="23"/>
        <v>0</v>
      </c>
      <c r="AF59" s="29"/>
      <c r="AG59" s="706"/>
    </row>
    <row r="60" spans="1:33" ht="18.75" x14ac:dyDescent="0.3">
      <c r="A60" s="13" t="s">
        <v>97</v>
      </c>
      <c r="B60" s="644">
        <f t="shared" si="22"/>
        <v>3329.4800000000005</v>
      </c>
      <c r="C60" s="644">
        <f t="shared" si="22"/>
        <v>984.5</v>
      </c>
      <c r="D60" s="644">
        <f t="shared" si="22"/>
        <v>2229.38</v>
      </c>
      <c r="E60" s="644">
        <f t="shared" si="22"/>
        <v>2229.38</v>
      </c>
      <c r="F60" s="32">
        <f>E60/B60*100</f>
        <v>66.958804377860801</v>
      </c>
      <c r="G60" s="32">
        <f>E60/C60*100</f>
        <v>226.44794311833419</v>
      </c>
      <c r="H60" s="644">
        <f>H54</f>
        <v>343.77</v>
      </c>
      <c r="I60" s="644">
        <f t="shared" ref="I60:AE60" si="24">I54</f>
        <v>248.71</v>
      </c>
      <c r="J60" s="644">
        <f t="shared" si="24"/>
        <v>216.67</v>
      </c>
      <c r="K60" s="644">
        <f t="shared" si="24"/>
        <v>251.63</v>
      </c>
      <c r="L60" s="644">
        <f t="shared" si="24"/>
        <v>385.99</v>
      </c>
      <c r="M60" s="644">
        <f t="shared" si="24"/>
        <v>318.68</v>
      </c>
      <c r="N60" s="644">
        <f t="shared" si="24"/>
        <v>352.06</v>
      </c>
      <c r="O60" s="644">
        <f t="shared" si="24"/>
        <v>308.86</v>
      </c>
      <c r="P60" s="644">
        <f t="shared" si="24"/>
        <v>306.22000000000003</v>
      </c>
      <c r="Q60" s="644">
        <f t="shared" si="24"/>
        <v>263.17</v>
      </c>
      <c r="R60" s="644">
        <f t="shared" si="24"/>
        <v>278.45999999999998</v>
      </c>
      <c r="S60" s="644">
        <f t="shared" si="24"/>
        <v>288.14</v>
      </c>
      <c r="T60" s="644">
        <f t="shared" si="24"/>
        <v>420.26</v>
      </c>
      <c r="U60" s="644">
        <f t="shared" si="24"/>
        <v>550.19000000000005</v>
      </c>
      <c r="V60" s="644">
        <f t="shared" si="24"/>
        <v>171.6</v>
      </c>
      <c r="W60" s="644">
        <f t="shared" si="24"/>
        <v>0</v>
      </c>
      <c r="X60" s="644">
        <f t="shared" si="24"/>
        <v>150.26</v>
      </c>
      <c r="Y60" s="644">
        <f t="shared" si="24"/>
        <v>0</v>
      </c>
      <c r="Z60" s="644">
        <f t="shared" si="24"/>
        <v>268.68</v>
      </c>
      <c r="AA60" s="644">
        <f t="shared" si="24"/>
        <v>0</v>
      </c>
      <c r="AB60" s="644">
        <f t="shared" si="24"/>
        <v>171.61</v>
      </c>
      <c r="AC60" s="644">
        <f t="shared" si="24"/>
        <v>0</v>
      </c>
      <c r="AD60" s="644">
        <f t="shared" si="24"/>
        <v>263.90000000000003</v>
      </c>
      <c r="AE60" s="644">
        <f t="shared" si="24"/>
        <v>0</v>
      </c>
      <c r="AF60" s="29"/>
      <c r="AG60" s="706"/>
    </row>
    <row r="61" spans="1:33" ht="18.75" x14ac:dyDescent="0.3">
      <c r="A61" s="17" t="s">
        <v>33</v>
      </c>
      <c r="B61" s="644">
        <f t="shared" si="22"/>
        <v>12142.45</v>
      </c>
      <c r="C61" s="644">
        <f t="shared" si="22"/>
        <v>6490.4000000000005</v>
      </c>
      <c r="D61" s="644">
        <f t="shared" si="22"/>
        <v>3131.1300000000006</v>
      </c>
      <c r="E61" s="644">
        <f t="shared" si="22"/>
        <v>3135.7900000000004</v>
      </c>
      <c r="F61" s="32">
        <f>E61/B61*100</f>
        <v>25.825018838866953</v>
      </c>
      <c r="G61" s="32">
        <f>E61/C61*100</f>
        <v>48.314279551337364</v>
      </c>
      <c r="H61" s="644">
        <f>H55</f>
        <v>1032.51</v>
      </c>
      <c r="I61" s="644">
        <f t="shared" ref="I61:AE61" si="25">I55</f>
        <v>849.35</v>
      </c>
      <c r="J61" s="644">
        <f t="shared" si="25"/>
        <v>888.79</v>
      </c>
      <c r="K61" s="644">
        <f t="shared" si="25"/>
        <v>854.69</v>
      </c>
      <c r="L61" s="644">
        <f t="shared" si="25"/>
        <v>838.59</v>
      </c>
      <c r="M61" s="644">
        <f t="shared" si="25"/>
        <v>647.1</v>
      </c>
      <c r="N61" s="644">
        <f t="shared" si="25"/>
        <v>1023.84</v>
      </c>
      <c r="O61" s="644">
        <f t="shared" si="25"/>
        <v>767.68999999999994</v>
      </c>
      <c r="P61" s="644">
        <f t="shared" si="25"/>
        <v>1013.76</v>
      </c>
      <c r="Q61" s="644">
        <f t="shared" si="25"/>
        <v>1409</v>
      </c>
      <c r="R61" s="644">
        <f t="shared" si="25"/>
        <v>848.77</v>
      </c>
      <c r="S61" s="644">
        <f t="shared" si="25"/>
        <v>645.73</v>
      </c>
      <c r="T61" s="644">
        <f t="shared" si="25"/>
        <v>975.27</v>
      </c>
      <c r="U61" s="644">
        <f t="shared" si="25"/>
        <v>650.20999999999992</v>
      </c>
      <c r="V61" s="644">
        <f t="shared" si="25"/>
        <v>848.77</v>
      </c>
      <c r="W61" s="644">
        <f t="shared" si="25"/>
        <v>0</v>
      </c>
      <c r="X61" s="644">
        <f t="shared" si="25"/>
        <v>848.77</v>
      </c>
      <c r="Y61" s="644">
        <f t="shared" si="25"/>
        <v>0</v>
      </c>
      <c r="Z61" s="644">
        <f t="shared" si="25"/>
        <v>1786.1100000000001</v>
      </c>
      <c r="AA61" s="644">
        <f t="shared" si="25"/>
        <v>0</v>
      </c>
      <c r="AB61" s="644">
        <f t="shared" si="25"/>
        <v>848.75</v>
      </c>
      <c r="AC61" s="644">
        <f t="shared" si="25"/>
        <v>0</v>
      </c>
      <c r="AD61" s="644">
        <f t="shared" si="25"/>
        <v>1188.52</v>
      </c>
      <c r="AE61" s="644">
        <f t="shared" si="25"/>
        <v>0</v>
      </c>
      <c r="AF61" s="29"/>
      <c r="AG61" s="706"/>
    </row>
    <row r="62" spans="1:33" ht="93.75" x14ac:dyDescent="0.3">
      <c r="A62" s="55" t="s">
        <v>111</v>
      </c>
      <c r="B62" s="615"/>
      <c r="C62" s="615"/>
      <c r="D62" s="615"/>
      <c r="E62" s="615"/>
      <c r="F62" s="615"/>
      <c r="G62" s="615"/>
      <c r="H62" s="615"/>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29"/>
      <c r="AG62" s="706"/>
    </row>
    <row r="63" spans="1:33" ht="18.75" x14ac:dyDescent="0.3">
      <c r="A63" s="52" t="s">
        <v>54</v>
      </c>
      <c r="B63" s="615"/>
      <c r="C63" s="615"/>
      <c r="D63" s="615"/>
      <c r="E63" s="615"/>
      <c r="F63" s="615"/>
      <c r="G63" s="615"/>
      <c r="H63" s="615"/>
      <c r="I63" s="615"/>
      <c r="J63" s="615"/>
      <c r="K63" s="615"/>
      <c r="L63" s="615"/>
      <c r="M63" s="615"/>
      <c r="N63" s="615"/>
      <c r="O63" s="615"/>
      <c r="P63" s="615"/>
      <c r="Q63" s="615"/>
      <c r="R63" s="615"/>
      <c r="S63" s="615"/>
      <c r="T63" s="615"/>
      <c r="U63" s="615"/>
      <c r="V63" s="615"/>
      <c r="W63" s="615"/>
      <c r="X63" s="615"/>
      <c r="Y63" s="615"/>
      <c r="Z63" s="615"/>
      <c r="AA63" s="615"/>
      <c r="AB63" s="615"/>
      <c r="AC63" s="615"/>
      <c r="AD63" s="615"/>
      <c r="AE63" s="615"/>
      <c r="AF63" s="29"/>
      <c r="AG63" s="706"/>
    </row>
    <row r="64" spans="1:33" ht="75" x14ac:dyDescent="0.3">
      <c r="A64" s="51" t="s">
        <v>112</v>
      </c>
      <c r="B64" s="644"/>
      <c r="C64" s="644"/>
      <c r="D64" s="644"/>
      <c r="E64" s="644"/>
      <c r="F64" s="644"/>
      <c r="G64" s="615"/>
      <c r="H64" s="615"/>
      <c r="I64" s="615"/>
      <c r="J64" s="615"/>
      <c r="K64" s="615"/>
      <c r="L64" s="615"/>
      <c r="M64" s="615"/>
      <c r="N64" s="615"/>
      <c r="O64" s="615"/>
      <c r="P64" s="615"/>
      <c r="Q64" s="615"/>
      <c r="R64" s="615"/>
      <c r="S64" s="615"/>
      <c r="T64" s="615"/>
      <c r="U64" s="615"/>
      <c r="V64" s="615"/>
      <c r="W64" s="615"/>
      <c r="X64" s="615"/>
      <c r="Y64" s="615"/>
      <c r="Z64" s="615"/>
      <c r="AA64" s="615"/>
      <c r="AB64" s="615"/>
      <c r="AC64" s="615"/>
      <c r="AD64" s="615"/>
      <c r="AE64" s="615"/>
      <c r="AF64" s="29"/>
      <c r="AG64" s="706"/>
    </row>
    <row r="65" spans="1:33" ht="18.75" x14ac:dyDescent="0.3">
      <c r="A65" s="13" t="s">
        <v>31</v>
      </c>
      <c r="B65" s="47">
        <f>B66</f>
        <v>150.38999999999999</v>
      </c>
      <c r="C65" s="47">
        <f>C66</f>
        <v>150.38999999999999</v>
      </c>
      <c r="D65" s="47">
        <f>D66</f>
        <v>150.38</v>
      </c>
      <c r="E65" s="47">
        <f>E66</f>
        <v>150.38</v>
      </c>
      <c r="F65" s="32">
        <f>E65/B65*100</f>
        <v>99.993350621716885</v>
      </c>
      <c r="G65" s="32">
        <f>E65/C65*100</f>
        <v>99.993350621716885</v>
      </c>
      <c r="H65" s="762">
        <f>H66</f>
        <v>0</v>
      </c>
      <c r="I65" s="762">
        <f t="shared" ref="I65:AE65" si="26">I66</f>
        <v>0</v>
      </c>
      <c r="J65" s="615">
        <f t="shared" si="26"/>
        <v>150.38999999999999</v>
      </c>
      <c r="K65" s="615">
        <f t="shared" si="26"/>
        <v>150.38</v>
      </c>
      <c r="L65" s="762">
        <f t="shared" si="26"/>
        <v>0</v>
      </c>
      <c r="M65" s="762">
        <f t="shared" si="26"/>
        <v>0</v>
      </c>
      <c r="N65" s="762">
        <f t="shared" si="26"/>
        <v>0</v>
      </c>
      <c r="O65" s="762">
        <f t="shared" si="26"/>
        <v>0</v>
      </c>
      <c r="P65" s="762">
        <f t="shared" si="26"/>
        <v>0</v>
      </c>
      <c r="Q65" s="762">
        <f t="shared" si="26"/>
        <v>0</v>
      </c>
      <c r="R65" s="762">
        <f t="shared" si="26"/>
        <v>0</v>
      </c>
      <c r="S65" s="762">
        <f t="shared" si="26"/>
        <v>0</v>
      </c>
      <c r="T65" s="762">
        <f t="shared" si="26"/>
        <v>0</v>
      </c>
      <c r="U65" s="762">
        <f t="shared" si="26"/>
        <v>0</v>
      </c>
      <c r="V65" s="762">
        <f t="shared" si="26"/>
        <v>0</v>
      </c>
      <c r="W65" s="762">
        <f t="shared" si="26"/>
        <v>0</v>
      </c>
      <c r="X65" s="762">
        <f t="shared" si="26"/>
        <v>0</v>
      </c>
      <c r="Y65" s="762">
        <f t="shared" si="26"/>
        <v>0</v>
      </c>
      <c r="Z65" s="762">
        <f t="shared" si="26"/>
        <v>0</v>
      </c>
      <c r="AA65" s="762">
        <f t="shared" si="26"/>
        <v>0</v>
      </c>
      <c r="AB65" s="762">
        <f t="shared" si="26"/>
        <v>0</v>
      </c>
      <c r="AC65" s="762">
        <f t="shared" si="26"/>
        <v>0</v>
      </c>
      <c r="AD65" s="762">
        <f t="shared" si="26"/>
        <v>0</v>
      </c>
      <c r="AE65" s="762">
        <f t="shared" si="26"/>
        <v>0</v>
      </c>
      <c r="AF65" s="29"/>
      <c r="AG65" s="706"/>
    </row>
    <row r="66" spans="1:33" ht="18.75" x14ac:dyDescent="0.3">
      <c r="A66" s="13" t="s">
        <v>33</v>
      </c>
      <c r="B66" s="47">
        <f>B68</f>
        <v>150.38999999999999</v>
      </c>
      <c r="C66" s="47">
        <f>C68</f>
        <v>150.38999999999999</v>
      </c>
      <c r="D66" s="47">
        <f>D68</f>
        <v>150.38</v>
      </c>
      <c r="E66" s="47">
        <f>D66</f>
        <v>150.38</v>
      </c>
      <c r="F66" s="32">
        <f>E66/B66*100</f>
        <v>99.993350621716885</v>
      </c>
      <c r="G66" s="32">
        <f>E66/C66*100</f>
        <v>99.993350621716885</v>
      </c>
      <c r="H66" s="762">
        <f>H68</f>
        <v>0</v>
      </c>
      <c r="I66" s="762">
        <f t="shared" ref="I66:AE66" si="27">I68</f>
        <v>0</v>
      </c>
      <c r="J66" s="615">
        <f t="shared" si="27"/>
        <v>150.38999999999999</v>
      </c>
      <c r="K66" s="615">
        <f t="shared" si="27"/>
        <v>150.38</v>
      </c>
      <c r="L66" s="762">
        <f t="shared" si="27"/>
        <v>0</v>
      </c>
      <c r="M66" s="762">
        <f t="shared" si="27"/>
        <v>0</v>
      </c>
      <c r="N66" s="762">
        <f t="shared" si="27"/>
        <v>0</v>
      </c>
      <c r="O66" s="762">
        <f t="shared" si="27"/>
        <v>0</v>
      </c>
      <c r="P66" s="762">
        <f t="shared" si="27"/>
        <v>0</v>
      </c>
      <c r="Q66" s="762">
        <f t="shared" si="27"/>
        <v>0</v>
      </c>
      <c r="R66" s="762">
        <f t="shared" si="27"/>
        <v>0</v>
      </c>
      <c r="S66" s="762">
        <f t="shared" si="27"/>
        <v>0</v>
      </c>
      <c r="T66" s="762">
        <f t="shared" si="27"/>
        <v>0</v>
      </c>
      <c r="U66" s="762">
        <f t="shared" si="27"/>
        <v>0</v>
      </c>
      <c r="V66" s="762">
        <f t="shared" si="27"/>
        <v>0</v>
      </c>
      <c r="W66" s="762">
        <f t="shared" si="27"/>
        <v>0</v>
      </c>
      <c r="X66" s="762">
        <f t="shared" si="27"/>
        <v>0</v>
      </c>
      <c r="Y66" s="762">
        <f t="shared" si="27"/>
        <v>0</v>
      </c>
      <c r="Z66" s="762">
        <f t="shared" si="27"/>
        <v>0</v>
      </c>
      <c r="AA66" s="762">
        <f t="shared" si="27"/>
        <v>0</v>
      </c>
      <c r="AB66" s="762">
        <f t="shared" si="27"/>
        <v>0</v>
      </c>
      <c r="AC66" s="762">
        <f t="shared" si="27"/>
        <v>0</v>
      </c>
      <c r="AD66" s="762">
        <f t="shared" si="27"/>
        <v>0</v>
      </c>
      <c r="AE66" s="762">
        <f t="shared" si="27"/>
        <v>0</v>
      </c>
      <c r="AF66" s="29"/>
      <c r="AG66" s="706"/>
    </row>
    <row r="67" spans="1:33" ht="318.75" x14ac:dyDescent="0.3">
      <c r="A67" s="72" t="s">
        <v>113</v>
      </c>
      <c r="B67" s="615"/>
      <c r="C67" s="615"/>
      <c r="D67" s="615"/>
      <c r="E67" s="615"/>
      <c r="F67" s="615"/>
      <c r="G67" s="615"/>
      <c r="H67" s="615"/>
      <c r="I67" s="615"/>
      <c r="J67" s="615"/>
      <c r="K67" s="615"/>
      <c r="L67" s="615"/>
      <c r="M67" s="615"/>
      <c r="N67" s="615"/>
      <c r="O67" s="615"/>
      <c r="P67" s="615"/>
      <c r="Q67" s="615"/>
      <c r="R67" s="615"/>
      <c r="S67" s="615"/>
      <c r="T67" s="615"/>
      <c r="U67" s="615"/>
      <c r="V67" s="615"/>
      <c r="W67" s="615"/>
      <c r="X67" s="615"/>
      <c r="Y67" s="615"/>
      <c r="Z67" s="615"/>
      <c r="AA67" s="615"/>
      <c r="AB67" s="615"/>
      <c r="AC67" s="615"/>
      <c r="AD67" s="615"/>
      <c r="AE67" s="615"/>
      <c r="AF67" s="29"/>
      <c r="AG67" s="706"/>
    </row>
    <row r="68" spans="1:33" ht="18.75" x14ac:dyDescent="0.3">
      <c r="A68" s="13" t="s">
        <v>31</v>
      </c>
      <c r="B68" s="47">
        <f>B69</f>
        <v>150.38999999999999</v>
      </c>
      <c r="C68" s="32">
        <f>C69</f>
        <v>150.38999999999999</v>
      </c>
      <c r="D68" s="32">
        <f>D69</f>
        <v>150.38</v>
      </c>
      <c r="E68" s="47">
        <f>E69</f>
        <v>150.38</v>
      </c>
      <c r="F68" s="32">
        <f>E68/B68*100</f>
        <v>99.993350621716885</v>
      </c>
      <c r="G68" s="32">
        <f>E68/C68*100</f>
        <v>99.993350621716885</v>
      </c>
      <c r="H68" s="762">
        <f>H69</f>
        <v>0</v>
      </c>
      <c r="I68" s="762">
        <f t="shared" ref="I68:AE68" si="28">I69</f>
        <v>0</v>
      </c>
      <c r="J68" s="762">
        <f t="shared" si="28"/>
        <v>150.38999999999999</v>
      </c>
      <c r="K68" s="615">
        <f t="shared" si="28"/>
        <v>150.38</v>
      </c>
      <c r="L68" s="762">
        <f t="shared" si="28"/>
        <v>0</v>
      </c>
      <c r="M68" s="762">
        <f t="shared" si="28"/>
        <v>0</v>
      </c>
      <c r="N68" s="762">
        <f t="shared" si="28"/>
        <v>0</v>
      </c>
      <c r="O68" s="762">
        <f t="shared" si="28"/>
        <v>0</v>
      </c>
      <c r="P68" s="762">
        <f t="shared" si="28"/>
        <v>0</v>
      </c>
      <c r="Q68" s="762">
        <f t="shared" si="28"/>
        <v>0</v>
      </c>
      <c r="R68" s="762">
        <f t="shared" si="28"/>
        <v>0</v>
      </c>
      <c r="S68" s="762">
        <f t="shared" si="28"/>
        <v>0</v>
      </c>
      <c r="T68" s="762">
        <f t="shared" si="28"/>
        <v>0</v>
      </c>
      <c r="U68" s="762">
        <f t="shared" si="28"/>
        <v>0</v>
      </c>
      <c r="V68" s="762">
        <f t="shared" si="28"/>
        <v>0</v>
      </c>
      <c r="W68" s="762">
        <f t="shared" si="28"/>
        <v>0</v>
      </c>
      <c r="X68" s="762">
        <f t="shared" si="28"/>
        <v>0</v>
      </c>
      <c r="Y68" s="762">
        <f t="shared" si="28"/>
        <v>0</v>
      </c>
      <c r="Z68" s="762">
        <f t="shared" si="28"/>
        <v>0</v>
      </c>
      <c r="AA68" s="762">
        <f t="shared" si="28"/>
        <v>0</v>
      </c>
      <c r="AB68" s="762">
        <f t="shared" si="28"/>
        <v>0</v>
      </c>
      <c r="AC68" s="762">
        <f t="shared" si="28"/>
        <v>0</v>
      </c>
      <c r="AD68" s="762">
        <f t="shared" si="28"/>
        <v>0</v>
      </c>
      <c r="AE68" s="762">
        <f t="shared" si="28"/>
        <v>0</v>
      </c>
      <c r="AF68" s="29"/>
      <c r="AG68" s="706"/>
    </row>
    <row r="69" spans="1:33" ht="18.75" x14ac:dyDescent="0.3">
      <c r="A69" s="13" t="s">
        <v>33</v>
      </c>
      <c r="B69" s="47">
        <f>H69+J69+L69+N69+P69+R69+T69+V69+X69+Z69+AB69+AD69</f>
        <v>150.38999999999999</v>
      </c>
      <c r="C69" s="32">
        <f>J69+H69+L69+N69+P69+R69</f>
        <v>150.38999999999999</v>
      </c>
      <c r="D69" s="32">
        <f>K69</f>
        <v>150.38</v>
      </c>
      <c r="E69" s="32">
        <f>I69+K69+M69+O69+Q69+S69+U69+W69+Y69+AA69+AC69+AE69</f>
        <v>150.38</v>
      </c>
      <c r="F69" s="32">
        <f>E69/B69*100</f>
        <v>99.993350621716885</v>
      </c>
      <c r="G69" s="32">
        <f>E69/C69*100</f>
        <v>99.993350621716885</v>
      </c>
      <c r="H69" s="762">
        <v>0</v>
      </c>
      <c r="I69" s="762">
        <v>0</v>
      </c>
      <c r="J69" s="762">
        <v>150.38999999999999</v>
      </c>
      <c r="K69" s="615">
        <v>150.38</v>
      </c>
      <c r="L69" s="762">
        <v>0</v>
      </c>
      <c r="M69" s="762">
        <v>0</v>
      </c>
      <c r="N69" s="762">
        <v>0</v>
      </c>
      <c r="O69" s="762">
        <v>0</v>
      </c>
      <c r="P69" s="762">
        <v>0</v>
      </c>
      <c r="Q69" s="762">
        <v>0</v>
      </c>
      <c r="R69" s="762">
        <v>0</v>
      </c>
      <c r="S69" s="762">
        <v>0</v>
      </c>
      <c r="T69" s="762">
        <v>0</v>
      </c>
      <c r="U69" s="762">
        <v>0</v>
      </c>
      <c r="V69" s="762">
        <v>0</v>
      </c>
      <c r="W69" s="762">
        <v>0</v>
      </c>
      <c r="X69" s="762">
        <v>0</v>
      </c>
      <c r="Y69" s="762">
        <v>0</v>
      </c>
      <c r="Z69" s="762">
        <v>0</v>
      </c>
      <c r="AA69" s="762">
        <v>0</v>
      </c>
      <c r="AB69" s="762">
        <v>0</v>
      </c>
      <c r="AC69" s="762">
        <v>0</v>
      </c>
      <c r="AD69" s="762">
        <v>0</v>
      </c>
      <c r="AE69" s="762">
        <v>0</v>
      </c>
      <c r="AF69" s="29"/>
      <c r="AG69" s="706"/>
    </row>
    <row r="70" spans="1:33" ht="56.25" x14ac:dyDescent="0.3">
      <c r="A70" s="48" t="s">
        <v>114</v>
      </c>
      <c r="B70" s="47"/>
      <c r="C70" s="32"/>
      <c r="D70" s="32"/>
      <c r="E70" s="32"/>
      <c r="F70" s="32"/>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706"/>
    </row>
    <row r="71" spans="1:33" ht="18.75" x14ac:dyDescent="0.3">
      <c r="A71" s="13" t="s">
        <v>31</v>
      </c>
      <c r="B71" s="47">
        <f>B72</f>
        <v>84.800000000000011</v>
      </c>
      <c r="C71" s="701">
        <f>C72</f>
        <v>20.399999999999999</v>
      </c>
      <c r="D71" s="701">
        <f>D72</f>
        <v>9.07</v>
      </c>
      <c r="E71" s="701">
        <f>E72</f>
        <v>9.07</v>
      </c>
      <c r="F71" s="701">
        <f>D71/B71*100</f>
        <v>10.69575471698113</v>
      </c>
      <c r="G71" s="47">
        <f>E71/C71*100</f>
        <v>44.46078431372549</v>
      </c>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706"/>
    </row>
    <row r="72" spans="1:33" ht="18.75" x14ac:dyDescent="0.3">
      <c r="A72" s="13" t="s">
        <v>33</v>
      </c>
      <c r="B72" s="47">
        <f>B75</f>
        <v>84.800000000000011</v>
      </c>
      <c r="C72" s="701">
        <f>C75</f>
        <v>20.399999999999999</v>
      </c>
      <c r="D72" s="701">
        <f>D75</f>
        <v>9.07</v>
      </c>
      <c r="E72" s="701">
        <f>E75</f>
        <v>9.07</v>
      </c>
      <c r="F72" s="701">
        <f>D72/B72*100</f>
        <v>10.69575471698113</v>
      </c>
      <c r="G72" s="47">
        <f>E72/C72*100</f>
        <v>44.46078431372549</v>
      </c>
      <c r="H72" s="47">
        <v>0</v>
      </c>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706"/>
    </row>
    <row r="73" spans="1:33" ht="150" x14ac:dyDescent="0.3">
      <c r="A73" s="13" t="s">
        <v>115</v>
      </c>
      <c r="B73" s="47"/>
      <c r="C73" s="32"/>
      <c r="D73" s="32"/>
      <c r="E73" s="32"/>
      <c r="F73" s="32"/>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972" t="s">
        <v>601</v>
      </c>
      <c r="AG73" s="706"/>
    </row>
    <row r="74" spans="1:33" ht="18.75" x14ac:dyDescent="0.3">
      <c r="A74" s="13" t="s">
        <v>31</v>
      </c>
      <c r="B74" s="32">
        <f>B75</f>
        <v>84.800000000000011</v>
      </c>
      <c r="C74" s="702">
        <f>C75</f>
        <v>20.399999999999999</v>
      </c>
      <c r="D74" s="702">
        <f>D75</f>
        <v>9.07</v>
      </c>
      <c r="E74" s="702">
        <f>E75</f>
        <v>9.07</v>
      </c>
      <c r="F74" s="702">
        <f>E74/B74*100</f>
        <v>10.69575471698113</v>
      </c>
      <c r="G74" s="47">
        <f>E74/C74*100</f>
        <v>44.46078431372549</v>
      </c>
      <c r="H74" s="701">
        <f>H75</f>
        <v>0</v>
      </c>
      <c r="I74" s="701">
        <f t="shared" ref="I74:AE75" si="29">I75</f>
        <v>0</v>
      </c>
      <c r="J74" s="701">
        <f t="shared" si="29"/>
        <v>0</v>
      </c>
      <c r="K74" s="701">
        <f t="shared" si="29"/>
        <v>0</v>
      </c>
      <c r="L74" s="701">
        <f t="shared" si="29"/>
        <v>0</v>
      </c>
      <c r="M74" s="701">
        <f t="shared" si="29"/>
        <v>0</v>
      </c>
      <c r="N74" s="701">
        <f t="shared" si="29"/>
        <v>0</v>
      </c>
      <c r="O74" s="701">
        <f t="shared" si="29"/>
        <v>0</v>
      </c>
      <c r="P74" s="47">
        <f t="shared" si="29"/>
        <v>10.199999999999999</v>
      </c>
      <c r="Q74" s="47">
        <f t="shared" si="29"/>
        <v>0</v>
      </c>
      <c r="R74" s="47">
        <f t="shared" si="29"/>
        <v>10.199999999999999</v>
      </c>
      <c r="S74" s="47">
        <f t="shared" si="29"/>
        <v>0</v>
      </c>
      <c r="T74" s="47">
        <f t="shared" si="29"/>
        <v>10.199999999999999</v>
      </c>
      <c r="U74" s="47">
        <f t="shared" si="29"/>
        <v>9.07</v>
      </c>
      <c r="V74" s="47">
        <f t="shared" si="29"/>
        <v>13.4</v>
      </c>
      <c r="W74" s="47">
        <f t="shared" si="29"/>
        <v>0</v>
      </c>
      <c r="X74" s="47">
        <f t="shared" si="29"/>
        <v>10.199999999999999</v>
      </c>
      <c r="Y74" s="47">
        <f t="shared" si="29"/>
        <v>0</v>
      </c>
      <c r="Z74" s="47">
        <f t="shared" si="29"/>
        <v>10.199999999999999</v>
      </c>
      <c r="AA74" s="47">
        <f t="shared" si="29"/>
        <v>0</v>
      </c>
      <c r="AB74" s="47">
        <f t="shared" si="29"/>
        <v>10.199999999999999</v>
      </c>
      <c r="AC74" s="47">
        <f t="shared" si="29"/>
        <v>0</v>
      </c>
      <c r="AD74" s="47">
        <f t="shared" si="29"/>
        <v>10.199999999999999</v>
      </c>
      <c r="AE74" s="47">
        <f t="shared" si="29"/>
        <v>0</v>
      </c>
      <c r="AF74" s="47"/>
      <c r="AG74" s="706"/>
    </row>
    <row r="75" spans="1:33" ht="18.75" x14ac:dyDescent="0.3">
      <c r="A75" s="13" t="s">
        <v>33</v>
      </c>
      <c r="B75" s="32">
        <f>H75+J75+L75+N75+P75+R75+T75+V75+X75+Z75+AB75+AD75</f>
        <v>84.800000000000011</v>
      </c>
      <c r="C75" s="702">
        <f>H75+J75+L75+N75+P75+R75</f>
        <v>20.399999999999999</v>
      </c>
      <c r="D75" s="702">
        <f>I75+K75+M75+O75+Q75+S75+U75+W75+Y75++AA75+AC75+AE75</f>
        <v>9.07</v>
      </c>
      <c r="E75" s="32">
        <f>I75+K75+M75+O75+Q75+S75+U75+W75+Y75+AA75+AC75+AE75</f>
        <v>9.07</v>
      </c>
      <c r="F75" s="701">
        <f>D75/B75*100</f>
        <v>10.69575471698113</v>
      </c>
      <c r="G75" s="47">
        <f>E75/C75*100</f>
        <v>44.46078431372549</v>
      </c>
      <c r="H75" s="701">
        <f>H76</f>
        <v>0</v>
      </c>
      <c r="I75" s="701">
        <f t="shared" si="29"/>
        <v>0</v>
      </c>
      <c r="J75" s="701">
        <f t="shared" si="29"/>
        <v>0</v>
      </c>
      <c r="K75" s="701">
        <f t="shared" si="29"/>
        <v>0</v>
      </c>
      <c r="L75" s="701">
        <f t="shared" si="29"/>
        <v>0</v>
      </c>
      <c r="M75" s="701">
        <f t="shared" si="29"/>
        <v>0</v>
      </c>
      <c r="N75" s="701">
        <f t="shared" si="29"/>
        <v>0</v>
      </c>
      <c r="O75" s="701">
        <f t="shared" si="29"/>
        <v>0</v>
      </c>
      <c r="P75" s="47">
        <v>10.199999999999999</v>
      </c>
      <c r="Q75" s="47"/>
      <c r="R75" s="47">
        <v>10.199999999999999</v>
      </c>
      <c r="S75" s="47"/>
      <c r="T75" s="47">
        <v>10.199999999999999</v>
      </c>
      <c r="U75" s="47">
        <v>9.07</v>
      </c>
      <c r="V75" s="47">
        <v>13.4</v>
      </c>
      <c r="W75" s="47"/>
      <c r="X75" s="47">
        <v>10.199999999999999</v>
      </c>
      <c r="Y75" s="47"/>
      <c r="Z75" s="47">
        <v>10.199999999999999</v>
      </c>
      <c r="AA75" s="47"/>
      <c r="AB75" s="47">
        <v>10.199999999999999</v>
      </c>
      <c r="AC75" s="47"/>
      <c r="AD75" s="47">
        <v>10.199999999999999</v>
      </c>
      <c r="AE75" s="47"/>
      <c r="AF75" s="47"/>
      <c r="AG75" s="706"/>
    </row>
    <row r="76" spans="1:33" ht="56.25" x14ac:dyDescent="0.3">
      <c r="A76" s="48" t="s">
        <v>116</v>
      </c>
      <c r="B76" s="47"/>
      <c r="C76" s="32"/>
      <c r="D76" s="32"/>
      <c r="E76" s="32"/>
      <c r="F76" s="32"/>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706"/>
    </row>
    <row r="77" spans="1:33" ht="18.75" x14ac:dyDescent="0.3">
      <c r="A77" s="13" t="s">
        <v>31</v>
      </c>
      <c r="B77" s="32">
        <f>B78</f>
        <v>629.20000000000005</v>
      </c>
      <c r="C77" s="32">
        <f>C78</f>
        <v>128.19</v>
      </c>
      <c r="D77" s="32">
        <f>D78</f>
        <v>124.83</v>
      </c>
      <c r="E77" s="32">
        <f>E78</f>
        <v>0</v>
      </c>
      <c r="F77" s="32">
        <f>E77/B77*100</f>
        <v>0</v>
      </c>
      <c r="G77" s="47">
        <f>E77/C77*100</f>
        <v>0</v>
      </c>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706"/>
    </row>
    <row r="78" spans="1:33" ht="18.75" x14ac:dyDescent="0.3">
      <c r="A78" s="13" t="s">
        <v>33</v>
      </c>
      <c r="B78" s="32">
        <f>B81+B84+B87+B90+B93+B96</f>
        <v>629.20000000000005</v>
      </c>
      <c r="C78" s="32">
        <f>C81+C84+C87+C90+C93+C96</f>
        <v>128.19</v>
      </c>
      <c r="D78" s="32">
        <f>D81+D84+D87+D90+D93+D96</f>
        <v>124.83</v>
      </c>
      <c r="E78" s="32">
        <f>I78+K78+M78+O78+Q78+S78+U78+W78+Y78+AA78+AC78+AE78</f>
        <v>0</v>
      </c>
      <c r="F78" s="47">
        <f>D78/B78*100</f>
        <v>19.839478703115066</v>
      </c>
      <c r="G78" s="47">
        <f>E78/C78*100</f>
        <v>0</v>
      </c>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706"/>
    </row>
    <row r="79" spans="1:33" s="10" customFormat="1" ht="56.25" x14ac:dyDescent="0.3">
      <c r="A79" s="14" t="s">
        <v>117</v>
      </c>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706"/>
    </row>
    <row r="80" spans="1:33" s="10" customFormat="1" ht="18.75" x14ac:dyDescent="0.3">
      <c r="A80" s="13" t="s">
        <v>31</v>
      </c>
      <c r="B80" s="47">
        <f>B81</f>
        <v>109</v>
      </c>
      <c r="C80" s="47">
        <f>J80+L80+N80+P80+R80+T80+V80+X80+Z80+AB80+AD80</f>
        <v>109</v>
      </c>
      <c r="D80" s="701">
        <f>D81</f>
        <v>109</v>
      </c>
      <c r="E80" s="47">
        <f>E81</f>
        <v>109</v>
      </c>
      <c r="F80" s="47">
        <f>E80/B80*100</f>
        <v>100</v>
      </c>
      <c r="G80" s="47">
        <f>E80/C80*100</f>
        <v>100</v>
      </c>
      <c r="H80" s="47">
        <f t="shared" ref="H80:O80" si="30">H81</f>
        <v>0</v>
      </c>
      <c r="I80" s="47">
        <f t="shared" si="30"/>
        <v>0</v>
      </c>
      <c r="J80" s="47">
        <f t="shared" si="30"/>
        <v>1</v>
      </c>
      <c r="K80" s="47">
        <f t="shared" si="30"/>
        <v>1</v>
      </c>
      <c r="L80" s="47">
        <f t="shared" si="30"/>
        <v>0</v>
      </c>
      <c r="M80" s="47">
        <f t="shared" si="30"/>
        <v>0</v>
      </c>
      <c r="N80" s="47">
        <f t="shared" si="30"/>
        <v>0</v>
      </c>
      <c r="O80" s="47">
        <f t="shared" si="30"/>
        <v>0</v>
      </c>
      <c r="P80" s="47">
        <f t="shared" ref="P80:AE80" si="31">P81</f>
        <v>108</v>
      </c>
      <c r="Q80" s="47">
        <f t="shared" si="31"/>
        <v>108</v>
      </c>
      <c r="R80" s="47">
        <f t="shared" si="31"/>
        <v>0</v>
      </c>
      <c r="S80" s="47">
        <f t="shared" si="31"/>
        <v>0</v>
      </c>
      <c r="T80" s="47">
        <f t="shared" si="31"/>
        <v>0</v>
      </c>
      <c r="U80" s="47">
        <f t="shared" si="31"/>
        <v>0</v>
      </c>
      <c r="V80" s="47">
        <f t="shared" si="31"/>
        <v>0</v>
      </c>
      <c r="W80" s="47">
        <f t="shared" si="31"/>
        <v>0</v>
      </c>
      <c r="X80" s="47">
        <f t="shared" si="31"/>
        <v>0</v>
      </c>
      <c r="Y80" s="47">
        <f t="shared" si="31"/>
        <v>0</v>
      </c>
      <c r="Z80" s="47">
        <f t="shared" si="31"/>
        <v>0</v>
      </c>
      <c r="AA80" s="47">
        <f t="shared" si="31"/>
        <v>0</v>
      </c>
      <c r="AB80" s="47">
        <f t="shared" si="31"/>
        <v>0</v>
      </c>
      <c r="AC80" s="47">
        <f t="shared" si="31"/>
        <v>0</v>
      </c>
      <c r="AD80" s="47">
        <f t="shared" si="31"/>
        <v>0</v>
      </c>
      <c r="AE80" s="47">
        <f t="shared" si="31"/>
        <v>0</v>
      </c>
      <c r="AF80" s="759"/>
      <c r="AG80" s="706"/>
    </row>
    <row r="81" spans="1:33" s="10" customFormat="1" ht="18.75" x14ac:dyDescent="0.3">
      <c r="A81" s="13" t="s">
        <v>33</v>
      </c>
      <c r="B81" s="47">
        <f>J81+P81</f>
        <v>109</v>
      </c>
      <c r="C81" s="47">
        <f>H81+J81+L81+N81+P81+R81</f>
        <v>109</v>
      </c>
      <c r="D81" s="701">
        <f>K81+M81+O81+Q81+S81+U81+W81+Y81+AA81+AC81+AE81</f>
        <v>109</v>
      </c>
      <c r="E81" s="32">
        <f>I81+K81+M81+O81+Q81+S81+U81+W81+Y81+AA81+AC81+AE81</f>
        <v>109</v>
      </c>
      <c r="F81" s="47">
        <f>E81/B81*100</f>
        <v>100</v>
      </c>
      <c r="G81" s="47">
        <f>E81/C81*100</f>
        <v>100</v>
      </c>
      <c r="H81" s="701">
        <f>H82</f>
        <v>0</v>
      </c>
      <c r="I81" s="701">
        <f t="shared" ref="I81:AE81" si="32">I82</f>
        <v>0</v>
      </c>
      <c r="J81" s="47">
        <v>1</v>
      </c>
      <c r="K81" s="47">
        <v>1</v>
      </c>
      <c r="L81" s="701">
        <v>0</v>
      </c>
      <c r="M81" s="701">
        <f t="shared" si="32"/>
        <v>0</v>
      </c>
      <c r="N81" s="701">
        <f t="shared" si="32"/>
        <v>0</v>
      </c>
      <c r="O81" s="701">
        <f t="shared" si="32"/>
        <v>0</v>
      </c>
      <c r="P81" s="47">
        <v>108</v>
      </c>
      <c r="Q81" s="47">
        <v>108</v>
      </c>
      <c r="R81" s="701">
        <f t="shared" si="32"/>
        <v>0</v>
      </c>
      <c r="S81" s="701">
        <f t="shared" si="32"/>
        <v>0</v>
      </c>
      <c r="T81" s="701">
        <f t="shared" si="32"/>
        <v>0</v>
      </c>
      <c r="U81" s="701">
        <f t="shared" si="32"/>
        <v>0</v>
      </c>
      <c r="V81" s="701">
        <f t="shared" si="32"/>
        <v>0</v>
      </c>
      <c r="W81" s="701">
        <f t="shared" si="32"/>
        <v>0</v>
      </c>
      <c r="X81" s="701">
        <f t="shared" si="32"/>
        <v>0</v>
      </c>
      <c r="Y81" s="701">
        <f t="shared" si="32"/>
        <v>0</v>
      </c>
      <c r="Z81" s="701">
        <f t="shared" si="32"/>
        <v>0</v>
      </c>
      <c r="AA81" s="701">
        <f t="shared" si="32"/>
        <v>0</v>
      </c>
      <c r="AB81" s="701">
        <f t="shared" si="32"/>
        <v>0</v>
      </c>
      <c r="AC81" s="701">
        <f t="shared" si="32"/>
        <v>0</v>
      </c>
      <c r="AD81" s="701">
        <f t="shared" si="32"/>
        <v>0</v>
      </c>
      <c r="AE81" s="701">
        <f t="shared" si="32"/>
        <v>0</v>
      </c>
      <c r="AF81" s="47"/>
      <c r="AG81" s="706"/>
    </row>
    <row r="82" spans="1:33" s="10" customFormat="1" ht="56.25" x14ac:dyDescent="0.3">
      <c r="A82" s="14" t="s">
        <v>118</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706">
        <f>C81-E81</f>
        <v>0</v>
      </c>
    </row>
    <row r="83" spans="1:33" s="10" customFormat="1" ht="18.75" x14ac:dyDescent="0.3">
      <c r="A83" s="13" t="s">
        <v>31</v>
      </c>
      <c r="B83" s="47">
        <f>B84</f>
        <v>81.099999999999994</v>
      </c>
      <c r="C83" s="701">
        <f>C84</f>
        <v>0</v>
      </c>
      <c r="D83" s="701">
        <f>D84</f>
        <v>0</v>
      </c>
      <c r="E83" s="701">
        <f>E84</f>
        <v>0</v>
      </c>
      <c r="F83" s="701">
        <f>E83/B83*100</f>
        <v>0</v>
      </c>
      <c r="G83" s="47" t="e">
        <f>E83/C83*100</f>
        <v>#DIV/0!</v>
      </c>
      <c r="H83" s="701">
        <f>H84</f>
        <v>0</v>
      </c>
      <c r="I83" s="701">
        <f t="shared" ref="I83:AE84" si="33">I84</f>
        <v>0</v>
      </c>
      <c r="J83" s="701">
        <f t="shared" si="33"/>
        <v>0</v>
      </c>
      <c r="K83" s="701">
        <f t="shared" si="33"/>
        <v>0</v>
      </c>
      <c r="L83" s="701">
        <f t="shared" si="33"/>
        <v>0</v>
      </c>
      <c r="M83" s="701">
        <f t="shared" si="33"/>
        <v>0</v>
      </c>
      <c r="N83" s="701">
        <f t="shared" si="33"/>
        <v>0</v>
      </c>
      <c r="O83" s="701">
        <f t="shared" si="33"/>
        <v>0</v>
      </c>
      <c r="P83" s="701">
        <f t="shared" si="33"/>
        <v>0</v>
      </c>
      <c r="Q83" s="701">
        <f t="shared" si="33"/>
        <v>0</v>
      </c>
      <c r="R83" s="701">
        <f t="shared" si="33"/>
        <v>0</v>
      </c>
      <c r="S83" s="701">
        <f t="shared" si="33"/>
        <v>0</v>
      </c>
      <c r="T83" s="701">
        <f t="shared" si="33"/>
        <v>0</v>
      </c>
      <c r="U83" s="701">
        <f t="shared" si="33"/>
        <v>0</v>
      </c>
      <c r="V83" s="701">
        <f t="shared" si="33"/>
        <v>0</v>
      </c>
      <c r="W83" s="701">
        <f t="shared" si="33"/>
        <v>0</v>
      </c>
      <c r="X83" s="701">
        <f t="shared" si="33"/>
        <v>0</v>
      </c>
      <c r="Y83" s="701">
        <f t="shared" si="33"/>
        <v>0</v>
      </c>
      <c r="Z83" s="47">
        <f t="shared" si="33"/>
        <v>81.099999999999994</v>
      </c>
      <c r="AA83" s="47">
        <f t="shared" si="33"/>
        <v>0</v>
      </c>
      <c r="AB83" s="701">
        <f t="shared" si="33"/>
        <v>0</v>
      </c>
      <c r="AC83" s="701">
        <f t="shared" si="33"/>
        <v>0</v>
      </c>
      <c r="AD83" s="701">
        <f t="shared" si="33"/>
        <v>0</v>
      </c>
      <c r="AE83" s="701">
        <f t="shared" si="33"/>
        <v>0</v>
      </c>
      <c r="AF83" s="47"/>
      <c r="AG83" s="706"/>
    </row>
    <row r="84" spans="1:33" s="10" customFormat="1" ht="18.75" x14ac:dyDescent="0.3">
      <c r="A84" s="13" t="s">
        <v>33</v>
      </c>
      <c r="B84" s="47">
        <f>H84+J84+L84+N84+P84+R84+T84+V84+X84+Z84+AB84+AD84</f>
        <v>81.099999999999994</v>
      </c>
      <c r="C84" s="701">
        <f>H84+J84+L84+N84+P84+R84</f>
        <v>0</v>
      </c>
      <c r="D84" s="701">
        <f>I84+K84+M84+O84+Q84+S84+U84+W84+Y84+AA84+AC84+AE84</f>
        <v>0</v>
      </c>
      <c r="E84" s="32">
        <f>I84+K84+M84+O84+Q84+S84+U84+W84+Y84+AA84+AC84+AE84</f>
        <v>0</v>
      </c>
      <c r="F84" s="701">
        <f>D84/B84*100</f>
        <v>0</v>
      </c>
      <c r="G84" s="47" t="e">
        <f>E84/C84*100</f>
        <v>#DIV/0!</v>
      </c>
      <c r="H84" s="701">
        <f>H85</f>
        <v>0</v>
      </c>
      <c r="I84" s="701">
        <f t="shared" si="33"/>
        <v>0</v>
      </c>
      <c r="J84" s="701">
        <f t="shared" si="33"/>
        <v>0</v>
      </c>
      <c r="K84" s="701">
        <f t="shared" si="33"/>
        <v>0</v>
      </c>
      <c r="L84" s="701">
        <f t="shared" si="33"/>
        <v>0</v>
      </c>
      <c r="M84" s="701">
        <f t="shared" si="33"/>
        <v>0</v>
      </c>
      <c r="N84" s="701">
        <f t="shared" si="33"/>
        <v>0</v>
      </c>
      <c r="O84" s="701">
        <f t="shared" si="33"/>
        <v>0</v>
      </c>
      <c r="P84" s="701">
        <f t="shared" si="33"/>
        <v>0</v>
      </c>
      <c r="Q84" s="701">
        <f t="shared" si="33"/>
        <v>0</v>
      </c>
      <c r="R84" s="701">
        <f t="shared" si="33"/>
        <v>0</v>
      </c>
      <c r="S84" s="701">
        <f t="shared" si="33"/>
        <v>0</v>
      </c>
      <c r="T84" s="701">
        <f t="shared" si="33"/>
        <v>0</v>
      </c>
      <c r="U84" s="701">
        <f t="shared" si="33"/>
        <v>0</v>
      </c>
      <c r="V84" s="701">
        <f t="shared" si="33"/>
        <v>0</v>
      </c>
      <c r="W84" s="701">
        <f t="shared" si="33"/>
        <v>0</v>
      </c>
      <c r="X84" s="701">
        <f t="shared" si="33"/>
        <v>0</v>
      </c>
      <c r="Y84" s="701">
        <f t="shared" si="33"/>
        <v>0</v>
      </c>
      <c r="Z84" s="47">
        <v>81.099999999999994</v>
      </c>
      <c r="AA84" s="47"/>
      <c r="AB84" s="701">
        <f t="shared" si="33"/>
        <v>0</v>
      </c>
      <c r="AC84" s="701">
        <f t="shared" si="33"/>
        <v>0</v>
      </c>
      <c r="AD84" s="701">
        <f t="shared" si="33"/>
        <v>0</v>
      </c>
      <c r="AE84" s="701">
        <f t="shared" si="33"/>
        <v>0</v>
      </c>
      <c r="AF84" s="47"/>
      <c r="AG84" s="706"/>
    </row>
    <row r="85" spans="1:33" s="10" customFormat="1" ht="131.25" x14ac:dyDescent="0.3">
      <c r="A85" s="14" t="s">
        <v>119</v>
      </c>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706"/>
    </row>
    <row r="86" spans="1:33" s="10" customFormat="1" ht="18.75" x14ac:dyDescent="0.3">
      <c r="A86" s="13" t="s">
        <v>31</v>
      </c>
      <c r="B86" s="47">
        <f>B87</f>
        <v>170</v>
      </c>
      <c r="C86" s="701">
        <f t="shared" ref="C86:E87" si="34">C87</f>
        <v>0</v>
      </c>
      <c r="D86" s="701">
        <f t="shared" si="34"/>
        <v>0</v>
      </c>
      <c r="E86" s="701">
        <f t="shared" si="34"/>
        <v>0</v>
      </c>
      <c r="F86" s="701">
        <f>E86/B86*100</f>
        <v>0</v>
      </c>
      <c r="G86" s="47" t="e">
        <f>E86/C86*100</f>
        <v>#DIV/0!</v>
      </c>
      <c r="H86" s="701">
        <v>0</v>
      </c>
      <c r="I86" s="701">
        <v>0</v>
      </c>
      <c r="J86" s="701">
        <v>0</v>
      </c>
      <c r="K86" s="701">
        <v>0</v>
      </c>
      <c r="L86" s="701">
        <v>0</v>
      </c>
      <c r="M86" s="701">
        <v>0</v>
      </c>
      <c r="N86" s="701">
        <v>0</v>
      </c>
      <c r="O86" s="701">
        <v>0</v>
      </c>
      <c r="P86" s="701">
        <v>0</v>
      </c>
      <c r="Q86" s="701">
        <v>0</v>
      </c>
      <c r="R86" s="701">
        <v>0</v>
      </c>
      <c r="S86" s="701">
        <v>0</v>
      </c>
      <c r="T86" s="701">
        <v>0</v>
      </c>
      <c r="U86" s="701">
        <v>0</v>
      </c>
      <c r="V86" s="701">
        <v>0</v>
      </c>
      <c r="W86" s="701">
        <v>0</v>
      </c>
      <c r="X86" s="701">
        <v>0</v>
      </c>
      <c r="Y86" s="701">
        <v>0</v>
      </c>
      <c r="Z86" s="701">
        <v>0</v>
      </c>
      <c r="AA86" s="701">
        <v>0</v>
      </c>
      <c r="AB86" s="701">
        <v>0</v>
      </c>
      <c r="AC86" s="701">
        <v>0</v>
      </c>
      <c r="AD86" s="47">
        <f>AD87</f>
        <v>170</v>
      </c>
      <c r="AE86" s="47"/>
      <c r="AF86" s="47"/>
      <c r="AG86" s="706"/>
    </row>
    <row r="87" spans="1:33" s="10" customFormat="1" ht="18.75" x14ac:dyDescent="0.3">
      <c r="A87" s="13" t="s">
        <v>33</v>
      </c>
      <c r="B87" s="47">
        <f>H87+J87+L87+N87+P87+R87+T87+V87+X87+Z87+AB87+AD87</f>
        <v>170</v>
      </c>
      <c r="C87" s="701">
        <f>H87+J87+L87+N87+P87+R87</f>
        <v>0</v>
      </c>
      <c r="D87" s="701">
        <f t="shared" si="34"/>
        <v>0</v>
      </c>
      <c r="E87" s="32">
        <f>I87+K87+M87+O87+Q87+S87+U87+W87+Y87+AA87+AC87+AE87</f>
        <v>0</v>
      </c>
      <c r="F87" s="701">
        <f>D87/B87*100</f>
        <v>0</v>
      </c>
      <c r="G87" s="47" t="e">
        <f>E87/C87*100</f>
        <v>#DIV/0!</v>
      </c>
      <c r="H87" s="701">
        <v>0</v>
      </c>
      <c r="I87" s="701">
        <v>0</v>
      </c>
      <c r="J87" s="701">
        <v>0</v>
      </c>
      <c r="K87" s="701">
        <v>0</v>
      </c>
      <c r="L87" s="701">
        <v>0</v>
      </c>
      <c r="M87" s="701">
        <v>0</v>
      </c>
      <c r="N87" s="701">
        <v>0</v>
      </c>
      <c r="O87" s="701">
        <v>0</v>
      </c>
      <c r="P87" s="701">
        <v>0</v>
      </c>
      <c r="Q87" s="701">
        <v>0</v>
      </c>
      <c r="R87" s="701">
        <v>0</v>
      </c>
      <c r="S87" s="701">
        <v>0</v>
      </c>
      <c r="T87" s="701">
        <v>0</v>
      </c>
      <c r="U87" s="701">
        <v>0</v>
      </c>
      <c r="V87" s="701">
        <v>0</v>
      </c>
      <c r="W87" s="701">
        <v>0</v>
      </c>
      <c r="X87" s="701">
        <v>0</v>
      </c>
      <c r="Y87" s="701">
        <v>0</v>
      </c>
      <c r="Z87" s="701">
        <v>0</v>
      </c>
      <c r="AA87" s="701">
        <v>0</v>
      </c>
      <c r="AB87" s="701">
        <v>0</v>
      </c>
      <c r="AC87" s="701">
        <v>0</v>
      </c>
      <c r="AD87" s="47">
        <v>170</v>
      </c>
      <c r="AE87" s="47"/>
      <c r="AF87" s="47"/>
      <c r="AG87" s="706"/>
    </row>
    <row r="88" spans="1:33" s="10" customFormat="1" ht="375" x14ac:dyDescent="0.3">
      <c r="A88" s="14" t="s">
        <v>120</v>
      </c>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706"/>
    </row>
    <row r="89" spans="1:33" s="10" customFormat="1" ht="18.75" x14ac:dyDescent="0.3">
      <c r="A89" s="13" t="s">
        <v>31</v>
      </c>
      <c r="B89" s="47">
        <f>B90</f>
        <v>20.7</v>
      </c>
      <c r="C89" s="701">
        <f>C90</f>
        <v>13.989999999999998</v>
      </c>
      <c r="D89" s="701">
        <f>D90</f>
        <v>10.629999999999999</v>
      </c>
      <c r="E89" s="701">
        <f>E90</f>
        <v>13.989999999999998</v>
      </c>
      <c r="F89" s="701">
        <f>E89/B89*100</f>
        <v>67.584541062801932</v>
      </c>
      <c r="G89" s="47">
        <f>E89/C89*100</f>
        <v>100</v>
      </c>
      <c r="H89" s="701">
        <f>H90</f>
        <v>0</v>
      </c>
      <c r="I89" s="701">
        <f t="shared" ref="I89:AE90" si="35">I90</f>
        <v>0</v>
      </c>
      <c r="J89" s="47">
        <f t="shared" si="35"/>
        <v>7.27</v>
      </c>
      <c r="K89" s="47">
        <f t="shared" si="35"/>
        <v>7.27</v>
      </c>
      <c r="L89" s="47">
        <f t="shared" si="35"/>
        <v>3.36</v>
      </c>
      <c r="M89" s="47">
        <f t="shared" si="35"/>
        <v>3.36</v>
      </c>
      <c r="N89" s="701">
        <f t="shared" si="35"/>
        <v>0</v>
      </c>
      <c r="O89" s="701">
        <f t="shared" si="35"/>
        <v>0</v>
      </c>
      <c r="P89" s="701">
        <f t="shared" si="35"/>
        <v>0</v>
      </c>
      <c r="Q89" s="701">
        <f t="shared" si="35"/>
        <v>0</v>
      </c>
      <c r="R89" s="47">
        <f t="shared" si="35"/>
        <v>3.36</v>
      </c>
      <c r="S89" s="701">
        <f t="shared" si="35"/>
        <v>3.36</v>
      </c>
      <c r="T89" s="701">
        <f t="shared" si="35"/>
        <v>0</v>
      </c>
      <c r="U89" s="701">
        <f t="shared" si="35"/>
        <v>0</v>
      </c>
      <c r="V89" s="701">
        <f t="shared" si="35"/>
        <v>0</v>
      </c>
      <c r="W89" s="701">
        <f t="shared" si="35"/>
        <v>0</v>
      </c>
      <c r="X89" s="47">
        <f t="shared" si="35"/>
        <v>3.36</v>
      </c>
      <c r="Y89" s="701">
        <f t="shared" si="35"/>
        <v>0</v>
      </c>
      <c r="Z89" s="701">
        <f t="shared" si="35"/>
        <v>0</v>
      </c>
      <c r="AA89" s="701">
        <f t="shared" si="35"/>
        <v>0</v>
      </c>
      <c r="AB89" s="47">
        <f t="shared" si="35"/>
        <v>3.35</v>
      </c>
      <c r="AC89" s="701">
        <f t="shared" si="35"/>
        <v>0</v>
      </c>
      <c r="AD89" s="701">
        <f t="shared" si="35"/>
        <v>0</v>
      </c>
      <c r="AE89" s="701">
        <f t="shared" si="35"/>
        <v>0</v>
      </c>
      <c r="AF89" s="47"/>
      <c r="AG89" s="706"/>
    </row>
    <row r="90" spans="1:33" s="10" customFormat="1" ht="18.75" x14ac:dyDescent="0.3">
      <c r="A90" s="13" t="s">
        <v>33</v>
      </c>
      <c r="B90" s="47">
        <f>H90+J90+L90+N90+P90+R90+T90+V90+X90+Z90+AB90+AD90</f>
        <v>20.7</v>
      </c>
      <c r="C90" s="701">
        <f>H90+J90+L90+N90+P90+R90</f>
        <v>13.989999999999998</v>
      </c>
      <c r="D90" s="701">
        <f>K90+M90</f>
        <v>10.629999999999999</v>
      </c>
      <c r="E90" s="32">
        <f>I90+K90+M90+O90+Q90+S90+U90+W90+Y90+AA90+AC90+AE90</f>
        <v>13.989999999999998</v>
      </c>
      <c r="F90" s="701">
        <f>D90/B90*100</f>
        <v>51.352657004830917</v>
      </c>
      <c r="G90" s="47">
        <f>E90/C90*100</f>
        <v>100</v>
      </c>
      <c r="H90" s="701">
        <f>H91</f>
        <v>0</v>
      </c>
      <c r="I90" s="701">
        <f t="shared" si="35"/>
        <v>0</v>
      </c>
      <c r="J90" s="47">
        <v>7.27</v>
      </c>
      <c r="K90" s="47">
        <v>7.27</v>
      </c>
      <c r="L90" s="47">
        <v>3.36</v>
      </c>
      <c r="M90" s="47">
        <v>3.36</v>
      </c>
      <c r="N90" s="701">
        <v>0</v>
      </c>
      <c r="O90" s="701">
        <v>0</v>
      </c>
      <c r="P90" s="701">
        <v>0</v>
      </c>
      <c r="Q90" s="701">
        <v>0</v>
      </c>
      <c r="R90" s="47">
        <v>3.36</v>
      </c>
      <c r="S90" s="701">
        <v>3.36</v>
      </c>
      <c r="T90" s="701">
        <v>0</v>
      </c>
      <c r="U90" s="701">
        <f t="shared" si="35"/>
        <v>0</v>
      </c>
      <c r="V90" s="701">
        <v>0</v>
      </c>
      <c r="W90" s="701">
        <v>0</v>
      </c>
      <c r="X90" s="47">
        <v>3.36</v>
      </c>
      <c r="Y90" s="701">
        <v>0</v>
      </c>
      <c r="Z90" s="701">
        <v>0</v>
      </c>
      <c r="AA90" s="701">
        <v>0</v>
      </c>
      <c r="AB90" s="47">
        <v>3.35</v>
      </c>
      <c r="AC90" s="701">
        <v>0</v>
      </c>
      <c r="AD90" s="701">
        <v>0</v>
      </c>
      <c r="AE90" s="701">
        <v>0</v>
      </c>
      <c r="AF90" s="47"/>
      <c r="AG90" s="706"/>
    </row>
    <row r="91" spans="1:33" s="10" customFormat="1" ht="56.25" x14ac:dyDescent="0.3">
      <c r="A91" s="14" t="s">
        <v>121</v>
      </c>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706"/>
    </row>
    <row r="92" spans="1:33" s="10" customFormat="1" ht="18.75" x14ac:dyDescent="0.3">
      <c r="A92" s="13" t="s">
        <v>31</v>
      </c>
      <c r="B92" s="47">
        <f>B93</f>
        <v>8.4</v>
      </c>
      <c r="C92" s="701">
        <f>C93</f>
        <v>5.2</v>
      </c>
      <c r="D92" s="701">
        <f>D93</f>
        <v>5.2</v>
      </c>
      <c r="E92" s="701">
        <f>E93</f>
        <v>10.4</v>
      </c>
      <c r="F92" s="701">
        <f>E92/B92*100</f>
        <v>123.80952380952381</v>
      </c>
      <c r="G92" s="47">
        <f>E92/C92*100</f>
        <v>200</v>
      </c>
      <c r="H92" s="701">
        <f>H93</f>
        <v>0</v>
      </c>
      <c r="I92" s="701">
        <f t="shared" ref="I92:AE92" si="36">I93</f>
        <v>0</v>
      </c>
      <c r="J92" s="47">
        <f t="shared" si="36"/>
        <v>5.2</v>
      </c>
      <c r="K92" s="47">
        <f t="shared" si="36"/>
        <v>5.2</v>
      </c>
      <c r="L92" s="701">
        <f t="shared" si="36"/>
        <v>0</v>
      </c>
      <c r="M92" s="701">
        <f t="shared" si="36"/>
        <v>0</v>
      </c>
      <c r="N92" s="701">
        <f t="shared" si="36"/>
        <v>0</v>
      </c>
      <c r="O92" s="701">
        <f t="shared" si="36"/>
        <v>0</v>
      </c>
      <c r="P92" s="701">
        <f t="shared" si="36"/>
        <v>0</v>
      </c>
      <c r="Q92" s="701">
        <f t="shared" si="36"/>
        <v>0</v>
      </c>
      <c r="R92" s="701">
        <f t="shared" si="36"/>
        <v>0</v>
      </c>
      <c r="S92" s="701">
        <f t="shared" si="36"/>
        <v>5.2</v>
      </c>
      <c r="T92" s="701">
        <f t="shared" si="36"/>
        <v>0</v>
      </c>
      <c r="U92" s="701">
        <f t="shared" si="36"/>
        <v>0</v>
      </c>
      <c r="V92" s="701">
        <f t="shared" si="36"/>
        <v>3.2</v>
      </c>
      <c r="W92" s="701">
        <f t="shared" si="36"/>
        <v>0</v>
      </c>
      <c r="X92" s="701">
        <f t="shared" si="36"/>
        <v>0</v>
      </c>
      <c r="Y92" s="701">
        <f t="shared" si="36"/>
        <v>0</v>
      </c>
      <c r="Z92" s="701">
        <f t="shared" si="36"/>
        <v>0</v>
      </c>
      <c r="AA92" s="701">
        <f t="shared" si="36"/>
        <v>0</v>
      </c>
      <c r="AB92" s="701">
        <f t="shared" si="36"/>
        <v>0</v>
      </c>
      <c r="AC92" s="701">
        <f t="shared" si="36"/>
        <v>0</v>
      </c>
      <c r="AD92" s="701">
        <f t="shared" si="36"/>
        <v>0</v>
      </c>
      <c r="AE92" s="701">
        <f t="shared" si="36"/>
        <v>0</v>
      </c>
      <c r="AF92" s="47"/>
      <c r="AG92" s="706"/>
    </row>
    <row r="93" spans="1:33" s="10" customFormat="1" ht="18.75" x14ac:dyDescent="0.3">
      <c r="A93" s="13" t="s">
        <v>33</v>
      </c>
      <c r="B93" s="47">
        <f>H93+J93+L93+N93+P93+R93+T93+V93+X93+Z93+AB93+AD93</f>
        <v>8.4</v>
      </c>
      <c r="C93" s="701">
        <f>H93+J93+L93+N93+P93+R93</f>
        <v>5.2</v>
      </c>
      <c r="D93" s="701">
        <f>K93</f>
        <v>5.2</v>
      </c>
      <c r="E93" s="32">
        <f>I93+K93+M93+O93+Q93+S93+U93+W93+Y93+AA93+AC93+AE93</f>
        <v>10.4</v>
      </c>
      <c r="F93" s="701">
        <f>D93/B93*100</f>
        <v>61.904761904761905</v>
      </c>
      <c r="G93" s="47">
        <f>E93/C93*100</f>
        <v>200</v>
      </c>
      <c r="H93" s="701">
        <v>0</v>
      </c>
      <c r="I93" s="701">
        <v>0</v>
      </c>
      <c r="J93" s="47">
        <v>5.2</v>
      </c>
      <c r="K93" s="47">
        <v>5.2</v>
      </c>
      <c r="L93" s="701">
        <v>0</v>
      </c>
      <c r="M93" s="701">
        <v>0</v>
      </c>
      <c r="N93" s="701">
        <v>0</v>
      </c>
      <c r="O93" s="701">
        <v>0</v>
      </c>
      <c r="P93" s="701">
        <v>0</v>
      </c>
      <c r="Q93" s="701">
        <v>0</v>
      </c>
      <c r="R93" s="701">
        <v>0</v>
      </c>
      <c r="S93" s="701">
        <v>5.2</v>
      </c>
      <c r="T93" s="701">
        <v>0</v>
      </c>
      <c r="U93" s="701">
        <v>0</v>
      </c>
      <c r="V93" s="701">
        <v>3.2</v>
      </c>
      <c r="W93" s="701">
        <v>0</v>
      </c>
      <c r="X93" s="701">
        <v>0</v>
      </c>
      <c r="Y93" s="701">
        <v>0</v>
      </c>
      <c r="Z93" s="701">
        <v>0</v>
      </c>
      <c r="AA93" s="701">
        <v>0</v>
      </c>
      <c r="AB93" s="701">
        <v>0</v>
      </c>
      <c r="AC93" s="701">
        <v>0</v>
      </c>
      <c r="AD93" s="701">
        <v>0</v>
      </c>
      <c r="AE93" s="701">
        <v>0</v>
      </c>
      <c r="AF93" s="47"/>
      <c r="AG93" s="706"/>
    </row>
    <row r="94" spans="1:33" s="10" customFormat="1" ht="56.25" x14ac:dyDescent="0.3">
      <c r="A94" s="14" t="s">
        <v>122</v>
      </c>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706"/>
    </row>
    <row r="95" spans="1:33" s="10" customFormat="1" ht="18.75" x14ac:dyDescent="0.3">
      <c r="A95" s="13" t="s">
        <v>31</v>
      </c>
      <c r="B95" s="47">
        <f>B96</f>
        <v>240</v>
      </c>
      <c r="C95" s="701">
        <f>C96</f>
        <v>0</v>
      </c>
      <c r="D95" s="701">
        <f>D96</f>
        <v>0</v>
      </c>
      <c r="E95" s="701">
        <f>E96</f>
        <v>0</v>
      </c>
      <c r="F95" s="701">
        <f>E95/B95*100</f>
        <v>0</v>
      </c>
      <c r="G95" s="47" t="e">
        <f>E95/C95*100</f>
        <v>#DIV/0!</v>
      </c>
      <c r="H95" s="701">
        <f>H96</f>
        <v>0</v>
      </c>
      <c r="I95" s="701">
        <f t="shared" ref="I95:AE96" si="37">I96</f>
        <v>0</v>
      </c>
      <c r="J95" s="701">
        <f t="shared" si="37"/>
        <v>0</v>
      </c>
      <c r="K95" s="701">
        <f t="shared" si="37"/>
        <v>0</v>
      </c>
      <c r="L95" s="701">
        <f t="shared" si="37"/>
        <v>0</v>
      </c>
      <c r="M95" s="701">
        <f t="shared" si="37"/>
        <v>0</v>
      </c>
      <c r="N95" s="701">
        <f t="shared" si="37"/>
        <v>0</v>
      </c>
      <c r="O95" s="701">
        <f t="shared" si="37"/>
        <v>0</v>
      </c>
      <c r="P95" s="701">
        <f t="shared" si="37"/>
        <v>0</v>
      </c>
      <c r="Q95" s="701">
        <f t="shared" si="37"/>
        <v>0</v>
      </c>
      <c r="R95" s="701">
        <f t="shared" si="37"/>
        <v>0</v>
      </c>
      <c r="S95" s="701">
        <f t="shared" si="37"/>
        <v>0</v>
      </c>
      <c r="T95" s="701">
        <f t="shared" si="37"/>
        <v>0</v>
      </c>
      <c r="U95" s="701">
        <f t="shared" si="37"/>
        <v>0</v>
      </c>
      <c r="V95" s="701">
        <f t="shared" si="37"/>
        <v>0</v>
      </c>
      <c r="W95" s="701">
        <f t="shared" si="37"/>
        <v>0</v>
      </c>
      <c r="X95" s="701">
        <f t="shared" si="37"/>
        <v>0</v>
      </c>
      <c r="Y95" s="701">
        <f t="shared" si="37"/>
        <v>0</v>
      </c>
      <c r="Z95" s="47">
        <f t="shared" si="37"/>
        <v>240</v>
      </c>
      <c r="AA95" s="701">
        <f t="shared" si="37"/>
        <v>0</v>
      </c>
      <c r="AB95" s="701">
        <f t="shared" si="37"/>
        <v>0</v>
      </c>
      <c r="AC95" s="701">
        <f t="shared" si="37"/>
        <v>0</v>
      </c>
      <c r="AD95" s="701">
        <f t="shared" si="37"/>
        <v>0</v>
      </c>
      <c r="AE95" s="701">
        <f t="shared" si="37"/>
        <v>0</v>
      </c>
      <c r="AF95" s="47"/>
      <c r="AG95" s="706"/>
    </row>
    <row r="96" spans="1:33" s="10" customFormat="1" ht="18.75" x14ac:dyDescent="0.3">
      <c r="A96" s="13" t="s">
        <v>33</v>
      </c>
      <c r="B96" s="47">
        <f>H96+J96+L96+N96+P96+R96+T96+V96+X96+Z96+AB96+AD96</f>
        <v>240</v>
      </c>
      <c r="C96" s="701">
        <f>H96+J96+L96+N96+P96+R96</f>
        <v>0</v>
      </c>
      <c r="D96" s="701">
        <f>AA96</f>
        <v>0</v>
      </c>
      <c r="E96" s="32">
        <f>I96+K96+M96+O96+Q96+S96+U96+W96+Y96+AA96+AC96+AE96</f>
        <v>0</v>
      </c>
      <c r="F96" s="701">
        <f>D96/B96*100</f>
        <v>0</v>
      </c>
      <c r="G96" s="47" t="e">
        <f>E96/C96*100</f>
        <v>#DIV/0!</v>
      </c>
      <c r="H96" s="701">
        <f>H97</f>
        <v>0</v>
      </c>
      <c r="I96" s="701">
        <f t="shared" si="37"/>
        <v>0</v>
      </c>
      <c r="J96" s="701">
        <f t="shared" si="37"/>
        <v>0</v>
      </c>
      <c r="K96" s="701">
        <f t="shared" si="37"/>
        <v>0</v>
      </c>
      <c r="L96" s="701">
        <f t="shared" si="37"/>
        <v>0</v>
      </c>
      <c r="M96" s="701">
        <f t="shared" si="37"/>
        <v>0</v>
      </c>
      <c r="N96" s="701">
        <f t="shared" si="37"/>
        <v>0</v>
      </c>
      <c r="O96" s="701">
        <f t="shared" si="37"/>
        <v>0</v>
      </c>
      <c r="P96" s="701">
        <f t="shared" si="37"/>
        <v>0</v>
      </c>
      <c r="Q96" s="701">
        <f t="shared" si="37"/>
        <v>0</v>
      </c>
      <c r="R96" s="701">
        <f t="shared" si="37"/>
        <v>0</v>
      </c>
      <c r="S96" s="701">
        <f t="shared" si="37"/>
        <v>0</v>
      </c>
      <c r="T96" s="701">
        <f t="shared" si="37"/>
        <v>0</v>
      </c>
      <c r="U96" s="701">
        <f t="shared" si="37"/>
        <v>0</v>
      </c>
      <c r="V96" s="701">
        <f t="shared" si="37"/>
        <v>0</v>
      </c>
      <c r="W96" s="701">
        <f t="shared" si="37"/>
        <v>0</v>
      </c>
      <c r="X96" s="701">
        <f t="shared" si="37"/>
        <v>0</v>
      </c>
      <c r="Y96" s="701">
        <f t="shared" si="37"/>
        <v>0</v>
      </c>
      <c r="Z96" s="47">
        <v>240</v>
      </c>
      <c r="AA96" s="701">
        <f t="shared" si="37"/>
        <v>0</v>
      </c>
      <c r="AB96" s="701">
        <f t="shared" si="37"/>
        <v>0</v>
      </c>
      <c r="AC96" s="701">
        <f t="shared" si="37"/>
        <v>0</v>
      </c>
      <c r="AD96" s="701">
        <f t="shared" si="37"/>
        <v>0</v>
      </c>
      <c r="AE96" s="701">
        <f t="shared" si="37"/>
        <v>0</v>
      </c>
      <c r="AF96" s="47"/>
      <c r="AG96" s="706"/>
    </row>
    <row r="97" spans="1:33" ht="18.75" x14ac:dyDescent="0.3">
      <c r="A97" s="56" t="s">
        <v>35</v>
      </c>
      <c r="B97" s="47"/>
      <c r="C97" s="32"/>
      <c r="D97" s="32"/>
      <c r="E97" s="32"/>
      <c r="F97" s="32"/>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706"/>
    </row>
    <row r="98" spans="1:33" ht="18.75" x14ac:dyDescent="0.3">
      <c r="A98" s="13" t="s">
        <v>31</v>
      </c>
      <c r="B98" s="47">
        <f>B99</f>
        <v>864.3900000000001</v>
      </c>
      <c r="C98" s="47">
        <f>C99</f>
        <v>298.98</v>
      </c>
      <c r="D98" s="47">
        <f>D99</f>
        <v>284.27999999999997</v>
      </c>
      <c r="E98" s="47">
        <f>E99</f>
        <v>167.21</v>
      </c>
      <c r="F98" s="47">
        <f>D98/B98*100</f>
        <v>32.887932530454997</v>
      </c>
      <c r="G98" s="47">
        <f>E98/C98*100</f>
        <v>55.926817847347642</v>
      </c>
      <c r="H98" s="47">
        <f t="shared" ref="H98:M98" si="38">H99</f>
        <v>0</v>
      </c>
      <c r="I98" s="47">
        <f t="shared" si="38"/>
        <v>0</v>
      </c>
      <c r="J98" s="47">
        <f t="shared" si="38"/>
        <v>162.85999999999999</v>
      </c>
      <c r="K98" s="47">
        <f t="shared" si="38"/>
        <v>163.85</v>
      </c>
      <c r="L98" s="47">
        <f t="shared" si="38"/>
        <v>3.36</v>
      </c>
      <c r="M98" s="47">
        <f t="shared" si="38"/>
        <v>3.36</v>
      </c>
      <c r="N98" s="47">
        <f t="shared" ref="N98:AE98" si="39">N99</f>
        <v>0</v>
      </c>
      <c r="O98" s="47">
        <f t="shared" si="39"/>
        <v>0</v>
      </c>
      <c r="P98" s="47">
        <f t="shared" si="39"/>
        <v>108</v>
      </c>
      <c r="Q98" s="47">
        <f t="shared" si="39"/>
        <v>108</v>
      </c>
      <c r="R98" s="47">
        <f t="shared" si="39"/>
        <v>3.36</v>
      </c>
      <c r="S98" s="47">
        <f t="shared" si="39"/>
        <v>8.56</v>
      </c>
      <c r="T98" s="47">
        <f t="shared" si="39"/>
        <v>0</v>
      </c>
      <c r="U98" s="47">
        <f t="shared" si="39"/>
        <v>0</v>
      </c>
      <c r="V98" s="47">
        <f t="shared" si="39"/>
        <v>3.2</v>
      </c>
      <c r="W98" s="47">
        <f t="shared" si="39"/>
        <v>0</v>
      </c>
      <c r="X98" s="47">
        <f t="shared" si="39"/>
        <v>3.36</v>
      </c>
      <c r="Y98" s="47">
        <f t="shared" si="39"/>
        <v>0</v>
      </c>
      <c r="Z98" s="47">
        <f t="shared" si="39"/>
        <v>81.099999999999994</v>
      </c>
      <c r="AA98" s="47">
        <f t="shared" si="39"/>
        <v>0</v>
      </c>
      <c r="AB98" s="47">
        <f t="shared" si="39"/>
        <v>3.35</v>
      </c>
      <c r="AC98" s="47">
        <f t="shared" si="39"/>
        <v>0</v>
      </c>
      <c r="AD98" s="47">
        <f t="shared" si="39"/>
        <v>170</v>
      </c>
      <c r="AE98" s="47">
        <f t="shared" si="39"/>
        <v>0</v>
      </c>
      <c r="AF98" s="47"/>
      <c r="AG98" s="706"/>
    </row>
    <row r="99" spans="1:33" ht="18.75" x14ac:dyDescent="0.3">
      <c r="A99" s="13" t="s">
        <v>33</v>
      </c>
      <c r="B99" s="47">
        <f>B66+B72+B78</f>
        <v>864.3900000000001</v>
      </c>
      <c r="C99" s="47">
        <f>C66+C72+C78</f>
        <v>298.98</v>
      </c>
      <c r="D99" s="47">
        <f>D66+D72+D78</f>
        <v>284.27999999999997</v>
      </c>
      <c r="E99" s="47">
        <f>K99+M99</f>
        <v>167.21</v>
      </c>
      <c r="F99" s="47">
        <f>D99/B99*100</f>
        <v>32.887932530454997</v>
      </c>
      <c r="G99" s="47">
        <f>E99/C99*100</f>
        <v>55.926817847347642</v>
      </c>
      <c r="H99" s="47">
        <f>H66+H72+H78</f>
        <v>0</v>
      </c>
      <c r="I99" s="47"/>
      <c r="J99" s="47">
        <f>J101</f>
        <v>162.85999999999999</v>
      </c>
      <c r="K99" s="47">
        <f>K101</f>
        <v>163.85</v>
      </c>
      <c r="L99" s="47">
        <f>L101</f>
        <v>3.36</v>
      </c>
      <c r="M99" s="47">
        <f>M101</f>
        <v>3.36</v>
      </c>
      <c r="N99" s="47">
        <f>N101</f>
        <v>0</v>
      </c>
      <c r="O99" s="47">
        <f t="shared" ref="O99:AE99" si="40">O101</f>
        <v>0</v>
      </c>
      <c r="P99" s="47">
        <f t="shared" si="40"/>
        <v>108</v>
      </c>
      <c r="Q99" s="47">
        <f t="shared" si="40"/>
        <v>108</v>
      </c>
      <c r="R99" s="47">
        <f t="shared" si="40"/>
        <v>3.36</v>
      </c>
      <c r="S99" s="47">
        <f t="shared" si="40"/>
        <v>8.56</v>
      </c>
      <c r="T99" s="47">
        <f t="shared" si="40"/>
        <v>0</v>
      </c>
      <c r="U99" s="47">
        <f t="shared" si="40"/>
        <v>0</v>
      </c>
      <c r="V99" s="47">
        <f t="shared" si="40"/>
        <v>3.2</v>
      </c>
      <c r="W99" s="47">
        <f t="shared" si="40"/>
        <v>0</v>
      </c>
      <c r="X99" s="47">
        <f t="shared" si="40"/>
        <v>3.36</v>
      </c>
      <c r="Y99" s="47">
        <f t="shared" si="40"/>
        <v>0</v>
      </c>
      <c r="Z99" s="47">
        <f t="shared" si="40"/>
        <v>81.099999999999994</v>
      </c>
      <c r="AA99" s="47">
        <f t="shared" si="40"/>
        <v>0</v>
      </c>
      <c r="AB99" s="47">
        <f t="shared" si="40"/>
        <v>3.35</v>
      </c>
      <c r="AC99" s="47">
        <f t="shared" si="40"/>
        <v>0</v>
      </c>
      <c r="AD99" s="47">
        <f t="shared" si="40"/>
        <v>170</v>
      </c>
      <c r="AE99" s="47">
        <f t="shared" si="40"/>
        <v>0</v>
      </c>
      <c r="AF99" s="47"/>
      <c r="AG99" s="706"/>
    </row>
    <row r="100" spans="1:33" ht="37.5" x14ac:dyDescent="0.3">
      <c r="A100" s="28" t="s">
        <v>73</v>
      </c>
      <c r="B100" s="615"/>
      <c r="C100" s="615"/>
      <c r="D100" s="615"/>
      <c r="E100" s="615"/>
      <c r="F100" s="615"/>
      <c r="G100" s="615"/>
      <c r="H100" s="615"/>
      <c r="I100" s="615"/>
      <c r="J100" s="615"/>
      <c r="K100" s="615"/>
      <c r="L100" s="615"/>
      <c r="M100" s="615"/>
      <c r="N100" s="615"/>
      <c r="O100" s="615"/>
      <c r="P100" s="615"/>
      <c r="Q100" s="615"/>
      <c r="R100" s="615"/>
      <c r="S100" s="615"/>
      <c r="T100" s="615"/>
      <c r="U100" s="615"/>
      <c r="V100" s="615"/>
      <c r="W100" s="615"/>
      <c r="X100" s="615"/>
      <c r="Y100" s="615"/>
      <c r="Z100" s="615"/>
      <c r="AA100" s="615"/>
      <c r="AB100" s="615"/>
      <c r="AC100" s="615"/>
      <c r="AD100" s="615"/>
      <c r="AE100" s="615"/>
      <c r="AF100" s="29"/>
      <c r="AG100" s="706"/>
    </row>
    <row r="101" spans="1:33" ht="18.75" x14ac:dyDescent="0.3">
      <c r="A101" s="8" t="s">
        <v>31</v>
      </c>
      <c r="B101" s="644">
        <f>B102</f>
        <v>864.3900000000001</v>
      </c>
      <c r="C101" s="644">
        <f>C102</f>
        <v>298.98</v>
      </c>
      <c r="D101" s="644">
        <f>D102</f>
        <v>284.27999999999997</v>
      </c>
      <c r="E101" s="644">
        <f>E102</f>
        <v>167.21</v>
      </c>
      <c r="F101" s="32">
        <f>E101/B101*100</f>
        <v>19.344277467346913</v>
      </c>
      <c r="G101" s="47">
        <f>E101/C101*100</f>
        <v>55.926817847347642</v>
      </c>
      <c r="H101" s="644">
        <f t="shared" ref="H101:N101" si="41">H102</f>
        <v>0</v>
      </c>
      <c r="I101" s="644">
        <f t="shared" si="41"/>
        <v>0</v>
      </c>
      <c r="J101" s="644">
        <f t="shared" si="41"/>
        <v>162.85999999999999</v>
      </c>
      <c r="K101" s="644">
        <f t="shared" si="41"/>
        <v>163.85</v>
      </c>
      <c r="L101" s="644">
        <f t="shared" si="41"/>
        <v>3.36</v>
      </c>
      <c r="M101" s="644">
        <f t="shared" si="41"/>
        <v>3.36</v>
      </c>
      <c r="N101" s="644">
        <f t="shared" si="41"/>
        <v>0</v>
      </c>
      <c r="O101" s="644">
        <f t="shared" ref="O101:AE101" si="42">O102</f>
        <v>0</v>
      </c>
      <c r="P101" s="644">
        <f t="shared" si="42"/>
        <v>108</v>
      </c>
      <c r="Q101" s="644">
        <f t="shared" si="42"/>
        <v>108</v>
      </c>
      <c r="R101" s="644">
        <f t="shared" si="42"/>
        <v>3.36</v>
      </c>
      <c r="S101" s="644">
        <f t="shared" si="42"/>
        <v>8.56</v>
      </c>
      <c r="T101" s="644">
        <f t="shared" si="42"/>
        <v>0</v>
      </c>
      <c r="U101" s="644">
        <f t="shared" si="42"/>
        <v>0</v>
      </c>
      <c r="V101" s="644">
        <f t="shared" si="42"/>
        <v>3.2</v>
      </c>
      <c r="W101" s="644">
        <f t="shared" si="42"/>
        <v>0</v>
      </c>
      <c r="X101" s="644">
        <f t="shared" si="42"/>
        <v>3.36</v>
      </c>
      <c r="Y101" s="644">
        <f t="shared" si="42"/>
        <v>0</v>
      </c>
      <c r="Z101" s="644">
        <f t="shared" si="42"/>
        <v>81.099999999999994</v>
      </c>
      <c r="AA101" s="644">
        <f t="shared" si="42"/>
        <v>0</v>
      </c>
      <c r="AB101" s="644">
        <f t="shared" si="42"/>
        <v>3.35</v>
      </c>
      <c r="AC101" s="644">
        <f t="shared" si="42"/>
        <v>0</v>
      </c>
      <c r="AD101" s="644">
        <f t="shared" si="42"/>
        <v>170</v>
      </c>
      <c r="AE101" s="644">
        <f t="shared" si="42"/>
        <v>0</v>
      </c>
      <c r="AF101" s="29"/>
      <c r="AG101" s="706"/>
    </row>
    <row r="102" spans="1:33" ht="18.75" x14ac:dyDescent="0.3">
      <c r="A102" s="13" t="s">
        <v>33</v>
      </c>
      <c r="B102" s="644">
        <f>B99</f>
        <v>864.3900000000001</v>
      </c>
      <c r="C102" s="644">
        <f>C99</f>
        <v>298.98</v>
      </c>
      <c r="D102" s="644">
        <f>D99</f>
        <v>284.27999999999997</v>
      </c>
      <c r="E102" s="644">
        <f>E99</f>
        <v>167.21</v>
      </c>
      <c r="F102" s="32">
        <f>E102/B102*100</f>
        <v>19.344277467346913</v>
      </c>
      <c r="G102" s="47">
        <f>E102/C102*100</f>
        <v>55.926817847347642</v>
      </c>
      <c r="H102" s="644">
        <f>H66+H72+H78</f>
        <v>0</v>
      </c>
      <c r="I102" s="644">
        <f>I66+I75+I78</f>
        <v>0</v>
      </c>
      <c r="J102" s="644">
        <f>J69+J78+J90+J93</f>
        <v>162.85999999999999</v>
      </c>
      <c r="K102" s="644">
        <f>K66+K81+K90+K93</f>
        <v>163.85</v>
      </c>
      <c r="L102" s="644">
        <f>L81+L90</f>
        <v>3.36</v>
      </c>
      <c r="M102" s="644">
        <f>M90</f>
        <v>3.36</v>
      </c>
      <c r="N102" s="644">
        <f>N66+N69+N81+N84+N87+N90+N93</f>
        <v>0</v>
      </c>
      <c r="O102" s="644">
        <f t="shared" ref="O102:AE102" si="43">O66+O69+O81+O84+O87+O90+O93</f>
        <v>0</v>
      </c>
      <c r="P102" s="644">
        <f t="shared" si="43"/>
        <v>108</v>
      </c>
      <c r="Q102" s="644">
        <f t="shared" si="43"/>
        <v>108</v>
      </c>
      <c r="R102" s="644">
        <f t="shared" si="43"/>
        <v>3.36</v>
      </c>
      <c r="S102" s="644">
        <f t="shared" si="43"/>
        <v>8.56</v>
      </c>
      <c r="T102" s="644">
        <f t="shared" si="43"/>
        <v>0</v>
      </c>
      <c r="U102" s="644">
        <f t="shared" si="43"/>
        <v>0</v>
      </c>
      <c r="V102" s="644">
        <f t="shared" si="43"/>
        <v>3.2</v>
      </c>
      <c r="W102" s="644">
        <f t="shared" si="43"/>
        <v>0</v>
      </c>
      <c r="X102" s="644">
        <f t="shared" si="43"/>
        <v>3.36</v>
      </c>
      <c r="Y102" s="644">
        <f t="shared" si="43"/>
        <v>0</v>
      </c>
      <c r="Z102" s="644">
        <f t="shared" si="43"/>
        <v>81.099999999999994</v>
      </c>
      <c r="AA102" s="644">
        <f t="shared" si="43"/>
        <v>0</v>
      </c>
      <c r="AB102" s="644">
        <f t="shared" si="43"/>
        <v>3.35</v>
      </c>
      <c r="AC102" s="644">
        <f t="shared" si="43"/>
        <v>0</v>
      </c>
      <c r="AD102" s="644">
        <f t="shared" si="43"/>
        <v>170</v>
      </c>
      <c r="AE102" s="644">
        <f t="shared" si="43"/>
        <v>0</v>
      </c>
      <c r="AF102" s="29"/>
      <c r="AG102" s="706"/>
    </row>
    <row r="103" spans="1:33" ht="37.5" x14ac:dyDescent="0.3">
      <c r="A103" s="55" t="s">
        <v>123</v>
      </c>
      <c r="B103" s="615"/>
      <c r="C103" s="615"/>
      <c r="D103" s="615"/>
      <c r="E103" s="615"/>
      <c r="F103" s="615"/>
      <c r="G103" s="615"/>
      <c r="H103" s="615"/>
      <c r="I103" s="615"/>
      <c r="J103" s="615"/>
      <c r="K103" s="615"/>
      <c r="L103" s="615"/>
      <c r="M103" s="615"/>
      <c r="N103" s="615"/>
      <c r="O103" s="615"/>
      <c r="P103" s="615"/>
      <c r="Q103" s="615"/>
      <c r="R103" s="615"/>
      <c r="S103" s="615"/>
      <c r="T103" s="615"/>
      <c r="U103" s="615"/>
      <c r="V103" s="615"/>
      <c r="W103" s="615"/>
      <c r="X103" s="615"/>
      <c r="Y103" s="615"/>
      <c r="Z103" s="615"/>
      <c r="AA103" s="615"/>
      <c r="AB103" s="615"/>
      <c r="AC103" s="615"/>
      <c r="AD103" s="615"/>
      <c r="AE103" s="615"/>
      <c r="AF103" s="29"/>
      <c r="AG103" s="706"/>
    </row>
    <row r="104" spans="1:33" ht="18.75" x14ac:dyDescent="0.3">
      <c r="A104" s="52" t="s">
        <v>54</v>
      </c>
      <c r="B104" s="615"/>
      <c r="C104" s="615"/>
      <c r="D104" s="615"/>
      <c r="E104" s="615"/>
      <c r="F104" s="615"/>
      <c r="G104" s="615"/>
      <c r="H104" s="615"/>
      <c r="I104" s="615"/>
      <c r="J104" s="615"/>
      <c r="K104" s="615"/>
      <c r="L104" s="615"/>
      <c r="M104" s="615"/>
      <c r="N104" s="615"/>
      <c r="O104" s="615"/>
      <c r="P104" s="615"/>
      <c r="Q104" s="615"/>
      <c r="R104" s="615"/>
      <c r="S104" s="615"/>
      <c r="T104" s="615"/>
      <c r="U104" s="615"/>
      <c r="V104" s="615"/>
      <c r="W104" s="615"/>
      <c r="X104" s="615"/>
      <c r="Y104" s="615"/>
      <c r="Z104" s="615"/>
      <c r="AA104" s="615"/>
      <c r="AB104" s="615"/>
      <c r="AC104" s="615"/>
      <c r="AD104" s="615"/>
      <c r="AE104" s="615"/>
      <c r="AF104" s="29"/>
      <c r="AG104" s="706"/>
    </row>
    <row r="105" spans="1:33" ht="56.25" x14ac:dyDescent="0.3">
      <c r="A105" s="50" t="s">
        <v>124</v>
      </c>
      <c r="B105" s="758">
        <v>0</v>
      </c>
      <c r="C105" s="758">
        <v>0</v>
      </c>
      <c r="D105" s="758">
        <v>0</v>
      </c>
      <c r="E105" s="758">
        <v>0</v>
      </c>
      <c r="F105" s="758">
        <v>0</v>
      </c>
      <c r="G105" s="758">
        <v>0</v>
      </c>
      <c r="H105" s="758">
        <v>0</v>
      </c>
      <c r="I105" s="758">
        <v>0</v>
      </c>
      <c r="J105" s="758">
        <v>0</v>
      </c>
      <c r="K105" s="758">
        <v>0</v>
      </c>
      <c r="L105" s="758">
        <v>0</v>
      </c>
      <c r="M105" s="758">
        <v>0</v>
      </c>
      <c r="N105" s="758">
        <v>0</v>
      </c>
      <c r="O105" s="758">
        <v>0</v>
      </c>
      <c r="P105" s="758">
        <v>0</v>
      </c>
      <c r="Q105" s="758">
        <v>0</v>
      </c>
      <c r="R105" s="758">
        <v>0</v>
      </c>
      <c r="S105" s="758">
        <v>0</v>
      </c>
      <c r="T105" s="758">
        <v>0</v>
      </c>
      <c r="U105" s="758">
        <v>0</v>
      </c>
      <c r="V105" s="758">
        <v>0</v>
      </c>
      <c r="W105" s="758">
        <v>0</v>
      </c>
      <c r="X105" s="758">
        <v>0</v>
      </c>
      <c r="Y105" s="758">
        <v>0</v>
      </c>
      <c r="Z105" s="758">
        <v>0</v>
      </c>
      <c r="AA105" s="758">
        <v>0</v>
      </c>
      <c r="AB105" s="758">
        <v>0</v>
      </c>
      <c r="AC105" s="758">
        <v>0</v>
      </c>
      <c r="AD105" s="758">
        <v>0</v>
      </c>
      <c r="AE105" s="758">
        <v>0</v>
      </c>
      <c r="AF105" s="29"/>
      <c r="AG105" s="706"/>
    </row>
    <row r="106" spans="1:33" ht="18.75" x14ac:dyDescent="0.3">
      <c r="A106" s="18" t="s">
        <v>31</v>
      </c>
      <c r="B106" s="757">
        <f>B107</f>
        <v>0</v>
      </c>
      <c r="C106" s="757">
        <f t="shared" ref="C106:E107" si="44">C107</f>
        <v>0</v>
      </c>
      <c r="D106" s="757">
        <f t="shared" si="44"/>
        <v>0</v>
      </c>
      <c r="E106" s="757">
        <f t="shared" si="44"/>
        <v>0</v>
      </c>
      <c r="F106" s="32" t="e">
        <f>E106/B106*100</f>
        <v>#DIV/0!</v>
      </c>
      <c r="G106" s="47" t="e">
        <f>E106/C106*100</f>
        <v>#DIV/0!</v>
      </c>
      <c r="H106" s="758">
        <v>0</v>
      </c>
      <c r="I106" s="758">
        <v>0</v>
      </c>
      <c r="J106" s="758">
        <v>0</v>
      </c>
      <c r="K106" s="758">
        <v>0</v>
      </c>
      <c r="L106" s="758">
        <v>0</v>
      </c>
      <c r="M106" s="758">
        <v>0</v>
      </c>
      <c r="N106" s="758">
        <v>0</v>
      </c>
      <c r="O106" s="758">
        <v>0</v>
      </c>
      <c r="P106" s="758">
        <v>0</v>
      </c>
      <c r="Q106" s="758">
        <v>0</v>
      </c>
      <c r="R106" s="758">
        <v>0</v>
      </c>
      <c r="S106" s="758">
        <v>0</v>
      </c>
      <c r="T106" s="758">
        <v>0</v>
      </c>
      <c r="U106" s="758">
        <v>0</v>
      </c>
      <c r="V106" s="758">
        <v>0</v>
      </c>
      <c r="W106" s="758">
        <v>0</v>
      </c>
      <c r="X106" s="758">
        <v>0</v>
      </c>
      <c r="Y106" s="758">
        <v>0</v>
      </c>
      <c r="Z106" s="758">
        <v>0</v>
      </c>
      <c r="AA106" s="758">
        <v>0</v>
      </c>
      <c r="AB106" s="758">
        <v>0</v>
      </c>
      <c r="AC106" s="758">
        <v>0</v>
      </c>
      <c r="AD106" s="758">
        <v>0</v>
      </c>
      <c r="AE106" s="758">
        <v>0</v>
      </c>
      <c r="AF106" s="29"/>
      <c r="AG106" s="706"/>
    </row>
    <row r="107" spans="1:33" s="648" customFormat="1" ht="18.75" x14ac:dyDescent="0.3">
      <c r="A107" s="756" t="s">
        <v>33</v>
      </c>
      <c r="B107" s="757">
        <f>B108</f>
        <v>0</v>
      </c>
      <c r="C107" s="757">
        <f t="shared" si="44"/>
        <v>0</v>
      </c>
      <c r="D107" s="757">
        <f t="shared" si="44"/>
        <v>0</v>
      </c>
      <c r="E107" s="757">
        <f t="shared" si="44"/>
        <v>0</v>
      </c>
      <c r="F107" s="32" t="e">
        <f>E107/B107*100</f>
        <v>#DIV/0!</v>
      </c>
      <c r="G107" s="47" t="e">
        <f>E107/C107*100</f>
        <v>#DIV/0!</v>
      </c>
      <c r="H107" s="758">
        <v>0</v>
      </c>
      <c r="I107" s="758">
        <v>0</v>
      </c>
      <c r="J107" s="758">
        <v>0</v>
      </c>
      <c r="K107" s="758">
        <v>0</v>
      </c>
      <c r="L107" s="758">
        <v>0</v>
      </c>
      <c r="M107" s="758">
        <v>0</v>
      </c>
      <c r="N107" s="758">
        <v>0</v>
      </c>
      <c r="O107" s="758">
        <v>0</v>
      </c>
      <c r="P107" s="758">
        <v>0</v>
      </c>
      <c r="Q107" s="758">
        <v>0</v>
      </c>
      <c r="R107" s="758">
        <v>0</v>
      </c>
      <c r="S107" s="758">
        <v>0</v>
      </c>
      <c r="T107" s="758">
        <v>0</v>
      </c>
      <c r="U107" s="758">
        <v>0</v>
      </c>
      <c r="V107" s="758">
        <v>0</v>
      </c>
      <c r="W107" s="758">
        <v>0</v>
      </c>
      <c r="X107" s="758">
        <v>0</v>
      </c>
      <c r="Y107" s="758">
        <v>0</v>
      </c>
      <c r="Z107" s="758">
        <v>0</v>
      </c>
      <c r="AA107" s="758">
        <v>0</v>
      </c>
      <c r="AB107" s="758">
        <v>0</v>
      </c>
      <c r="AC107" s="758">
        <v>0</v>
      </c>
      <c r="AD107" s="758">
        <v>0</v>
      </c>
      <c r="AE107" s="758">
        <v>0</v>
      </c>
      <c r="AF107" s="615"/>
      <c r="AG107" s="706"/>
    </row>
    <row r="108" spans="1:33" ht="18.75" x14ac:dyDescent="0.3">
      <c r="A108" s="56" t="s">
        <v>62</v>
      </c>
      <c r="B108" s="615"/>
      <c r="C108" s="615"/>
      <c r="D108" s="615"/>
      <c r="E108" s="615"/>
      <c r="F108" s="615"/>
      <c r="G108" s="615"/>
      <c r="H108" s="615"/>
      <c r="I108" s="47"/>
      <c r="J108" s="47"/>
      <c r="K108" s="47"/>
      <c r="L108" s="47"/>
      <c r="M108" s="47"/>
      <c r="N108" s="47"/>
      <c r="O108" s="615"/>
      <c r="P108" s="615"/>
      <c r="Q108" s="615"/>
      <c r="R108" s="615"/>
      <c r="S108" s="615"/>
      <c r="T108" s="615"/>
      <c r="U108" s="615"/>
      <c r="V108" s="615"/>
      <c r="W108" s="615"/>
      <c r="X108" s="615"/>
      <c r="Y108" s="615"/>
      <c r="Z108" s="615"/>
      <c r="AA108" s="615"/>
      <c r="AB108" s="615"/>
      <c r="AC108" s="615"/>
      <c r="AD108" s="615"/>
      <c r="AE108" s="615"/>
      <c r="AF108" s="29"/>
      <c r="AG108" s="706"/>
    </row>
    <row r="109" spans="1:33" ht="18.75" x14ac:dyDescent="0.3">
      <c r="A109" s="19" t="s">
        <v>31</v>
      </c>
      <c r="B109" s="757">
        <f>B110</f>
        <v>0</v>
      </c>
      <c r="C109" s="757">
        <f>C110</f>
        <v>0</v>
      </c>
      <c r="D109" s="757">
        <f>D110</f>
        <v>0</v>
      </c>
      <c r="E109" s="757">
        <f>E110</f>
        <v>0</v>
      </c>
      <c r="F109" s="32" t="e">
        <f>E109/B109*100</f>
        <v>#DIV/0!</v>
      </c>
      <c r="G109" s="47" t="e">
        <f>E109/C109*100</f>
        <v>#DIV/0!</v>
      </c>
      <c r="H109" s="757">
        <v>0</v>
      </c>
      <c r="I109" s="757">
        <v>0</v>
      </c>
      <c r="J109" s="757">
        <v>0</v>
      </c>
      <c r="K109" s="757">
        <v>0</v>
      </c>
      <c r="L109" s="757">
        <v>0</v>
      </c>
      <c r="M109" s="757">
        <v>0</v>
      </c>
      <c r="N109" s="757">
        <v>0</v>
      </c>
      <c r="O109" s="757">
        <v>0</v>
      </c>
      <c r="P109" s="757">
        <v>0</v>
      </c>
      <c r="Q109" s="757">
        <v>0</v>
      </c>
      <c r="R109" s="757">
        <v>0</v>
      </c>
      <c r="S109" s="757">
        <v>0</v>
      </c>
      <c r="T109" s="757">
        <v>0</v>
      </c>
      <c r="U109" s="757">
        <v>0</v>
      </c>
      <c r="V109" s="757">
        <v>0</v>
      </c>
      <c r="W109" s="757">
        <v>0</v>
      </c>
      <c r="X109" s="757">
        <v>0</v>
      </c>
      <c r="Y109" s="757">
        <v>0</v>
      </c>
      <c r="Z109" s="757">
        <v>0</v>
      </c>
      <c r="AA109" s="757">
        <v>0</v>
      </c>
      <c r="AB109" s="757">
        <v>0</v>
      </c>
      <c r="AC109" s="757">
        <v>0</v>
      </c>
      <c r="AD109" s="757">
        <v>0</v>
      </c>
      <c r="AE109" s="757">
        <v>0</v>
      </c>
      <c r="AF109" s="29"/>
      <c r="AG109" s="706"/>
    </row>
    <row r="110" spans="1:33" ht="18.75" x14ac:dyDescent="0.3">
      <c r="A110" s="15" t="s">
        <v>33</v>
      </c>
      <c r="B110" s="757">
        <f>B107</f>
        <v>0</v>
      </c>
      <c r="C110" s="757">
        <f>C107</f>
        <v>0</v>
      </c>
      <c r="D110" s="757">
        <f>D107</f>
        <v>0</v>
      </c>
      <c r="E110" s="757">
        <f>E107</f>
        <v>0</v>
      </c>
      <c r="F110" s="32" t="e">
        <f>E110/B110*100</f>
        <v>#DIV/0!</v>
      </c>
      <c r="G110" s="47" t="e">
        <f>E110/C110*100</f>
        <v>#DIV/0!</v>
      </c>
      <c r="H110" s="757">
        <v>0</v>
      </c>
      <c r="I110" s="757">
        <v>0</v>
      </c>
      <c r="J110" s="757">
        <v>0</v>
      </c>
      <c r="K110" s="757">
        <v>0</v>
      </c>
      <c r="L110" s="757">
        <v>0</v>
      </c>
      <c r="M110" s="757">
        <v>0</v>
      </c>
      <c r="N110" s="757">
        <v>0</v>
      </c>
      <c r="O110" s="757">
        <v>0</v>
      </c>
      <c r="P110" s="757">
        <v>0</v>
      </c>
      <c r="Q110" s="757">
        <v>0</v>
      </c>
      <c r="R110" s="757">
        <v>0</v>
      </c>
      <c r="S110" s="757">
        <v>0</v>
      </c>
      <c r="T110" s="757">
        <v>0</v>
      </c>
      <c r="U110" s="757">
        <v>0</v>
      </c>
      <c r="V110" s="757">
        <v>0</v>
      </c>
      <c r="W110" s="757">
        <v>0</v>
      </c>
      <c r="X110" s="757">
        <v>0</v>
      </c>
      <c r="Y110" s="757">
        <v>0</v>
      </c>
      <c r="Z110" s="757">
        <v>0</v>
      </c>
      <c r="AA110" s="757">
        <v>0</v>
      </c>
      <c r="AB110" s="757">
        <v>0</v>
      </c>
      <c r="AC110" s="757">
        <v>0</v>
      </c>
      <c r="AD110" s="757">
        <v>0</v>
      </c>
      <c r="AE110" s="757">
        <v>0</v>
      </c>
      <c r="AF110" s="29"/>
      <c r="AG110" s="706"/>
    </row>
    <row r="111" spans="1:33" ht="37.5" x14ac:dyDescent="0.3">
      <c r="A111" s="28" t="s">
        <v>76</v>
      </c>
      <c r="B111" s="615"/>
      <c r="C111" s="615"/>
      <c r="D111" s="615"/>
      <c r="E111" s="615"/>
      <c r="F111" s="615"/>
      <c r="G111" s="615"/>
      <c r="H111" s="615"/>
      <c r="I111" s="615"/>
      <c r="J111" s="615"/>
      <c r="K111" s="615"/>
      <c r="L111" s="615"/>
      <c r="M111" s="615"/>
      <c r="N111" s="615"/>
      <c r="O111" s="615"/>
      <c r="P111" s="615"/>
      <c r="Q111" s="615"/>
      <c r="R111" s="615"/>
      <c r="S111" s="615"/>
      <c r="T111" s="615"/>
      <c r="U111" s="615"/>
      <c r="V111" s="615"/>
      <c r="W111" s="615"/>
      <c r="X111" s="615"/>
      <c r="Y111" s="615"/>
      <c r="Z111" s="615"/>
      <c r="AA111" s="615"/>
      <c r="AB111" s="615"/>
      <c r="AC111" s="615"/>
      <c r="AD111" s="615"/>
      <c r="AE111" s="615"/>
      <c r="AF111" s="29"/>
      <c r="AG111" s="706"/>
    </row>
    <row r="112" spans="1:33" ht="18.75" x14ac:dyDescent="0.3">
      <c r="A112" s="8" t="s">
        <v>31</v>
      </c>
      <c r="B112" s="757">
        <f>B113</f>
        <v>0</v>
      </c>
      <c r="C112" s="757">
        <f>C113</f>
        <v>0</v>
      </c>
      <c r="D112" s="757">
        <f>D113</f>
        <v>0</v>
      </c>
      <c r="E112" s="757">
        <f>E113</f>
        <v>0</v>
      </c>
      <c r="F112" s="32" t="e">
        <f>E112/B112*100</f>
        <v>#DIV/0!</v>
      </c>
      <c r="G112" s="47" t="e">
        <f>E112/C112*100</f>
        <v>#DIV/0!</v>
      </c>
      <c r="H112" s="757">
        <v>0</v>
      </c>
      <c r="I112" s="757">
        <v>0</v>
      </c>
      <c r="J112" s="757">
        <v>0</v>
      </c>
      <c r="K112" s="757">
        <v>0</v>
      </c>
      <c r="L112" s="757">
        <v>0</v>
      </c>
      <c r="M112" s="757">
        <v>0</v>
      </c>
      <c r="N112" s="757">
        <v>0</v>
      </c>
      <c r="O112" s="757">
        <v>0</v>
      </c>
      <c r="P112" s="757">
        <v>0</v>
      </c>
      <c r="Q112" s="757">
        <v>0</v>
      </c>
      <c r="R112" s="757">
        <v>0</v>
      </c>
      <c r="S112" s="757">
        <v>0</v>
      </c>
      <c r="T112" s="757">
        <v>0</v>
      </c>
      <c r="U112" s="757">
        <v>0</v>
      </c>
      <c r="V112" s="757">
        <v>0</v>
      </c>
      <c r="W112" s="757">
        <v>0</v>
      </c>
      <c r="X112" s="757">
        <v>0</v>
      </c>
      <c r="Y112" s="757">
        <v>0</v>
      </c>
      <c r="Z112" s="757">
        <v>0</v>
      </c>
      <c r="AA112" s="757">
        <v>0</v>
      </c>
      <c r="AB112" s="757">
        <v>0</v>
      </c>
      <c r="AC112" s="757">
        <v>0</v>
      </c>
      <c r="AD112" s="757">
        <v>0</v>
      </c>
      <c r="AE112" s="757">
        <v>0</v>
      </c>
      <c r="AF112" s="29"/>
      <c r="AG112" s="706"/>
    </row>
    <row r="113" spans="1:33" ht="18.75" x14ac:dyDescent="0.3">
      <c r="A113" s="13" t="s">
        <v>33</v>
      </c>
      <c r="B113" s="757">
        <f>B110</f>
        <v>0</v>
      </c>
      <c r="C113" s="757">
        <f>C110</f>
        <v>0</v>
      </c>
      <c r="D113" s="757">
        <f>D110</f>
        <v>0</v>
      </c>
      <c r="E113" s="757">
        <f>E110</f>
        <v>0</v>
      </c>
      <c r="F113" s="32" t="e">
        <f>E113/B113*100</f>
        <v>#DIV/0!</v>
      </c>
      <c r="G113" s="47" t="e">
        <f>E113/C113*100</f>
        <v>#DIV/0!</v>
      </c>
      <c r="H113" s="757">
        <v>0</v>
      </c>
      <c r="I113" s="757">
        <v>0</v>
      </c>
      <c r="J113" s="757">
        <v>0</v>
      </c>
      <c r="K113" s="757">
        <v>0</v>
      </c>
      <c r="L113" s="757">
        <v>0</v>
      </c>
      <c r="M113" s="757">
        <v>0</v>
      </c>
      <c r="N113" s="757">
        <v>0</v>
      </c>
      <c r="O113" s="757">
        <v>0</v>
      </c>
      <c r="P113" s="757">
        <v>0</v>
      </c>
      <c r="Q113" s="757">
        <v>0</v>
      </c>
      <c r="R113" s="757">
        <v>0</v>
      </c>
      <c r="S113" s="757">
        <v>0</v>
      </c>
      <c r="T113" s="757">
        <v>0</v>
      </c>
      <c r="U113" s="757">
        <v>0</v>
      </c>
      <c r="V113" s="757">
        <v>0</v>
      </c>
      <c r="W113" s="757">
        <v>0</v>
      </c>
      <c r="X113" s="757">
        <v>0</v>
      </c>
      <c r="Y113" s="757">
        <v>0</v>
      </c>
      <c r="Z113" s="757">
        <v>0</v>
      </c>
      <c r="AA113" s="757">
        <v>0</v>
      </c>
      <c r="AB113" s="757">
        <v>0</v>
      </c>
      <c r="AC113" s="757">
        <v>0</v>
      </c>
      <c r="AD113" s="757">
        <v>0</v>
      </c>
      <c r="AE113" s="757">
        <v>0</v>
      </c>
      <c r="AF113" s="29"/>
      <c r="AG113" s="706"/>
    </row>
    <row r="114" spans="1:33" ht="112.5" x14ac:dyDescent="0.3">
      <c r="A114" s="50" t="s">
        <v>125</v>
      </c>
      <c r="B114" s="644"/>
      <c r="C114" s="644"/>
      <c r="D114" s="644"/>
      <c r="E114" s="644"/>
      <c r="F114" s="32"/>
      <c r="G114" s="47"/>
      <c r="H114" s="644"/>
      <c r="I114" s="644"/>
      <c r="J114" s="644"/>
      <c r="K114" s="644"/>
      <c r="L114" s="644"/>
      <c r="M114" s="644"/>
      <c r="N114" s="644"/>
      <c r="O114" s="644"/>
      <c r="P114" s="644"/>
      <c r="Q114" s="644"/>
      <c r="R114" s="644"/>
      <c r="S114" s="644"/>
      <c r="T114" s="644"/>
      <c r="U114" s="644"/>
      <c r="V114" s="644"/>
      <c r="W114" s="644"/>
      <c r="X114" s="644"/>
      <c r="Y114" s="644"/>
      <c r="Z114" s="644"/>
      <c r="AA114" s="644"/>
      <c r="AB114" s="644"/>
      <c r="AC114" s="644"/>
      <c r="AD114" s="644"/>
      <c r="AE114" s="644"/>
      <c r="AF114" s="29"/>
      <c r="AG114" s="706"/>
    </row>
    <row r="115" spans="1:33" ht="118.5" customHeight="1" x14ac:dyDescent="0.3">
      <c r="A115" s="50" t="s">
        <v>127</v>
      </c>
      <c r="B115" s="644"/>
      <c r="C115" s="644"/>
      <c r="D115" s="644"/>
      <c r="E115" s="644"/>
      <c r="F115" s="32"/>
      <c r="G115" s="47"/>
      <c r="H115" s="644"/>
      <c r="I115" s="644"/>
      <c r="J115" s="644"/>
      <c r="K115" s="644"/>
      <c r="L115" s="644"/>
      <c r="M115" s="644"/>
      <c r="N115" s="644"/>
      <c r="O115" s="644"/>
      <c r="P115" s="644"/>
      <c r="Q115" s="644"/>
      <c r="R115" s="644"/>
      <c r="S115" s="644"/>
      <c r="T115" s="644"/>
      <c r="U115" s="644"/>
      <c r="V115" s="644"/>
      <c r="W115" s="644"/>
      <c r="X115" s="644"/>
      <c r="Y115" s="644"/>
      <c r="Z115" s="644"/>
      <c r="AA115" s="644"/>
      <c r="AB115" s="644"/>
      <c r="AC115" s="644"/>
      <c r="AD115" s="644"/>
      <c r="AE115" s="644"/>
      <c r="AF115" s="775" t="s">
        <v>577</v>
      </c>
      <c r="AG115" s="706"/>
    </row>
    <row r="116" spans="1:33" ht="18.75" x14ac:dyDescent="0.3">
      <c r="A116" s="19" t="s">
        <v>31</v>
      </c>
      <c r="B116" s="32">
        <f>B117</f>
        <v>6616.1299999999992</v>
      </c>
      <c r="C116" s="32">
        <f>C117</f>
        <v>3600.39</v>
      </c>
      <c r="D116" s="32">
        <f>D117</f>
        <v>4037.7599999999998</v>
      </c>
      <c r="E116" s="32">
        <f>E117</f>
        <v>4037.7599999999998</v>
      </c>
      <c r="F116" s="32">
        <f>E116/B116*100</f>
        <v>61.029030566207133</v>
      </c>
      <c r="G116" s="47">
        <f>E116/C116*100</f>
        <v>112.14785064951296</v>
      </c>
      <c r="H116" s="32">
        <f>H117</f>
        <v>855.75</v>
      </c>
      <c r="I116" s="32">
        <f t="shared" ref="I116:AE116" si="45">I117</f>
        <v>541.91999999999996</v>
      </c>
      <c r="J116" s="32">
        <f t="shared" si="45"/>
        <v>534.54999999999995</v>
      </c>
      <c r="K116" s="32">
        <f t="shared" si="45"/>
        <v>628.73</v>
      </c>
      <c r="L116" s="32">
        <f t="shared" si="45"/>
        <v>429.83</v>
      </c>
      <c r="M116" s="32">
        <f t="shared" si="45"/>
        <v>402.57</v>
      </c>
      <c r="N116" s="32">
        <f t="shared" si="45"/>
        <v>611.53</v>
      </c>
      <c r="O116" s="32">
        <f t="shared" si="45"/>
        <v>439.83</v>
      </c>
      <c r="P116" s="32">
        <f t="shared" si="45"/>
        <v>583.14</v>
      </c>
      <c r="Q116" s="32">
        <f>Q117+Q118</f>
        <v>824.92000000000007</v>
      </c>
      <c r="R116" s="32">
        <f t="shared" si="45"/>
        <v>585.59</v>
      </c>
      <c r="S116" s="32">
        <f t="shared" si="45"/>
        <v>740.64</v>
      </c>
      <c r="T116" s="32">
        <f t="shared" si="45"/>
        <v>654.35</v>
      </c>
      <c r="U116" s="32">
        <f t="shared" si="45"/>
        <v>557.59</v>
      </c>
      <c r="V116" s="32">
        <f t="shared" si="45"/>
        <v>484.7</v>
      </c>
      <c r="W116" s="32">
        <f t="shared" si="45"/>
        <v>0</v>
      </c>
      <c r="X116" s="32">
        <f t="shared" si="45"/>
        <v>429.82</v>
      </c>
      <c r="Y116" s="32">
        <f t="shared" si="45"/>
        <v>0</v>
      </c>
      <c r="Z116" s="32">
        <f t="shared" si="45"/>
        <v>611.53</v>
      </c>
      <c r="AA116" s="32">
        <f t="shared" si="45"/>
        <v>0</v>
      </c>
      <c r="AB116" s="32">
        <f t="shared" si="45"/>
        <v>484.7</v>
      </c>
      <c r="AC116" s="32">
        <f t="shared" si="45"/>
        <v>0</v>
      </c>
      <c r="AD116" s="32">
        <f t="shared" si="45"/>
        <v>350.64</v>
      </c>
      <c r="AE116" s="32">
        <f t="shared" si="45"/>
        <v>0</v>
      </c>
      <c r="AF116" s="29"/>
      <c r="AG116" s="706"/>
    </row>
    <row r="117" spans="1:33" ht="18.75" x14ac:dyDescent="0.3">
      <c r="A117" s="15" t="s">
        <v>33</v>
      </c>
      <c r="B117" s="32">
        <f>H117+J117+L117+N117+P117+R117+T117+V117+X117+Z117+AB117+AD117</f>
        <v>6616.1299999999992</v>
      </c>
      <c r="C117" s="32">
        <f>H117+J117+L117+N117+P117+R117</f>
        <v>3600.39</v>
      </c>
      <c r="D117" s="32">
        <f>E117</f>
        <v>4037.7599999999998</v>
      </c>
      <c r="E117" s="32">
        <f>I117+K117+M117+O117+Q117+S117+U117+W117+Y117+AA117+AC117+AE117</f>
        <v>4037.7599999999998</v>
      </c>
      <c r="F117" s="47">
        <f>D117/B117*100</f>
        <v>61.029030566207133</v>
      </c>
      <c r="G117" s="47">
        <f>E117/C117*100</f>
        <v>112.14785064951296</v>
      </c>
      <c r="H117" s="32">
        <v>855.75</v>
      </c>
      <c r="I117" s="644">
        <v>541.91999999999996</v>
      </c>
      <c r="J117" s="644">
        <v>534.54999999999995</v>
      </c>
      <c r="K117" s="644">
        <v>628.73</v>
      </c>
      <c r="L117" s="644">
        <v>429.83</v>
      </c>
      <c r="M117" s="644">
        <v>402.57</v>
      </c>
      <c r="N117" s="644">
        <v>611.53</v>
      </c>
      <c r="O117" s="644">
        <v>439.83</v>
      </c>
      <c r="P117" s="644">
        <v>583.14</v>
      </c>
      <c r="Q117" s="644">
        <v>726.48</v>
      </c>
      <c r="R117" s="644">
        <v>585.59</v>
      </c>
      <c r="S117" s="644">
        <v>740.64</v>
      </c>
      <c r="T117" s="644">
        <v>654.35</v>
      </c>
      <c r="U117" s="644">
        <v>557.59</v>
      </c>
      <c r="V117" s="644">
        <v>484.7</v>
      </c>
      <c r="W117" s="644"/>
      <c r="X117" s="644">
        <v>429.82</v>
      </c>
      <c r="Y117" s="644"/>
      <c r="Z117" s="644">
        <v>611.53</v>
      </c>
      <c r="AA117" s="644"/>
      <c r="AB117" s="644">
        <v>484.7</v>
      </c>
      <c r="AC117" s="644"/>
      <c r="AD117" s="644">
        <v>350.64</v>
      </c>
      <c r="AE117" s="644"/>
      <c r="AF117" s="29"/>
      <c r="AG117" s="706"/>
    </row>
    <row r="118" spans="1:33" ht="18.75" x14ac:dyDescent="0.3">
      <c r="A118" s="15" t="s">
        <v>562</v>
      </c>
      <c r="B118" s="32"/>
      <c r="C118" s="32"/>
      <c r="D118" s="32"/>
      <c r="E118" s="32"/>
      <c r="F118" s="47"/>
      <c r="G118" s="47"/>
      <c r="H118" s="32"/>
      <c r="I118" s="644"/>
      <c r="J118" s="644"/>
      <c r="K118" s="644"/>
      <c r="L118" s="644"/>
      <c r="M118" s="644"/>
      <c r="N118" s="644"/>
      <c r="O118" s="644"/>
      <c r="P118" s="644"/>
      <c r="Q118" s="910">
        <v>98.44</v>
      </c>
      <c r="R118" s="644"/>
      <c r="S118" s="644"/>
      <c r="T118" s="644"/>
      <c r="U118" s="644"/>
      <c r="V118" s="644"/>
      <c r="W118" s="644"/>
      <c r="X118" s="644"/>
      <c r="Y118" s="644"/>
      <c r="Z118" s="644"/>
      <c r="AA118" s="644"/>
      <c r="AB118" s="644"/>
      <c r="AC118" s="644"/>
      <c r="AD118" s="644"/>
      <c r="AE118" s="644"/>
      <c r="AF118" s="909"/>
      <c r="AG118" s="706"/>
    </row>
    <row r="119" spans="1:33" ht="131.25" x14ac:dyDescent="0.3">
      <c r="A119" s="50" t="s">
        <v>128</v>
      </c>
      <c r="B119" s="644"/>
      <c r="C119" s="644"/>
      <c r="D119" s="644"/>
      <c r="E119" s="644"/>
      <c r="F119" s="32"/>
      <c r="G119" s="47"/>
      <c r="H119" s="644"/>
      <c r="I119" s="644"/>
      <c r="J119" s="644"/>
      <c r="K119" s="644"/>
      <c r="L119" s="644"/>
      <c r="M119" s="644"/>
      <c r="N119" s="644"/>
      <c r="O119" s="644"/>
      <c r="P119" s="644"/>
      <c r="Q119" s="644"/>
      <c r="R119" s="644"/>
      <c r="S119" s="644"/>
      <c r="T119" s="644"/>
      <c r="U119" s="644"/>
      <c r="V119" s="644"/>
      <c r="W119" s="644"/>
      <c r="X119" s="644"/>
      <c r="Y119" s="644"/>
      <c r="Z119" s="644"/>
      <c r="AA119" s="644"/>
      <c r="AB119" s="644"/>
      <c r="AC119" s="644"/>
      <c r="AD119" s="644"/>
      <c r="AE119" s="644"/>
      <c r="AF119" s="776" t="s">
        <v>578</v>
      </c>
      <c r="AG119" s="706"/>
    </row>
    <row r="120" spans="1:33" ht="18.75" x14ac:dyDescent="0.3">
      <c r="A120" s="19" t="s">
        <v>31</v>
      </c>
      <c r="B120" s="32">
        <f>B121</f>
        <v>10249.769999999999</v>
      </c>
      <c r="C120" s="32">
        <f>C121</f>
        <v>5630.079999999999</v>
      </c>
      <c r="D120" s="32">
        <f>D121</f>
        <v>5523.1099999999988</v>
      </c>
      <c r="E120" s="32">
        <f>E121</f>
        <v>5523.1099999999988</v>
      </c>
      <c r="F120" s="32">
        <f>E120/B120*100</f>
        <v>53.885209131521975</v>
      </c>
      <c r="G120" s="47">
        <f>E120/C120*100</f>
        <v>98.100026997840175</v>
      </c>
      <c r="H120" s="32">
        <f>H121</f>
        <v>1335.14</v>
      </c>
      <c r="I120" s="32">
        <f t="shared" ref="I120:AE120" si="46">I121</f>
        <v>647.77</v>
      </c>
      <c r="J120" s="32">
        <f t="shared" si="46"/>
        <v>999.81</v>
      </c>
      <c r="K120" s="32">
        <f t="shared" si="46"/>
        <v>935.9</v>
      </c>
      <c r="L120" s="32">
        <f t="shared" si="46"/>
        <v>657.75</v>
      </c>
      <c r="M120" s="32">
        <f t="shared" si="46"/>
        <v>655.78</v>
      </c>
      <c r="N120" s="32">
        <f t="shared" si="46"/>
        <v>1026.81</v>
      </c>
      <c r="O120" s="32">
        <f t="shared" si="46"/>
        <v>595.28</v>
      </c>
      <c r="P120" s="32">
        <f t="shared" si="46"/>
        <v>773.67</v>
      </c>
      <c r="Q120" s="32">
        <f t="shared" si="46"/>
        <v>940.87</v>
      </c>
      <c r="R120" s="32">
        <f t="shared" si="46"/>
        <v>836.9</v>
      </c>
      <c r="S120" s="32">
        <f t="shared" si="46"/>
        <v>979.28</v>
      </c>
      <c r="T120" s="32">
        <f t="shared" si="46"/>
        <v>1109.01</v>
      </c>
      <c r="U120" s="32">
        <f t="shared" si="46"/>
        <v>768.23</v>
      </c>
      <c r="V120" s="32">
        <f t="shared" si="46"/>
        <v>713.67</v>
      </c>
      <c r="W120" s="32">
        <f t="shared" si="46"/>
        <v>0</v>
      </c>
      <c r="X120" s="32">
        <f t="shared" si="46"/>
        <v>628.91999999999996</v>
      </c>
      <c r="Y120" s="32">
        <f t="shared" si="46"/>
        <v>0</v>
      </c>
      <c r="Z120" s="32">
        <f t="shared" si="46"/>
        <v>976.45</v>
      </c>
      <c r="AA120" s="32">
        <f t="shared" si="46"/>
        <v>0</v>
      </c>
      <c r="AB120" s="32">
        <f t="shared" si="46"/>
        <v>713.68</v>
      </c>
      <c r="AC120" s="32">
        <f t="shared" si="46"/>
        <v>0</v>
      </c>
      <c r="AD120" s="32">
        <f t="shared" si="46"/>
        <v>477.96</v>
      </c>
      <c r="AE120" s="32">
        <f t="shared" si="46"/>
        <v>0</v>
      </c>
      <c r="AF120" s="915"/>
      <c r="AG120" s="706"/>
    </row>
    <row r="121" spans="1:33" ht="18.75" x14ac:dyDescent="0.3">
      <c r="A121" s="15" t="s">
        <v>97</v>
      </c>
      <c r="B121" s="32">
        <f>H121+J121+L121+N121+P121+R121+T121+V121+X121+Z121+AB121+AD121</f>
        <v>10249.769999999999</v>
      </c>
      <c r="C121" s="32">
        <f>H121+J121+L121+N121+P121+R121</f>
        <v>5630.079999999999</v>
      </c>
      <c r="D121" s="32">
        <f>E121</f>
        <v>5523.1099999999988</v>
      </c>
      <c r="E121" s="32">
        <f>I121+K121+M121+O121+Q121+S121+U121+W121+Y121+AA121+AC121+AE121</f>
        <v>5523.1099999999988</v>
      </c>
      <c r="F121" s="47">
        <f>D121/B121*100</f>
        <v>53.885209131521975</v>
      </c>
      <c r="G121" s="47">
        <f>E121/C121*100</f>
        <v>98.100026997840175</v>
      </c>
      <c r="H121" s="32">
        <v>1335.14</v>
      </c>
      <c r="I121" s="644">
        <v>647.77</v>
      </c>
      <c r="J121" s="644">
        <v>999.81</v>
      </c>
      <c r="K121" s="644">
        <v>935.9</v>
      </c>
      <c r="L121" s="644">
        <v>657.75</v>
      </c>
      <c r="M121" s="644">
        <v>655.78</v>
      </c>
      <c r="N121" s="644">
        <v>1026.81</v>
      </c>
      <c r="O121" s="644">
        <v>595.28</v>
      </c>
      <c r="P121" s="644">
        <v>773.67</v>
      </c>
      <c r="Q121" s="644">
        <v>940.87</v>
      </c>
      <c r="R121" s="644">
        <v>836.9</v>
      </c>
      <c r="S121" s="644">
        <v>979.28</v>
      </c>
      <c r="T121" s="644">
        <v>1109.01</v>
      </c>
      <c r="U121" s="644">
        <v>768.23</v>
      </c>
      <c r="V121" s="644">
        <v>713.67</v>
      </c>
      <c r="W121" s="644"/>
      <c r="X121" s="644">
        <v>628.91999999999996</v>
      </c>
      <c r="Y121" s="644"/>
      <c r="Z121" s="644">
        <v>976.45</v>
      </c>
      <c r="AA121" s="644"/>
      <c r="AB121" s="644">
        <v>713.68</v>
      </c>
      <c r="AC121" s="644"/>
      <c r="AD121" s="644">
        <v>477.96</v>
      </c>
      <c r="AE121" s="644"/>
      <c r="AF121" s="915"/>
      <c r="AG121" s="706"/>
    </row>
    <row r="122" spans="1:33" ht="18.75" x14ac:dyDescent="0.3">
      <c r="A122" s="56" t="s">
        <v>85</v>
      </c>
      <c r="B122" s="644"/>
      <c r="C122" s="644"/>
      <c r="D122" s="644"/>
      <c r="E122" s="644"/>
      <c r="F122" s="32"/>
      <c r="G122" s="47"/>
      <c r="H122" s="644"/>
      <c r="I122" s="644"/>
      <c r="J122" s="644"/>
      <c r="K122" s="644"/>
      <c r="L122" s="644"/>
      <c r="M122" s="644"/>
      <c r="N122" s="644"/>
      <c r="O122" s="644"/>
      <c r="P122" s="644"/>
      <c r="Q122" s="644"/>
      <c r="R122" s="644"/>
      <c r="S122" s="644"/>
      <c r="T122" s="644"/>
      <c r="U122" s="644"/>
      <c r="V122" s="644"/>
      <c r="W122" s="644"/>
      <c r="X122" s="644"/>
      <c r="Y122" s="644"/>
      <c r="Z122" s="644"/>
      <c r="AA122" s="644"/>
      <c r="AB122" s="644"/>
      <c r="AC122" s="644"/>
      <c r="AD122" s="644"/>
      <c r="AE122" s="644"/>
      <c r="AF122" s="915"/>
      <c r="AG122" s="706"/>
    </row>
    <row r="123" spans="1:33" ht="18.75" x14ac:dyDescent="0.3">
      <c r="A123" s="19" t="s">
        <v>31</v>
      </c>
      <c r="B123" s="644">
        <f>B124+B125</f>
        <v>16865.899999999998</v>
      </c>
      <c r="C123" s="644">
        <f>C124+C125</f>
        <v>9230.4699999999993</v>
      </c>
      <c r="D123" s="644">
        <f>D124+D125</f>
        <v>9560.869999999999</v>
      </c>
      <c r="E123" s="644">
        <f>E124+E125</f>
        <v>9560.869999999999</v>
      </c>
      <c r="F123" s="32">
        <f>E123/B123*100</f>
        <v>56.687576708032182</v>
      </c>
      <c r="G123" s="47">
        <f>E123/C123*100</f>
        <v>103.57944936715032</v>
      </c>
      <c r="H123" s="644">
        <f>H124+H125</f>
        <v>2190.8900000000003</v>
      </c>
      <c r="I123" s="644">
        <f t="shared" ref="I123:AE123" si="47">I124+I125</f>
        <v>1189.69</v>
      </c>
      <c r="J123" s="644">
        <f t="shared" si="47"/>
        <v>1534.36</v>
      </c>
      <c r="K123" s="644">
        <f t="shared" si="47"/>
        <v>1564.63</v>
      </c>
      <c r="L123" s="644">
        <f t="shared" si="47"/>
        <v>1087.58</v>
      </c>
      <c r="M123" s="644">
        <f t="shared" si="47"/>
        <v>1058.3499999999999</v>
      </c>
      <c r="N123" s="644">
        <f t="shared" si="47"/>
        <v>1638.34</v>
      </c>
      <c r="O123" s="644">
        <f t="shared" si="47"/>
        <v>1035.1099999999999</v>
      </c>
      <c r="P123" s="644">
        <f t="shared" si="47"/>
        <v>1356.81</v>
      </c>
      <c r="Q123" s="644">
        <f t="shared" si="47"/>
        <v>1667.35</v>
      </c>
      <c r="R123" s="644">
        <f t="shared" si="47"/>
        <v>1422.49</v>
      </c>
      <c r="S123" s="644">
        <f t="shared" si="47"/>
        <v>1719.92</v>
      </c>
      <c r="T123" s="644">
        <f t="shared" si="47"/>
        <v>1763.3600000000001</v>
      </c>
      <c r="U123" s="644">
        <f t="shared" si="47"/>
        <v>1325.8200000000002</v>
      </c>
      <c r="V123" s="644">
        <f t="shared" si="47"/>
        <v>1198.3699999999999</v>
      </c>
      <c r="W123" s="644">
        <f t="shared" si="47"/>
        <v>0</v>
      </c>
      <c r="X123" s="644">
        <f t="shared" si="47"/>
        <v>1058.74</v>
      </c>
      <c r="Y123" s="644">
        <f t="shared" si="47"/>
        <v>0</v>
      </c>
      <c r="Z123" s="644">
        <f t="shared" si="47"/>
        <v>1587.98</v>
      </c>
      <c r="AA123" s="644">
        <f t="shared" si="47"/>
        <v>0</v>
      </c>
      <c r="AB123" s="644">
        <f t="shared" si="47"/>
        <v>1198.3799999999999</v>
      </c>
      <c r="AC123" s="644">
        <f t="shared" si="47"/>
        <v>0</v>
      </c>
      <c r="AD123" s="644">
        <f t="shared" si="47"/>
        <v>828.59999999999991</v>
      </c>
      <c r="AE123" s="644">
        <f t="shared" si="47"/>
        <v>0</v>
      </c>
      <c r="AF123" s="915"/>
      <c r="AG123" s="706"/>
    </row>
    <row r="124" spans="1:33" ht="18.75" x14ac:dyDescent="0.3">
      <c r="A124" s="15" t="s">
        <v>97</v>
      </c>
      <c r="B124" s="644">
        <f>B121</f>
        <v>10249.769999999999</v>
      </c>
      <c r="C124" s="644">
        <f>C121</f>
        <v>5630.079999999999</v>
      </c>
      <c r="D124" s="644">
        <f>D121</f>
        <v>5523.1099999999988</v>
      </c>
      <c r="E124" s="644">
        <f>E121</f>
        <v>5523.1099999999988</v>
      </c>
      <c r="F124" s="32"/>
      <c r="G124" s="47"/>
      <c r="H124" s="644">
        <f>H121</f>
        <v>1335.14</v>
      </c>
      <c r="I124" s="644">
        <f t="shared" ref="I124:AE124" si="48">I121</f>
        <v>647.77</v>
      </c>
      <c r="J124" s="644">
        <f t="shared" si="48"/>
        <v>999.81</v>
      </c>
      <c r="K124" s="644">
        <f t="shared" si="48"/>
        <v>935.9</v>
      </c>
      <c r="L124" s="644">
        <f t="shared" si="48"/>
        <v>657.75</v>
      </c>
      <c r="M124" s="644">
        <f t="shared" si="48"/>
        <v>655.78</v>
      </c>
      <c r="N124" s="644">
        <f t="shared" si="48"/>
        <v>1026.81</v>
      </c>
      <c r="O124" s="644">
        <f t="shared" si="48"/>
        <v>595.28</v>
      </c>
      <c r="P124" s="644">
        <f t="shared" si="48"/>
        <v>773.67</v>
      </c>
      <c r="Q124" s="644">
        <f t="shared" si="48"/>
        <v>940.87</v>
      </c>
      <c r="R124" s="644">
        <f t="shared" si="48"/>
        <v>836.9</v>
      </c>
      <c r="S124" s="644">
        <f t="shared" si="48"/>
        <v>979.28</v>
      </c>
      <c r="T124" s="644">
        <f t="shared" si="48"/>
        <v>1109.01</v>
      </c>
      <c r="U124" s="644">
        <f t="shared" si="48"/>
        <v>768.23</v>
      </c>
      <c r="V124" s="644">
        <f t="shared" si="48"/>
        <v>713.67</v>
      </c>
      <c r="W124" s="644">
        <f t="shared" si="48"/>
        <v>0</v>
      </c>
      <c r="X124" s="644">
        <f t="shared" si="48"/>
        <v>628.91999999999996</v>
      </c>
      <c r="Y124" s="644">
        <f t="shared" si="48"/>
        <v>0</v>
      </c>
      <c r="Z124" s="644">
        <f t="shared" si="48"/>
        <v>976.45</v>
      </c>
      <c r="AA124" s="644">
        <f t="shared" si="48"/>
        <v>0</v>
      </c>
      <c r="AB124" s="644">
        <f t="shared" si="48"/>
        <v>713.68</v>
      </c>
      <c r="AC124" s="644">
        <f t="shared" si="48"/>
        <v>0</v>
      </c>
      <c r="AD124" s="644">
        <f t="shared" si="48"/>
        <v>477.96</v>
      </c>
      <c r="AE124" s="644">
        <f t="shared" si="48"/>
        <v>0</v>
      </c>
      <c r="AF124" s="915"/>
      <c r="AG124" s="706"/>
    </row>
    <row r="125" spans="1:33" ht="18.75" x14ac:dyDescent="0.3">
      <c r="A125" s="15" t="s">
        <v>33</v>
      </c>
      <c r="B125" s="644">
        <f>B117</f>
        <v>6616.1299999999992</v>
      </c>
      <c r="C125" s="644">
        <f>C117</f>
        <v>3600.39</v>
      </c>
      <c r="D125" s="644">
        <f>D117</f>
        <v>4037.7599999999998</v>
      </c>
      <c r="E125" s="644">
        <f>E117</f>
        <v>4037.7599999999998</v>
      </c>
      <c r="F125" s="47">
        <f>D125/B125*100</f>
        <v>61.029030566207133</v>
      </c>
      <c r="G125" s="47">
        <f>E125/C125*100</f>
        <v>112.14785064951296</v>
      </c>
      <c r="H125" s="644">
        <f>H117</f>
        <v>855.75</v>
      </c>
      <c r="I125" s="644">
        <f t="shared" ref="I125:AE125" si="49">I117</f>
        <v>541.91999999999996</v>
      </c>
      <c r="J125" s="644">
        <f t="shared" si="49"/>
        <v>534.54999999999995</v>
      </c>
      <c r="K125" s="644">
        <f t="shared" si="49"/>
        <v>628.73</v>
      </c>
      <c r="L125" s="644">
        <f t="shared" si="49"/>
        <v>429.83</v>
      </c>
      <c r="M125" s="644">
        <f t="shared" si="49"/>
        <v>402.57</v>
      </c>
      <c r="N125" s="644">
        <f t="shared" si="49"/>
        <v>611.53</v>
      </c>
      <c r="O125" s="644">
        <f t="shared" si="49"/>
        <v>439.83</v>
      </c>
      <c r="P125" s="644">
        <f t="shared" si="49"/>
        <v>583.14</v>
      </c>
      <c r="Q125" s="644">
        <f t="shared" si="49"/>
        <v>726.48</v>
      </c>
      <c r="R125" s="644">
        <f t="shared" si="49"/>
        <v>585.59</v>
      </c>
      <c r="S125" s="644">
        <f t="shared" si="49"/>
        <v>740.64</v>
      </c>
      <c r="T125" s="644">
        <f t="shared" si="49"/>
        <v>654.35</v>
      </c>
      <c r="U125" s="644">
        <f t="shared" si="49"/>
        <v>557.59</v>
      </c>
      <c r="V125" s="644">
        <f t="shared" si="49"/>
        <v>484.7</v>
      </c>
      <c r="W125" s="644">
        <f t="shared" si="49"/>
        <v>0</v>
      </c>
      <c r="X125" s="644">
        <f t="shared" si="49"/>
        <v>429.82</v>
      </c>
      <c r="Y125" s="644">
        <f t="shared" si="49"/>
        <v>0</v>
      </c>
      <c r="Z125" s="644">
        <f t="shared" si="49"/>
        <v>611.53</v>
      </c>
      <c r="AA125" s="644">
        <f t="shared" si="49"/>
        <v>0</v>
      </c>
      <c r="AB125" s="644">
        <f t="shared" si="49"/>
        <v>484.7</v>
      </c>
      <c r="AC125" s="644">
        <f t="shared" si="49"/>
        <v>0</v>
      </c>
      <c r="AD125" s="644">
        <f t="shared" si="49"/>
        <v>350.64</v>
      </c>
      <c r="AE125" s="644">
        <f t="shared" si="49"/>
        <v>0</v>
      </c>
      <c r="AF125" s="29"/>
      <c r="AG125" s="706"/>
    </row>
    <row r="126" spans="1:33" ht="37.5" x14ac:dyDescent="0.3">
      <c r="A126" s="28" t="s">
        <v>92</v>
      </c>
      <c r="B126" s="644"/>
      <c r="C126" s="644"/>
      <c r="D126" s="644"/>
      <c r="E126" s="644"/>
      <c r="F126" s="32"/>
      <c r="G126" s="47"/>
      <c r="H126" s="644"/>
      <c r="I126" s="644"/>
      <c r="J126" s="644"/>
      <c r="K126" s="644"/>
      <c r="L126" s="644"/>
      <c r="M126" s="644"/>
      <c r="N126" s="644"/>
      <c r="O126" s="644"/>
      <c r="P126" s="644"/>
      <c r="Q126" s="644"/>
      <c r="R126" s="644"/>
      <c r="S126" s="644"/>
      <c r="T126" s="644"/>
      <c r="U126" s="644"/>
      <c r="V126" s="644"/>
      <c r="W126" s="644"/>
      <c r="X126" s="644"/>
      <c r="Y126" s="644"/>
      <c r="Z126" s="644"/>
      <c r="AA126" s="644"/>
      <c r="AB126" s="644"/>
      <c r="AC126" s="644"/>
      <c r="AD126" s="644"/>
      <c r="AE126" s="644"/>
      <c r="AF126" s="29"/>
      <c r="AG126" s="706"/>
    </row>
    <row r="127" spans="1:33" ht="18.75" x14ac:dyDescent="0.3">
      <c r="A127" s="8" t="s">
        <v>31</v>
      </c>
      <c r="B127" s="644">
        <f>B128+B129</f>
        <v>16865.899999999998</v>
      </c>
      <c r="C127" s="644">
        <f>C128+C129</f>
        <v>9230.4699999999993</v>
      </c>
      <c r="D127" s="644">
        <f>D128+D129</f>
        <v>9560.869999999999</v>
      </c>
      <c r="E127" s="644">
        <f>E128+E129</f>
        <v>9560.869999999999</v>
      </c>
      <c r="F127" s="32">
        <f>E127/B127*100</f>
        <v>56.687576708032182</v>
      </c>
      <c r="G127" s="47">
        <f>E127/C127*100</f>
        <v>103.57944936715032</v>
      </c>
      <c r="H127" s="644">
        <f>H128+H129</f>
        <v>2190.8900000000003</v>
      </c>
      <c r="I127" s="644">
        <f t="shared" ref="I127:AE127" si="50">I128+I129</f>
        <v>1189.69</v>
      </c>
      <c r="J127" s="644">
        <f t="shared" si="50"/>
        <v>1534.36</v>
      </c>
      <c r="K127" s="644">
        <f t="shared" si="50"/>
        <v>1564.63</v>
      </c>
      <c r="L127" s="644">
        <f t="shared" si="50"/>
        <v>1087.58</v>
      </c>
      <c r="M127" s="644">
        <f t="shared" si="50"/>
        <v>1058.3499999999999</v>
      </c>
      <c r="N127" s="644">
        <f t="shared" si="50"/>
        <v>1638.34</v>
      </c>
      <c r="O127" s="644">
        <f t="shared" si="50"/>
        <v>1035.1099999999999</v>
      </c>
      <c r="P127" s="644">
        <f t="shared" si="50"/>
        <v>1356.81</v>
      </c>
      <c r="Q127" s="644">
        <f t="shared" si="50"/>
        <v>1667.35</v>
      </c>
      <c r="R127" s="644">
        <f t="shared" si="50"/>
        <v>1422.49</v>
      </c>
      <c r="S127" s="644">
        <f t="shared" si="50"/>
        <v>1719.92</v>
      </c>
      <c r="T127" s="644">
        <f t="shared" si="50"/>
        <v>1763.3600000000001</v>
      </c>
      <c r="U127" s="644">
        <f t="shared" si="50"/>
        <v>1325.8200000000002</v>
      </c>
      <c r="V127" s="644">
        <f t="shared" si="50"/>
        <v>1198.3699999999999</v>
      </c>
      <c r="W127" s="644">
        <f t="shared" si="50"/>
        <v>0</v>
      </c>
      <c r="X127" s="644">
        <f t="shared" si="50"/>
        <v>1058.74</v>
      </c>
      <c r="Y127" s="644">
        <f t="shared" si="50"/>
        <v>0</v>
      </c>
      <c r="Z127" s="644">
        <f t="shared" si="50"/>
        <v>1587.98</v>
      </c>
      <c r="AA127" s="644">
        <f t="shared" si="50"/>
        <v>0</v>
      </c>
      <c r="AB127" s="644">
        <f t="shared" si="50"/>
        <v>1198.3799999999999</v>
      </c>
      <c r="AC127" s="644">
        <f t="shared" si="50"/>
        <v>0</v>
      </c>
      <c r="AD127" s="644">
        <f t="shared" si="50"/>
        <v>828.59999999999991</v>
      </c>
      <c r="AE127" s="644">
        <f t="shared" si="50"/>
        <v>0</v>
      </c>
      <c r="AF127" s="29"/>
      <c r="AG127" s="706"/>
    </row>
    <row r="128" spans="1:33" ht="18.75" x14ac:dyDescent="0.3">
      <c r="A128" s="15" t="s">
        <v>97</v>
      </c>
      <c r="B128" s="644">
        <f t="shared" ref="B128:E129" si="51">B124</f>
        <v>10249.769999999999</v>
      </c>
      <c r="C128" s="644">
        <f t="shared" si="51"/>
        <v>5630.079999999999</v>
      </c>
      <c r="D128" s="644">
        <f t="shared" si="51"/>
        <v>5523.1099999999988</v>
      </c>
      <c r="E128" s="644">
        <f t="shared" si="51"/>
        <v>5523.1099999999988</v>
      </c>
      <c r="F128" s="32"/>
      <c r="G128" s="47"/>
      <c r="H128" s="644">
        <f>H124</f>
        <v>1335.14</v>
      </c>
      <c r="I128" s="644">
        <f t="shared" ref="I128:AE128" si="52">I124</f>
        <v>647.77</v>
      </c>
      <c r="J128" s="644">
        <f t="shared" si="52"/>
        <v>999.81</v>
      </c>
      <c r="K128" s="644">
        <f t="shared" si="52"/>
        <v>935.9</v>
      </c>
      <c r="L128" s="644">
        <f t="shared" si="52"/>
        <v>657.75</v>
      </c>
      <c r="M128" s="644">
        <f t="shared" si="52"/>
        <v>655.78</v>
      </c>
      <c r="N128" s="644">
        <f t="shared" si="52"/>
        <v>1026.81</v>
      </c>
      <c r="O128" s="644">
        <f t="shared" si="52"/>
        <v>595.28</v>
      </c>
      <c r="P128" s="644">
        <f t="shared" si="52"/>
        <v>773.67</v>
      </c>
      <c r="Q128" s="644">
        <f t="shared" si="52"/>
        <v>940.87</v>
      </c>
      <c r="R128" s="644">
        <f t="shared" si="52"/>
        <v>836.9</v>
      </c>
      <c r="S128" s="644">
        <f t="shared" si="52"/>
        <v>979.28</v>
      </c>
      <c r="T128" s="644">
        <f t="shared" si="52"/>
        <v>1109.01</v>
      </c>
      <c r="U128" s="644">
        <f t="shared" si="52"/>
        <v>768.23</v>
      </c>
      <c r="V128" s="644">
        <f t="shared" si="52"/>
        <v>713.67</v>
      </c>
      <c r="W128" s="644">
        <f t="shared" si="52"/>
        <v>0</v>
      </c>
      <c r="X128" s="644">
        <f t="shared" si="52"/>
        <v>628.91999999999996</v>
      </c>
      <c r="Y128" s="644">
        <f t="shared" si="52"/>
        <v>0</v>
      </c>
      <c r="Z128" s="644">
        <f t="shared" si="52"/>
        <v>976.45</v>
      </c>
      <c r="AA128" s="644">
        <f t="shared" si="52"/>
        <v>0</v>
      </c>
      <c r="AB128" s="644">
        <f t="shared" si="52"/>
        <v>713.68</v>
      </c>
      <c r="AC128" s="644">
        <f t="shared" si="52"/>
        <v>0</v>
      </c>
      <c r="AD128" s="644">
        <f t="shared" si="52"/>
        <v>477.96</v>
      </c>
      <c r="AE128" s="644">
        <f t="shared" si="52"/>
        <v>0</v>
      </c>
      <c r="AF128" s="29"/>
      <c r="AG128" s="706"/>
    </row>
    <row r="129" spans="1:33" ht="18.75" x14ac:dyDescent="0.3">
      <c r="A129" s="13" t="s">
        <v>33</v>
      </c>
      <c r="B129" s="644">
        <f t="shared" si="51"/>
        <v>6616.1299999999992</v>
      </c>
      <c r="C129" s="644">
        <f t="shared" si="51"/>
        <v>3600.39</v>
      </c>
      <c r="D129" s="644">
        <f t="shared" si="51"/>
        <v>4037.7599999999998</v>
      </c>
      <c r="E129" s="644">
        <f t="shared" si="51"/>
        <v>4037.7599999999998</v>
      </c>
      <c r="F129" s="47">
        <f>D129/B129*100</f>
        <v>61.029030566207133</v>
      </c>
      <c r="G129" s="47">
        <f>E129/C129*100</f>
        <v>112.14785064951296</v>
      </c>
      <c r="H129" s="644">
        <f>H125</f>
        <v>855.75</v>
      </c>
      <c r="I129" s="644">
        <f t="shared" ref="I129:AE129" si="53">I125</f>
        <v>541.91999999999996</v>
      </c>
      <c r="J129" s="644">
        <f t="shared" si="53"/>
        <v>534.54999999999995</v>
      </c>
      <c r="K129" s="644">
        <f t="shared" si="53"/>
        <v>628.73</v>
      </c>
      <c r="L129" s="644">
        <f t="shared" si="53"/>
        <v>429.83</v>
      </c>
      <c r="M129" s="644">
        <f t="shared" si="53"/>
        <v>402.57</v>
      </c>
      <c r="N129" s="644">
        <f t="shared" si="53"/>
        <v>611.53</v>
      </c>
      <c r="O129" s="644">
        <f t="shared" si="53"/>
        <v>439.83</v>
      </c>
      <c r="P129" s="644">
        <f t="shared" si="53"/>
        <v>583.14</v>
      </c>
      <c r="Q129" s="644">
        <f t="shared" si="53"/>
        <v>726.48</v>
      </c>
      <c r="R129" s="644">
        <f t="shared" si="53"/>
        <v>585.59</v>
      </c>
      <c r="S129" s="644">
        <f t="shared" si="53"/>
        <v>740.64</v>
      </c>
      <c r="T129" s="644">
        <f t="shared" si="53"/>
        <v>654.35</v>
      </c>
      <c r="U129" s="644">
        <f t="shared" si="53"/>
        <v>557.59</v>
      </c>
      <c r="V129" s="644">
        <f t="shared" si="53"/>
        <v>484.7</v>
      </c>
      <c r="W129" s="644">
        <f t="shared" si="53"/>
        <v>0</v>
      </c>
      <c r="X129" s="644">
        <f t="shared" si="53"/>
        <v>429.82</v>
      </c>
      <c r="Y129" s="644">
        <f t="shared" si="53"/>
        <v>0</v>
      </c>
      <c r="Z129" s="644">
        <f t="shared" si="53"/>
        <v>611.53</v>
      </c>
      <c r="AA129" s="644">
        <f t="shared" si="53"/>
        <v>0</v>
      </c>
      <c r="AB129" s="644">
        <f t="shared" si="53"/>
        <v>484.7</v>
      </c>
      <c r="AC129" s="644">
        <f t="shared" si="53"/>
        <v>0</v>
      </c>
      <c r="AD129" s="644">
        <f t="shared" si="53"/>
        <v>350.64</v>
      </c>
      <c r="AE129" s="644">
        <f t="shared" si="53"/>
        <v>0</v>
      </c>
      <c r="AF129" s="29"/>
      <c r="AG129" s="706"/>
    </row>
    <row r="130" spans="1:33" ht="37.5" x14ac:dyDescent="0.3">
      <c r="A130" s="56" t="s">
        <v>63</v>
      </c>
      <c r="B130" s="644">
        <f>B52+B98+B123</f>
        <v>33205.019999999997</v>
      </c>
      <c r="C130" s="644">
        <f>C131+C132+C133</f>
        <v>17007.150000000001</v>
      </c>
      <c r="D130" s="644">
        <f>D131+D132+D133</f>
        <v>15208.449999999999</v>
      </c>
      <c r="E130" s="644">
        <f>I130+K130+M130+O130+Q130+S130+U130+W130+Y130+AA130+AC130+AE130</f>
        <v>17900.580000000002</v>
      </c>
      <c r="F130" s="32">
        <f>E130/B130*100</f>
        <v>53.909258298895779</v>
      </c>
      <c r="G130" s="47">
        <f>E130/C130*100</f>
        <v>105.25326112840776</v>
      </c>
      <c r="H130" s="644">
        <f>H131+H132+H133</f>
        <v>3567.17</v>
      </c>
      <c r="I130" s="644">
        <f t="shared" ref="I130:AE130" si="54">I131+I132+I133</f>
        <v>2287.75</v>
      </c>
      <c r="J130" s="644">
        <f t="shared" si="54"/>
        <v>2802.68</v>
      </c>
      <c r="K130" s="644">
        <f t="shared" si="54"/>
        <v>2834.8</v>
      </c>
      <c r="L130" s="644">
        <f t="shared" si="54"/>
        <v>2315.52</v>
      </c>
      <c r="M130" s="644">
        <f t="shared" si="54"/>
        <v>2027.49</v>
      </c>
      <c r="N130" s="644">
        <f t="shared" si="54"/>
        <v>3014.24</v>
      </c>
      <c r="O130" s="644">
        <f t="shared" si="54"/>
        <v>2111.66</v>
      </c>
      <c r="P130" s="644">
        <f t="shared" si="54"/>
        <v>2787.59</v>
      </c>
      <c r="Q130" s="644">
        <f t="shared" si="54"/>
        <v>3450.31</v>
      </c>
      <c r="R130" s="644">
        <f t="shared" si="54"/>
        <v>2553.08</v>
      </c>
      <c r="S130" s="644">
        <f t="shared" si="54"/>
        <v>2662.35</v>
      </c>
      <c r="T130" s="644">
        <f t="shared" si="54"/>
        <v>3158.89</v>
      </c>
      <c r="U130" s="644">
        <f t="shared" si="54"/>
        <v>2526.2200000000003</v>
      </c>
      <c r="V130" s="644">
        <f t="shared" si="54"/>
        <v>2221.94</v>
      </c>
      <c r="W130" s="644">
        <f t="shared" si="54"/>
        <v>0</v>
      </c>
      <c r="X130" s="644">
        <f t="shared" si="54"/>
        <v>2061.13</v>
      </c>
      <c r="Y130" s="644">
        <f t="shared" si="54"/>
        <v>0</v>
      </c>
      <c r="Z130" s="644">
        <f t="shared" si="54"/>
        <v>3723.87</v>
      </c>
      <c r="AA130" s="644">
        <f t="shared" si="54"/>
        <v>0</v>
      </c>
      <c r="AB130" s="644">
        <f t="shared" si="54"/>
        <v>2222.09</v>
      </c>
      <c r="AC130" s="644">
        <f t="shared" si="54"/>
        <v>0</v>
      </c>
      <c r="AD130" s="644">
        <f t="shared" si="54"/>
        <v>2451.02</v>
      </c>
      <c r="AE130" s="644">
        <f t="shared" si="54"/>
        <v>0</v>
      </c>
      <c r="AF130" s="29"/>
      <c r="AG130" s="706"/>
    </row>
    <row r="131" spans="1:33" ht="18.75" x14ac:dyDescent="0.3">
      <c r="A131" s="15" t="s">
        <v>102</v>
      </c>
      <c r="B131" s="644">
        <f>B59</f>
        <v>2.8</v>
      </c>
      <c r="C131" s="644">
        <f>C23</f>
        <v>2.8</v>
      </c>
      <c r="D131" s="644">
        <f>D23</f>
        <v>2.79</v>
      </c>
      <c r="E131" s="644">
        <f>E23</f>
        <v>2.79</v>
      </c>
      <c r="F131" s="32"/>
      <c r="G131" s="47"/>
      <c r="H131" s="644">
        <f t="shared" ref="H131:AE131" si="55">H23</f>
        <v>0</v>
      </c>
      <c r="I131" s="644">
        <f t="shared" si="55"/>
        <v>0</v>
      </c>
      <c r="J131" s="644">
        <f t="shared" si="55"/>
        <v>0</v>
      </c>
      <c r="K131" s="644">
        <f t="shared" si="55"/>
        <v>0</v>
      </c>
      <c r="L131" s="644">
        <f t="shared" si="55"/>
        <v>0</v>
      </c>
      <c r="M131" s="644">
        <f t="shared" si="55"/>
        <v>0</v>
      </c>
      <c r="N131" s="644">
        <f t="shared" si="55"/>
        <v>0</v>
      </c>
      <c r="O131" s="644">
        <f t="shared" si="55"/>
        <v>0</v>
      </c>
      <c r="P131" s="644">
        <f t="shared" si="55"/>
        <v>2.8</v>
      </c>
      <c r="Q131" s="644">
        <f t="shared" si="55"/>
        <v>2.79</v>
      </c>
      <c r="R131" s="644">
        <f t="shared" si="55"/>
        <v>0</v>
      </c>
      <c r="S131" s="644">
        <f t="shared" si="55"/>
        <v>0</v>
      </c>
      <c r="T131" s="644">
        <f t="shared" si="55"/>
        <v>0</v>
      </c>
      <c r="U131" s="644">
        <f t="shared" si="55"/>
        <v>0</v>
      </c>
      <c r="V131" s="644">
        <f t="shared" si="55"/>
        <v>0</v>
      </c>
      <c r="W131" s="644">
        <f t="shared" si="55"/>
        <v>0</v>
      </c>
      <c r="X131" s="644">
        <f t="shared" si="55"/>
        <v>0</v>
      </c>
      <c r="Y131" s="644">
        <f t="shared" si="55"/>
        <v>0</v>
      </c>
      <c r="Z131" s="644">
        <f t="shared" si="55"/>
        <v>0</v>
      </c>
      <c r="AA131" s="644">
        <f t="shared" si="55"/>
        <v>0</v>
      </c>
      <c r="AB131" s="644">
        <f t="shared" si="55"/>
        <v>0</v>
      </c>
      <c r="AC131" s="644">
        <f t="shared" si="55"/>
        <v>0</v>
      </c>
      <c r="AD131" s="644">
        <f t="shared" si="55"/>
        <v>0</v>
      </c>
      <c r="AE131" s="644">
        <f t="shared" si="55"/>
        <v>0</v>
      </c>
      <c r="AF131" s="29"/>
      <c r="AG131" s="706"/>
    </row>
    <row r="132" spans="1:33" ht="18.75" x14ac:dyDescent="0.3">
      <c r="A132" s="15" t="s">
        <v>97</v>
      </c>
      <c r="B132" s="644">
        <f>B54+B124</f>
        <v>13579.25</v>
      </c>
      <c r="C132" s="644">
        <f>C11+C19+C121</f>
        <v>6614.579999999999</v>
      </c>
      <c r="D132" s="644">
        <f>D11+D19+D121</f>
        <v>7752.4899999999989</v>
      </c>
      <c r="E132" s="644">
        <f>I132+K132+M132+O132+Q132+S132+U132+W132+Y132+AA132+AC132</f>
        <v>7752.49</v>
      </c>
      <c r="F132" s="32"/>
      <c r="G132" s="47"/>
      <c r="H132" s="644">
        <f>H54+H124</f>
        <v>1678.91</v>
      </c>
      <c r="I132" s="644">
        <f t="shared" ref="I132:AE132" si="56">I11+I19+I121</f>
        <v>896.48</v>
      </c>
      <c r="J132" s="644">
        <f t="shared" si="56"/>
        <v>1216.48</v>
      </c>
      <c r="K132" s="644">
        <f t="shared" si="56"/>
        <v>1187.53</v>
      </c>
      <c r="L132" s="644">
        <f t="shared" si="56"/>
        <v>1043.74</v>
      </c>
      <c r="M132" s="644">
        <f t="shared" si="56"/>
        <v>974.46</v>
      </c>
      <c r="N132" s="644">
        <f t="shared" si="56"/>
        <v>1378.87</v>
      </c>
      <c r="O132" s="644">
        <f t="shared" si="56"/>
        <v>904.14</v>
      </c>
      <c r="P132" s="644">
        <f t="shared" si="56"/>
        <v>1079.8899999999999</v>
      </c>
      <c r="Q132" s="644">
        <f t="shared" si="56"/>
        <v>1204.04</v>
      </c>
      <c r="R132" s="644">
        <f t="shared" si="56"/>
        <v>1115.3599999999999</v>
      </c>
      <c r="S132" s="644">
        <f t="shared" si="56"/>
        <v>1267.42</v>
      </c>
      <c r="T132" s="644">
        <f t="shared" si="56"/>
        <v>1529.27</v>
      </c>
      <c r="U132" s="644">
        <f t="shared" si="56"/>
        <v>1318.42</v>
      </c>
      <c r="V132" s="644">
        <f t="shared" si="56"/>
        <v>885.27</v>
      </c>
      <c r="W132" s="644">
        <f t="shared" si="56"/>
        <v>0</v>
      </c>
      <c r="X132" s="644">
        <f t="shared" si="56"/>
        <v>779.18</v>
      </c>
      <c r="Y132" s="644">
        <f t="shared" si="56"/>
        <v>0</v>
      </c>
      <c r="Z132" s="644">
        <f t="shared" si="56"/>
        <v>1245.1300000000001</v>
      </c>
      <c r="AA132" s="644">
        <f t="shared" si="56"/>
        <v>0</v>
      </c>
      <c r="AB132" s="644">
        <f t="shared" si="56"/>
        <v>885.29</v>
      </c>
      <c r="AC132" s="644">
        <f t="shared" si="56"/>
        <v>0</v>
      </c>
      <c r="AD132" s="644">
        <f t="shared" si="56"/>
        <v>741.86</v>
      </c>
      <c r="AE132" s="644">
        <f t="shared" si="56"/>
        <v>0</v>
      </c>
      <c r="AF132" s="29"/>
      <c r="AG132" s="706"/>
    </row>
    <row r="133" spans="1:33" ht="18.75" x14ac:dyDescent="0.3">
      <c r="A133" s="15" t="s">
        <v>33</v>
      </c>
      <c r="B133" s="644">
        <f>B55+B99+B125</f>
        <v>19622.97</v>
      </c>
      <c r="C133" s="644">
        <f>C12+C16+C20+C26+C41+C66+C72+C78+C107+C117</f>
        <v>10389.77</v>
      </c>
      <c r="D133" s="644">
        <f>D12+D16+D20+D26+D41+D66+D72+D78+D107+D117</f>
        <v>7453.17</v>
      </c>
      <c r="E133" s="644">
        <f>I133+K133+M133+O133+Q133+S133+U133+W133+Y133+AA133+AC133+AE133</f>
        <v>10145.299999999999</v>
      </c>
      <c r="F133" s="32">
        <f>E133/B133*100</f>
        <v>51.70114411834701</v>
      </c>
      <c r="G133" s="47">
        <f>E133/C133*100</f>
        <v>97.647012397772031</v>
      </c>
      <c r="H133" s="644">
        <f>H55+H125</f>
        <v>1888.26</v>
      </c>
      <c r="I133" s="644">
        <f>I55+I99+I125</f>
        <v>1391.27</v>
      </c>
      <c r="J133" s="644">
        <f>J55+J102+J125</f>
        <v>1586.1999999999998</v>
      </c>
      <c r="K133" s="644">
        <f t="shared" ref="K133:AE133" si="57">K55+K99+K125</f>
        <v>1647.27</v>
      </c>
      <c r="L133" s="644">
        <f t="shared" si="57"/>
        <v>1271.78</v>
      </c>
      <c r="M133" s="644">
        <f t="shared" si="57"/>
        <v>1053.03</v>
      </c>
      <c r="N133" s="644">
        <f t="shared" si="57"/>
        <v>1635.37</v>
      </c>
      <c r="O133" s="644">
        <f t="shared" si="57"/>
        <v>1207.52</v>
      </c>
      <c r="P133" s="644">
        <f t="shared" si="57"/>
        <v>1704.9</v>
      </c>
      <c r="Q133" s="644">
        <f t="shared" si="57"/>
        <v>2243.48</v>
      </c>
      <c r="R133" s="644">
        <f t="shared" si="57"/>
        <v>1437.72</v>
      </c>
      <c r="S133" s="644">
        <f t="shared" si="57"/>
        <v>1394.9299999999998</v>
      </c>
      <c r="T133" s="644">
        <f t="shared" si="57"/>
        <v>1629.62</v>
      </c>
      <c r="U133" s="644">
        <f t="shared" si="57"/>
        <v>1207.8</v>
      </c>
      <c r="V133" s="644">
        <f t="shared" si="57"/>
        <v>1336.67</v>
      </c>
      <c r="W133" s="644">
        <f t="shared" si="57"/>
        <v>0</v>
      </c>
      <c r="X133" s="644">
        <f t="shared" si="57"/>
        <v>1281.95</v>
      </c>
      <c r="Y133" s="644">
        <f t="shared" si="57"/>
        <v>0</v>
      </c>
      <c r="Z133" s="644">
        <f t="shared" si="57"/>
        <v>2478.7399999999998</v>
      </c>
      <c r="AA133" s="644">
        <f t="shared" si="57"/>
        <v>0</v>
      </c>
      <c r="AB133" s="644">
        <f t="shared" si="57"/>
        <v>1336.8</v>
      </c>
      <c r="AC133" s="644">
        <f t="shared" si="57"/>
        <v>0</v>
      </c>
      <c r="AD133" s="644">
        <f t="shared" si="57"/>
        <v>1709.1599999999999</v>
      </c>
      <c r="AE133" s="644">
        <f t="shared" si="57"/>
        <v>0</v>
      </c>
      <c r="AF133" s="29"/>
      <c r="AG133" s="706"/>
    </row>
    <row r="134" spans="1:33" ht="37.5" x14ac:dyDescent="0.3">
      <c r="A134" s="74" t="s">
        <v>130</v>
      </c>
      <c r="B134" s="644">
        <f>K143+B56</f>
        <v>65.319999999999993</v>
      </c>
      <c r="C134" s="644">
        <f>C56</f>
        <v>32.659999999999997</v>
      </c>
      <c r="D134" s="644">
        <f>D56</f>
        <v>16.329999999999998</v>
      </c>
      <c r="E134" s="644">
        <f>E56</f>
        <v>16.329999999999998</v>
      </c>
      <c r="F134" s="32">
        <f>E134/B134*100</f>
        <v>25</v>
      </c>
      <c r="G134" s="47">
        <f>E134/C134*100</f>
        <v>50</v>
      </c>
      <c r="H134" s="644">
        <f t="shared" ref="H134:AE134" si="58">H56</f>
        <v>0</v>
      </c>
      <c r="I134" s="644">
        <f t="shared" si="58"/>
        <v>0</v>
      </c>
      <c r="J134" s="644">
        <f t="shared" si="58"/>
        <v>0</v>
      </c>
      <c r="K134" s="644">
        <f t="shared" si="58"/>
        <v>0</v>
      </c>
      <c r="L134" s="644">
        <f t="shared" si="58"/>
        <v>0</v>
      </c>
      <c r="M134" s="644">
        <f t="shared" si="58"/>
        <v>0</v>
      </c>
      <c r="N134" s="644">
        <f t="shared" si="58"/>
        <v>16.329999999999998</v>
      </c>
      <c r="O134" s="644">
        <f t="shared" si="58"/>
        <v>16.329999999999998</v>
      </c>
      <c r="P134" s="644">
        <f t="shared" si="58"/>
        <v>0</v>
      </c>
      <c r="Q134" s="644">
        <f t="shared" si="58"/>
        <v>0</v>
      </c>
      <c r="R134" s="644">
        <f t="shared" si="58"/>
        <v>0</v>
      </c>
      <c r="S134" s="644">
        <f t="shared" si="58"/>
        <v>0</v>
      </c>
      <c r="T134" s="644">
        <f t="shared" si="58"/>
        <v>16.329999999999998</v>
      </c>
      <c r="U134" s="644">
        <f t="shared" si="58"/>
        <v>0</v>
      </c>
      <c r="V134" s="644">
        <f t="shared" si="58"/>
        <v>0</v>
      </c>
      <c r="W134" s="644">
        <f t="shared" si="58"/>
        <v>0</v>
      </c>
      <c r="X134" s="644">
        <f t="shared" si="58"/>
        <v>0</v>
      </c>
      <c r="Y134" s="644">
        <f t="shared" si="58"/>
        <v>0</v>
      </c>
      <c r="Z134" s="644">
        <f t="shared" si="58"/>
        <v>16.329999999999998</v>
      </c>
      <c r="AA134" s="644">
        <f t="shared" si="58"/>
        <v>0</v>
      </c>
      <c r="AB134" s="644">
        <f t="shared" si="58"/>
        <v>0</v>
      </c>
      <c r="AC134" s="644">
        <f t="shared" si="58"/>
        <v>0</v>
      </c>
      <c r="AD134" s="644">
        <f t="shared" si="58"/>
        <v>16.329999999999998</v>
      </c>
      <c r="AE134" s="644">
        <f t="shared" si="58"/>
        <v>0</v>
      </c>
      <c r="AF134" s="29"/>
      <c r="AG134" s="706"/>
    </row>
    <row r="135" spans="1:33" ht="37.5" x14ac:dyDescent="0.3">
      <c r="A135" s="57" t="s">
        <v>64</v>
      </c>
      <c r="B135" s="644">
        <f>B136+B137+B138</f>
        <v>33205.020000000004</v>
      </c>
      <c r="C135" s="644">
        <f>C136+C137+C138</f>
        <v>17007.150000000001</v>
      </c>
      <c r="D135" s="644">
        <f>D136+D137+D138</f>
        <v>15208.449999999999</v>
      </c>
      <c r="E135" s="644">
        <f>E136+E137+E138</f>
        <v>17900.579999999998</v>
      </c>
      <c r="F135" s="32">
        <f>E135/B135*100</f>
        <v>53.909258298895757</v>
      </c>
      <c r="G135" s="47">
        <f>E135/C135*100</f>
        <v>105.25326112840774</v>
      </c>
      <c r="H135" s="644">
        <f>H136+H137+H138</f>
        <v>3567.17</v>
      </c>
      <c r="I135" s="644">
        <f t="shared" ref="I135:AE135" si="59">I136+I137+I138</f>
        <v>2287.75</v>
      </c>
      <c r="J135" s="644">
        <f t="shared" si="59"/>
        <v>2802.68</v>
      </c>
      <c r="K135" s="644">
        <f t="shared" si="59"/>
        <v>2834.8</v>
      </c>
      <c r="L135" s="644">
        <f t="shared" si="59"/>
        <v>2315.52</v>
      </c>
      <c r="M135" s="644">
        <f t="shared" si="59"/>
        <v>2027.49</v>
      </c>
      <c r="N135" s="644">
        <f t="shared" si="59"/>
        <v>3014.24</v>
      </c>
      <c r="O135" s="644">
        <f t="shared" si="59"/>
        <v>2111.66</v>
      </c>
      <c r="P135" s="644">
        <f t="shared" si="59"/>
        <v>2787.59</v>
      </c>
      <c r="Q135" s="644">
        <f t="shared" si="59"/>
        <v>3450.31</v>
      </c>
      <c r="R135" s="644">
        <f t="shared" si="59"/>
        <v>2553.08</v>
      </c>
      <c r="S135" s="644">
        <f t="shared" si="59"/>
        <v>2662.35</v>
      </c>
      <c r="T135" s="644">
        <f t="shared" si="59"/>
        <v>3158.89</v>
      </c>
      <c r="U135" s="644">
        <f t="shared" si="59"/>
        <v>2526.2200000000003</v>
      </c>
      <c r="V135" s="644">
        <f t="shared" si="59"/>
        <v>2221.94</v>
      </c>
      <c r="W135" s="644">
        <f t="shared" si="59"/>
        <v>0</v>
      </c>
      <c r="X135" s="644">
        <f t="shared" si="59"/>
        <v>2061.13</v>
      </c>
      <c r="Y135" s="644">
        <f t="shared" si="59"/>
        <v>0</v>
      </c>
      <c r="Z135" s="644">
        <f t="shared" si="59"/>
        <v>3723.87</v>
      </c>
      <c r="AA135" s="644">
        <f t="shared" si="59"/>
        <v>0</v>
      </c>
      <c r="AB135" s="644">
        <f t="shared" si="59"/>
        <v>2222.09</v>
      </c>
      <c r="AC135" s="644">
        <f t="shared" si="59"/>
        <v>0</v>
      </c>
      <c r="AD135" s="644">
        <f t="shared" si="59"/>
        <v>2451.02</v>
      </c>
      <c r="AE135" s="644">
        <f t="shared" si="59"/>
        <v>0</v>
      </c>
      <c r="AF135" s="29"/>
      <c r="AG135" s="706"/>
    </row>
    <row r="136" spans="1:33" ht="18.75" x14ac:dyDescent="0.3">
      <c r="A136" s="15" t="s">
        <v>102</v>
      </c>
      <c r="B136" s="644">
        <f t="shared" ref="B136:E139" si="60">B131</f>
        <v>2.8</v>
      </c>
      <c r="C136" s="644">
        <f t="shared" si="60"/>
        <v>2.8</v>
      </c>
      <c r="D136" s="644">
        <f t="shared" si="60"/>
        <v>2.79</v>
      </c>
      <c r="E136" s="644">
        <f t="shared" si="60"/>
        <v>2.79</v>
      </c>
      <c r="F136" s="32"/>
      <c r="G136" s="47"/>
      <c r="H136" s="644">
        <f>H131</f>
        <v>0</v>
      </c>
      <c r="I136" s="644">
        <f t="shared" ref="I136:AE136" si="61">I131</f>
        <v>0</v>
      </c>
      <c r="J136" s="644">
        <f t="shared" si="61"/>
        <v>0</v>
      </c>
      <c r="K136" s="644">
        <f t="shared" si="61"/>
        <v>0</v>
      </c>
      <c r="L136" s="644">
        <f t="shared" si="61"/>
        <v>0</v>
      </c>
      <c r="M136" s="644">
        <f t="shared" si="61"/>
        <v>0</v>
      </c>
      <c r="N136" s="644">
        <f t="shared" si="61"/>
        <v>0</v>
      </c>
      <c r="O136" s="644">
        <f t="shared" si="61"/>
        <v>0</v>
      </c>
      <c r="P136" s="644">
        <f t="shared" si="61"/>
        <v>2.8</v>
      </c>
      <c r="Q136" s="644">
        <f t="shared" si="61"/>
        <v>2.79</v>
      </c>
      <c r="R136" s="644">
        <f t="shared" si="61"/>
        <v>0</v>
      </c>
      <c r="S136" s="644">
        <f t="shared" si="61"/>
        <v>0</v>
      </c>
      <c r="T136" s="644">
        <f t="shared" si="61"/>
        <v>0</v>
      </c>
      <c r="U136" s="644">
        <f t="shared" si="61"/>
        <v>0</v>
      </c>
      <c r="V136" s="644">
        <f t="shared" si="61"/>
        <v>0</v>
      </c>
      <c r="W136" s="644">
        <f t="shared" si="61"/>
        <v>0</v>
      </c>
      <c r="X136" s="644">
        <f t="shared" si="61"/>
        <v>0</v>
      </c>
      <c r="Y136" s="644">
        <f t="shared" si="61"/>
        <v>0</v>
      </c>
      <c r="Z136" s="644">
        <f t="shared" si="61"/>
        <v>0</v>
      </c>
      <c r="AA136" s="644">
        <f t="shared" si="61"/>
        <v>0</v>
      </c>
      <c r="AB136" s="644">
        <f t="shared" si="61"/>
        <v>0</v>
      </c>
      <c r="AC136" s="644">
        <f t="shared" si="61"/>
        <v>0</v>
      </c>
      <c r="AD136" s="644">
        <f t="shared" si="61"/>
        <v>0</v>
      </c>
      <c r="AE136" s="644">
        <f t="shared" si="61"/>
        <v>0</v>
      </c>
      <c r="AF136" s="29"/>
      <c r="AG136" s="706"/>
    </row>
    <row r="137" spans="1:33" ht="18.75" x14ac:dyDescent="0.3">
      <c r="A137" s="15" t="s">
        <v>97</v>
      </c>
      <c r="B137" s="644">
        <f t="shared" si="60"/>
        <v>13579.25</v>
      </c>
      <c r="C137" s="644">
        <f t="shared" si="60"/>
        <v>6614.579999999999</v>
      </c>
      <c r="D137" s="644">
        <f t="shared" si="60"/>
        <v>7752.4899999999989</v>
      </c>
      <c r="E137" s="644">
        <f t="shared" si="60"/>
        <v>7752.49</v>
      </c>
      <c r="F137" s="32"/>
      <c r="G137" s="47"/>
      <c r="H137" s="644">
        <f>H132</f>
        <v>1678.91</v>
      </c>
      <c r="I137" s="644">
        <f t="shared" ref="I137:AE137" si="62">I132</f>
        <v>896.48</v>
      </c>
      <c r="J137" s="644">
        <f t="shared" si="62"/>
        <v>1216.48</v>
      </c>
      <c r="K137" s="644">
        <f t="shared" si="62"/>
        <v>1187.53</v>
      </c>
      <c r="L137" s="644">
        <f t="shared" si="62"/>
        <v>1043.74</v>
      </c>
      <c r="M137" s="644">
        <f t="shared" si="62"/>
        <v>974.46</v>
      </c>
      <c r="N137" s="644">
        <f t="shared" si="62"/>
        <v>1378.87</v>
      </c>
      <c r="O137" s="644">
        <f t="shared" si="62"/>
        <v>904.14</v>
      </c>
      <c r="P137" s="644">
        <f t="shared" si="62"/>
        <v>1079.8899999999999</v>
      </c>
      <c r="Q137" s="644">
        <f t="shared" si="62"/>
        <v>1204.04</v>
      </c>
      <c r="R137" s="644">
        <f t="shared" si="62"/>
        <v>1115.3599999999999</v>
      </c>
      <c r="S137" s="644">
        <f t="shared" si="62"/>
        <v>1267.42</v>
      </c>
      <c r="T137" s="644">
        <f t="shared" si="62"/>
        <v>1529.27</v>
      </c>
      <c r="U137" s="644">
        <f t="shared" si="62"/>
        <v>1318.42</v>
      </c>
      <c r="V137" s="644">
        <f t="shared" si="62"/>
        <v>885.27</v>
      </c>
      <c r="W137" s="644">
        <f t="shared" si="62"/>
        <v>0</v>
      </c>
      <c r="X137" s="644">
        <f t="shared" si="62"/>
        <v>779.18</v>
      </c>
      <c r="Y137" s="644">
        <f t="shared" si="62"/>
        <v>0</v>
      </c>
      <c r="Z137" s="644">
        <f t="shared" si="62"/>
        <v>1245.1300000000001</v>
      </c>
      <c r="AA137" s="644">
        <f t="shared" si="62"/>
        <v>0</v>
      </c>
      <c r="AB137" s="644">
        <f t="shared" si="62"/>
        <v>885.29</v>
      </c>
      <c r="AC137" s="644">
        <f t="shared" si="62"/>
        <v>0</v>
      </c>
      <c r="AD137" s="644">
        <f t="shared" si="62"/>
        <v>741.86</v>
      </c>
      <c r="AE137" s="644">
        <f t="shared" si="62"/>
        <v>0</v>
      </c>
      <c r="AF137" s="29"/>
      <c r="AG137" s="706"/>
    </row>
    <row r="138" spans="1:33" ht="18.75" x14ac:dyDescent="0.3">
      <c r="A138" s="15" t="s">
        <v>33</v>
      </c>
      <c r="B138" s="644">
        <f t="shared" si="60"/>
        <v>19622.97</v>
      </c>
      <c r="C138" s="644">
        <f t="shared" si="60"/>
        <v>10389.77</v>
      </c>
      <c r="D138" s="644">
        <f t="shared" si="60"/>
        <v>7453.17</v>
      </c>
      <c r="E138" s="644">
        <f t="shared" si="60"/>
        <v>10145.299999999999</v>
      </c>
      <c r="F138" s="32">
        <f>E138/B138*100</f>
        <v>51.70114411834701</v>
      </c>
      <c r="G138" s="47">
        <f>E138/C138*100</f>
        <v>97.647012397772031</v>
      </c>
      <c r="H138" s="644">
        <f>H133</f>
        <v>1888.26</v>
      </c>
      <c r="I138" s="644">
        <f t="shared" ref="I138:AE138" si="63">I133</f>
        <v>1391.27</v>
      </c>
      <c r="J138" s="644">
        <f t="shared" si="63"/>
        <v>1586.1999999999998</v>
      </c>
      <c r="K138" s="644">
        <f t="shared" si="63"/>
        <v>1647.27</v>
      </c>
      <c r="L138" s="644">
        <f t="shared" si="63"/>
        <v>1271.78</v>
      </c>
      <c r="M138" s="644">
        <f t="shared" si="63"/>
        <v>1053.03</v>
      </c>
      <c r="N138" s="644">
        <f t="shared" si="63"/>
        <v>1635.37</v>
      </c>
      <c r="O138" s="644">
        <f t="shared" si="63"/>
        <v>1207.52</v>
      </c>
      <c r="P138" s="644">
        <f t="shared" si="63"/>
        <v>1704.9</v>
      </c>
      <c r="Q138" s="644">
        <f t="shared" si="63"/>
        <v>2243.48</v>
      </c>
      <c r="R138" s="644">
        <f t="shared" si="63"/>
        <v>1437.72</v>
      </c>
      <c r="S138" s="644">
        <f t="shared" si="63"/>
        <v>1394.9299999999998</v>
      </c>
      <c r="T138" s="644">
        <f t="shared" si="63"/>
        <v>1629.62</v>
      </c>
      <c r="U138" s="644">
        <f t="shared" si="63"/>
        <v>1207.8</v>
      </c>
      <c r="V138" s="644">
        <f t="shared" si="63"/>
        <v>1336.67</v>
      </c>
      <c r="W138" s="644">
        <f t="shared" si="63"/>
        <v>0</v>
      </c>
      <c r="X138" s="644">
        <f t="shared" si="63"/>
        <v>1281.95</v>
      </c>
      <c r="Y138" s="644">
        <f t="shared" si="63"/>
        <v>0</v>
      </c>
      <c r="Z138" s="644">
        <f t="shared" si="63"/>
        <v>2478.7399999999998</v>
      </c>
      <c r="AA138" s="644">
        <f t="shared" si="63"/>
        <v>0</v>
      </c>
      <c r="AB138" s="644">
        <f t="shared" si="63"/>
        <v>1336.8</v>
      </c>
      <c r="AC138" s="644">
        <f t="shared" si="63"/>
        <v>0</v>
      </c>
      <c r="AD138" s="644">
        <f t="shared" si="63"/>
        <v>1709.1599999999999</v>
      </c>
      <c r="AE138" s="644">
        <f t="shared" si="63"/>
        <v>0</v>
      </c>
      <c r="AF138" s="29"/>
      <c r="AG138" s="706"/>
    </row>
    <row r="139" spans="1:33" ht="37.5" x14ac:dyDescent="0.3">
      <c r="A139" s="75" t="s">
        <v>130</v>
      </c>
      <c r="B139" s="41">
        <f t="shared" si="60"/>
        <v>65.319999999999993</v>
      </c>
      <c r="C139" s="41">
        <f t="shared" si="60"/>
        <v>32.659999999999997</v>
      </c>
      <c r="D139" s="41">
        <f t="shared" si="60"/>
        <v>16.329999999999998</v>
      </c>
      <c r="E139" s="41">
        <f t="shared" si="60"/>
        <v>16.329999999999998</v>
      </c>
      <c r="F139" s="32">
        <f>E139/B139*100</f>
        <v>25</v>
      </c>
      <c r="G139" s="47">
        <f>E139/C139*100</f>
        <v>50</v>
      </c>
      <c r="H139" s="41">
        <f>H134</f>
        <v>0</v>
      </c>
      <c r="I139" s="41">
        <f t="shared" ref="I139:AE139" si="64">I134</f>
        <v>0</v>
      </c>
      <c r="J139" s="41">
        <f t="shared" si="64"/>
        <v>0</v>
      </c>
      <c r="K139" s="41">
        <f t="shared" si="64"/>
        <v>0</v>
      </c>
      <c r="L139" s="41">
        <f t="shared" si="64"/>
        <v>0</v>
      </c>
      <c r="M139" s="41">
        <f t="shared" si="64"/>
        <v>0</v>
      </c>
      <c r="N139" s="41">
        <f t="shared" si="64"/>
        <v>16.329999999999998</v>
      </c>
      <c r="O139" s="41">
        <f t="shared" si="64"/>
        <v>16.329999999999998</v>
      </c>
      <c r="P139" s="41">
        <f t="shared" si="64"/>
        <v>0</v>
      </c>
      <c r="Q139" s="41">
        <f t="shared" si="64"/>
        <v>0</v>
      </c>
      <c r="R139" s="41">
        <f t="shared" si="64"/>
        <v>0</v>
      </c>
      <c r="S139" s="41">
        <f t="shared" si="64"/>
        <v>0</v>
      </c>
      <c r="T139" s="41">
        <f t="shared" si="64"/>
        <v>16.329999999999998</v>
      </c>
      <c r="U139" s="41">
        <f t="shared" si="64"/>
        <v>0</v>
      </c>
      <c r="V139" s="41">
        <f t="shared" si="64"/>
        <v>0</v>
      </c>
      <c r="W139" s="41">
        <f t="shared" si="64"/>
        <v>0</v>
      </c>
      <c r="X139" s="41">
        <f t="shared" si="64"/>
        <v>0</v>
      </c>
      <c r="Y139" s="41">
        <f t="shared" si="64"/>
        <v>0</v>
      </c>
      <c r="Z139" s="41">
        <f t="shared" si="64"/>
        <v>16.329999999999998</v>
      </c>
      <c r="AA139" s="41">
        <f t="shared" si="64"/>
        <v>0</v>
      </c>
      <c r="AB139" s="41">
        <f t="shared" si="64"/>
        <v>0</v>
      </c>
      <c r="AC139" s="41">
        <f t="shared" si="64"/>
        <v>0</v>
      </c>
      <c r="AD139" s="41">
        <f t="shared" si="64"/>
        <v>16.329999999999998</v>
      </c>
      <c r="AE139" s="41">
        <f t="shared" si="64"/>
        <v>0</v>
      </c>
      <c r="AF139" s="29"/>
      <c r="AG139" s="706"/>
    </row>
    <row r="140" spans="1:33" ht="19.5" x14ac:dyDescent="0.3">
      <c r="B140" s="754"/>
      <c r="C140" s="755"/>
      <c r="D140" s="755"/>
      <c r="E140" s="755"/>
    </row>
    <row r="141" spans="1:33" x14ac:dyDescent="0.25">
      <c r="B141" s="71"/>
      <c r="C141" s="71"/>
    </row>
    <row r="142" spans="1:33" x14ac:dyDescent="0.25">
      <c r="B142" s="71"/>
    </row>
    <row r="143" spans="1:33" ht="37.5" x14ac:dyDescent="0.3">
      <c r="A143" s="766" t="s">
        <v>71</v>
      </c>
      <c r="B143" s="767"/>
      <c r="C143" s="767"/>
      <c r="D143" s="768" t="s">
        <v>517</v>
      </c>
      <c r="E143" s="765"/>
    </row>
    <row r="144" spans="1:33" ht="18.75" x14ac:dyDescent="0.3">
      <c r="A144" s="766"/>
      <c r="B144" s="769" t="s">
        <v>68</v>
      </c>
      <c r="C144" s="769"/>
      <c r="D144" s="770"/>
    </row>
    <row r="145" spans="1:4" ht="56.25" x14ac:dyDescent="0.3">
      <c r="A145" s="771" t="s">
        <v>518</v>
      </c>
      <c r="B145" s="771"/>
      <c r="C145" s="771"/>
      <c r="D145" s="766"/>
    </row>
    <row r="146" spans="1:4" x14ac:dyDescent="0.25">
      <c r="A146" s="772"/>
      <c r="B146" s="773"/>
      <c r="C146" s="773"/>
      <c r="D146" s="773"/>
    </row>
  </sheetData>
  <customSheetViews>
    <customSheetView guid="{7C130984-112A-4861-AA43-E2940708E3DC}" scale="55" state="hidden">
      <pane xSplit="5" ySplit="6" topLeftCell="F118" activePane="bottomRight" state="frozen"/>
      <selection pane="bottomRight" activeCell="U122" sqref="U122"/>
      <pageMargins left="0.70866141732283472" right="0.70866141732283472" top="0.74803149606299213" bottom="0.74803149606299213" header="0.31496062992125984" footer="0.31496062992125984"/>
      <pageSetup paperSize="9" scale="55" orientation="landscape" r:id="rId1"/>
    </customSheetView>
    <customSheetView guid="{3C3F523F-5F34-4CF7-831E-F1ABC4278CEB}" scale="55">
      <pane xSplit="5" ySplit="6" topLeftCell="F118" activePane="bottomRight" state="frozen"/>
      <selection pane="bottomRight" activeCell="U122" sqref="U122"/>
      <pageMargins left="0.70866141732283472" right="0.70866141732283472" top="0.74803149606299213" bottom="0.74803149606299213" header="0.31496062992125984" footer="0.31496062992125984"/>
      <pageSetup paperSize="9" scale="55" orientation="landscape" r:id="rId2"/>
    </customSheetView>
    <customSheetView guid="{D01FA037-9AEC-4167-ADB8-2F327C01ECE6}" scale="55">
      <pane xSplit="5" ySplit="6" topLeftCell="L103" activePane="bottomRight" state="frozen"/>
      <selection pane="bottomRight" activeCell="U122" sqref="U122"/>
      <pageMargins left="0.70866141732283472" right="0.70866141732283472" top="0.74803149606299213" bottom="0.74803149606299213" header="0.31496062992125984" footer="0.31496062992125984"/>
      <pageSetup paperSize="9" scale="55" orientation="landscape" r:id="rId3"/>
    </customSheetView>
    <customSheetView guid="{602C8EDB-B9EF-4C85-B0D5-0558C3A0ABAB}"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4"/>
    </customSheetView>
    <customSheetView guid="{69DABE6F-6182-4403-A4A2-969F10F1C13A}"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5"/>
    </customSheetView>
    <customSheetView guid="{E508E171-4ED9-4B07-84DF-DA28C60E1969}"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6"/>
    </customSheetView>
    <customSheetView guid="{AC2D5927-4079-4C74-AF69-1BFAC505648F}" scale="55">
      <pane xSplit="5" ySplit="6" topLeftCell="F7" activePane="bottomRight" state="frozen"/>
      <selection pane="bottomRight" activeCell="N7" sqref="N7"/>
      <pageMargins left="0.70866141732283472" right="0.70866141732283472" top="0.74803149606299213" bottom="0.74803149606299213" header="0.31496062992125984" footer="0.31496062992125984"/>
      <pageSetup paperSize="9" scale="55" orientation="landscape" r:id="rId7"/>
    </customSheetView>
    <customSheetView guid="{442F2C94-DD1B-4A01-8694-513D4D6F3BD9}"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8"/>
    </customSheetView>
    <customSheetView guid="{CE1CCA00-200D-4EAA-9FBE-F8EE7C5F82FE}"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9"/>
    </customSheetView>
    <customSheetView guid="{4D0DFB57-2CBA-42F2-9A97-C453A6851FBA}" scale="55">
      <pane xSplit="5" ySplit="6" topLeftCell="F7" activePane="bottomRight" state="frozen"/>
      <selection pane="bottomRight" activeCell="G21" sqref="G21"/>
      <pageMargins left="0.70866141732283472" right="0.70866141732283472" top="0.74803149606299213" bottom="0.74803149606299213" header="0.31496062992125984" footer="0.31496062992125984"/>
      <pageSetup paperSize="9" scale="55" orientation="landscape" r:id="rId10"/>
    </customSheetView>
    <customSheetView guid="{85F4575B-DBC5-482A-9916-255D8F0BC94E}" scale="60">
      <pane xSplit="1" ySplit="6" topLeftCell="X103"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11"/>
    </customSheetView>
    <customSheetView guid="{B1BF08D1-D416-4B47-ADD0-4F59132DC9E8}" scale="60">
      <pane xSplit="1" ySplit="6" topLeftCell="J115" activePane="bottomRight" state="frozen"/>
      <selection pane="bottomRight" activeCell="AF115" sqref="AF115"/>
      <pageMargins left="0.70866141732283472" right="0.70866141732283472" top="0.74803149606299213" bottom="0.74803149606299213" header="0.31496062992125984" footer="0.31496062992125984"/>
      <pageSetup paperSize="9" scale="55" orientation="landscape" r:id="rId12"/>
    </customSheetView>
    <customSheetView guid="{BCD82A82-B724-4763-8580-D765356E09BA}" scale="60">
      <pane xSplit="1" ySplit="6" topLeftCell="B7" activePane="bottomRight" state="frozen"/>
      <selection pane="bottomRight" activeCell="A2" sqref="A2:AE2"/>
      <pageMargins left="0.7" right="0.7" top="0.75" bottom="0.75" header="0.3" footer="0.3"/>
      <pageSetup paperSize="9" orientation="portrait" r:id="rId13"/>
    </customSheetView>
    <customSheetView guid="{C236B307-BD63-48C4-A75F-B3F3717BF55C}" scale="60">
      <pane xSplit="1" ySplit="6" topLeftCell="B35" activePane="bottomRight" state="frozen"/>
      <selection pane="bottomRight" activeCell="G39" sqref="G39"/>
      <pageMargins left="0.7" right="0.7" top="0.75" bottom="0.75" header="0.3" footer="0.3"/>
      <pageSetup paperSize="9" orientation="portrait" r:id="rId14"/>
    </customSheetView>
    <customSheetView guid="{874882D1-E741-4CCA-BF0D-E72FA60B771D}" scale="60">
      <pane xSplit="1" ySplit="6" topLeftCell="B35" activePane="bottomRight" state="frozen"/>
      <selection pane="bottomRight" activeCell="G39" sqref="G39"/>
      <pageMargins left="0.7" right="0.7" top="0.75" bottom="0.75" header="0.3" footer="0.3"/>
      <pageSetup paperSize="9" orientation="portrait" r:id="rId15"/>
    </customSheetView>
    <customSheetView guid="{B82BA08A-1A30-4F4D-A478-74A6BD09EA97}" scale="60">
      <pane xSplit="1" ySplit="6" topLeftCell="B7" activePane="bottomRight" state="frozen"/>
      <selection pane="bottomRight" activeCell="G10" sqref="G10"/>
      <pageMargins left="0.7" right="0.7" top="0.75" bottom="0.75" header="0.3" footer="0.3"/>
      <pageSetup paperSize="9" orientation="portrait" r:id="rId16"/>
    </customSheetView>
    <customSheetView guid="{770624BF-07F3-44B6-94C3-4CC447CDD45C}" scale="60">
      <pane xSplit="1" ySplit="6" topLeftCell="B7" activePane="bottomRight" state="frozen"/>
      <selection pane="bottomRight" activeCell="G10" sqref="G10"/>
      <pageMargins left="0.7" right="0.7" top="0.75" bottom="0.75" header="0.3" footer="0.3"/>
      <pageSetup paperSize="9" orientation="portrait" r:id="rId17"/>
    </customSheetView>
    <customSheetView guid="{009B3074-D8EC-4952-BF50-43CD64449612}" scale="60">
      <pane xSplit="1" ySplit="6" topLeftCell="B7" activePane="bottomRight" state="frozen"/>
      <selection pane="bottomRight" activeCell="M17" sqref="M17"/>
      <pageMargins left="0.7" right="0.7" top="0.75" bottom="0.75" header="0.3" footer="0.3"/>
      <pageSetup paperSize="9" orientation="portrait" r:id="rId18"/>
    </customSheetView>
    <customSheetView guid="{F679EF4A-C5FD-4B86-B87B-D85968E0F2CA}"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19"/>
    </customSheetView>
    <customSheetView guid="{959E901C-5DDE-42EE-AE94-AB8976B5E00B}" scale="60">
      <pane xSplit="1" ySplit="6" topLeftCell="B7" activePane="bottomRight" state="frozen"/>
      <selection pane="bottomRight" activeCell="E144" sqref="E144"/>
      <pageMargins left="0.70866141732283472" right="0.70866141732283472" top="0.74803149606299213" bottom="0.74803149606299213" header="0.31496062992125984" footer="0.31496062992125984"/>
      <pageSetup paperSize="9" scale="55" orientation="landscape" r:id="rId20"/>
    </customSheetView>
    <customSheetView guid="{533DC55B-6AD4-4674-9488-685EF2039F3E}" scale="55">
      <pane xSplit="5" ySplit="6" topLeftCell="F55" activePane="bottomRight" state="frozen"/>
      <selection pane="bottomRight" activeCell="P13" sqref="P13"/>
      <pageMargins left="0.70866141732283472" right="0.70866141732283472" top="0.74803149606299213" bottom="0.74803149606299213" header="0.31496062992125984" footer="0.31496062992125984"/>
      <pageSetup paperSize="9" scale="55" orientation="landscape" r:id="rId21"/>
    </customSheetView>
    <customSheetView guid="{87218168-6C8E-4D5B-A5E5-DCCC26803AA3}" scale="55">
      <pane xSplit="5" ySplit="6" topLeftCell="F7" activePane="bottomRight" state="frozen"/>
      <selection pane="bottomRight" activeCell="G21" sqref="G21"/>
      <pageMargins left="0.70866141732283472" right="0.70866141732283472" top="0.74803149606299213" bottom="0.74803149606299213" header="0.31496062992125984" footer="0.31496062992125984"/>
      <pageSetup paperSize="9" scale="55" orientation="landscape" r:id="rId22"/>
    </customSheetView>
    <customSheetView guid="{DAA8A688-7558-4B5B-8DBD-E2629BD9E9A8}" scale="55">
      <pane xSplit="5" ySplit="6" topLeftCell="K112" activePane="bottomRight" state="frozen"/>
      <selection pane="bottomRight" activeCell="AF145" sqref="AF145"/>
      <pageMargins left="0.70866141732283472" right="0.70866141732283472" top="0.74803149606299213" bottom="0.74803149606299213" header="0.31496062992125984" footer="0.31496062992125984"/>
      <pageSetup paperSize="9" scale="55" orientation="landscape" r:id="rId23"/>
    </customSheetView>
    <customSheetView guid="{391AB76E-B386-49C1-800F-016A48AA1A46}" scale="55">
      <pane xSplit="5" ySplit="6" topLeftCell="F7" activePane="bottomRight" state="frozen"/>
      <selection pane="bottomRight" activeCell="N7" sqref="N7"/>
      <pageMargins left="0.70866141732283472" right="0.70866141732283472" top="0.74803149606299213" bottom="0.74803149606299213" header="0.31496062992125984" footer="0.31496062992125984"/>
      <pageSetup paperSize="9" scale="55" orientation="landscape" r:id="rId24"/>
    </customSheetView>
    <customSheetView guid="{09C3E205-981E-4A4E-BE89-8B7044192060}" scale="55">
      <pane xSplit="5" ySplit="6" topLeftCell="AC112" activePane="bottomRight" state="frozen"/>
      <selection pane="bottomRight" activeCell="AF119" sqref="AF119"/>
      <pageMargins left="0.70866141732283472" right="0.70866141732283472" top="0.74803149606299213" bottom="0.74803149606299213" header="0.31496062992125984" footer="0.31496062992125984"/>
      <pageSetup paperSize="9" scale="55" orientation="landscape" r:id="rId25"/>
    </customSheetView>
    <customSheetView guid="{84867370-1F3E-4368-AF79-FBCE46FFFE92}"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26"/>
    </customSheetView>
    <customSheetView guid="{0C2B9C2A-7B94-41EF-A2E6-F8AC9A67DE25}"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27"/>
    </customSheetView>
    <customSheetView guid="{CB4792DB-A624-4844-AEB6-A6ADA80946BB}"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28"/>
    </customSheetView>
    <customSheetView guid="{74870EE6-26B9-40F7-9DC9-260EF16D8959}"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29"/>
    </customSheetView>
    <customSheetView guid="{6A602CB8-B24C-4ED4-B378-B27354BE0A1A}" scale="55">
      <pane xSplit="5" ySplit="6"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30"/>
    </customSheetView>
    <customSheetView guid="{4F41B9CC-959D-442C-80B0-1F0DB2C76D27}" scale="55">
      <pane xSplit="5" ySplit="5" topLeftCell="AD7" activePane="bottomRight" state="frozen"/>
      <selection pane="bottomRight" activeCell="AF19" sqref="AF19"/>
      <pageMargins left="0.70866141732283472" right="0.70866141732283472" top="0.74803149606299213" bottom="0.74803149606299213" header="0.31496062992125984" footer="0.31496062992125984"/>
      <pageSetup paperSize="9" scale="55" orientation="landscape" r:id="rId31"/>
    </customSheetView>
    <customSheetView guid="{47B983AB-FE5F-4725-860C-A2F29420596D}" scale="55">
      <pane xSplit="5" ySplit="6" topLeftCell="F118" activePane="bottomRight" state="frozen"/>
      <selection pane="bottomRight" activeCell="U122" sqref="U122"/>
      <pageMargins left="0.70866141732283472" right="0.70866141732283472" top="0.74803149606299213" bottom="0.74803149606299213" header="0.31496062992125984" footer="0.31496062992125984"/>
      <pageSetup paperSize="9" scale="55" orientation="landscape" r:id="rId32"/>
    </customSheetView>
  </customSheetViews>
  <mergeCells count="21">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 ref="X3:Y4"/>
    <mergeCell ref="Z3:AA4"/>
    <mergeCell ref="AB3:AC4"/>
    <mergeCell ref="AD3:AE4"/>
    <mergeCell ref="AF3:AF5"/>
  </mergeCells>
  <hyperlinks>
    <hyperlink ref="A2:AE2" location="Оглавление!A1" display="&quot;Профилактика правонарушений и обеспечение отдельных прав граждан в городе Когалыме&quot;"/>
  </hyperlinks>
  <pageMargins left="0.70866141732283472" right="0.70866141732283472" top="0.74803149606299213" bottom="0.74803149606299213" header="0.31496062992125984" footer="0.31496062992125984"/>
  <pageSetup paperSize="9" scale="55" orientation="landscape" r:id="rId33"/>
  <legacyDrawing r:id="rId3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28"/>
  <sheetViews>
    <sheetView zoomScale="70" zoomScaleNormal="70" workbookViewId="0">
      <pane xSplit="1" ySplit="6" topLeftCell="P7" activePane="bottomRight" state="frozen"/>
      <selection pane="topRight" activeCell="B1" sqref="B1"/>
      <selection pane="bottomLeft" activeCell="A7" sqref="A7"/>
      <selection pane="bottomRight" activeCell="T113" sqref="T113"/>
    </sheetView>
  </sheetViews>
  <sheetFormatPr defaultRowHeight="15" x14ac:dyDescent="0.25"/>
  <cols>
    <col min="1" max="1" width="46.140625" style="89" customWidth="1"/>
    <col min="2" max="2" width="18.85546875" style="62" bestFit="1" customWidth="1"/>
    <col min="3" max="3" width="15.5703125" style="62" bestFit="1" customWidth="1"/>
    <col min="4" max="4" width="24.42578125" customWidth="1"/>
    <col min="5" max="5" width="15.5703125" bestFit="1" customWidth="1"/>
    <col min="6" max="6" width="16.7109375" bestFit="1" customWidth="1"/>
    <col min="7" max="7" width="18.5703125" customWidth="1"/>
    <col min="8" max="8" width="15.7109375" style="62" bestFit="1" customWidth="1"/>
    <col min="9" max="9" width="13.7109375" style="62" bestFit="1" customWidth="1"/>
    <col min="10" max="10" width="17.42578125" style="62" bestFit="1" customWidth="1"/>
    <col min="11" max="11" width="13.7109375" style="62" bestFit="1" customWidth="1"/>
    <col min="12" max="12" width="15.7109375" style="62" bestFit="1" customWidth="1"/>
    <col min="13" max="13" width="13.7109375" style="62" bestFit="1" customWidth="1"/>
    <col min="14" max="14" width="17.42578125" style="62" bestFit="1" customWidth="1"/>
    <col min="15" max="15" width="13.7109375" style="62" bestFit="1" customWidth="1"/>
    <col min="16" max="16" width="17.42578125" style="62" bestFit="1" customWidth="1"/>
    <col min="17" max="17" width="21.7109375" style="62" customWidth="1"/>
    <col min="18" max="18" width="17.42578125" style="62" bestFit="1" customWidth="1"/>
    <col min="19" max="19" width="13.7109375" style="62" bestFit="1" customWidth="1"/>
    <col min="20" max="20" width="17.42578125" style="62" bestFit="1" customWidth="1"/>
    <col min="21" max="21" width="13.7109375" style="62" bestFit="1" customWidth="1"/>
    <col min="22" max="22" width="17.42578125" style="62" bestFit="1" customWidth="1"/>
    <col min="23" max="23" width="13.7109375" style="62" bestFit="1" customWidth="1"/>
    <col min="24" max="24" width="15.7109375" style="62" bestFit="1" customWidth="1"/>
    <col min="25" max="25" width="13.7109375" style="62" bestFit="1" customWidth="1"/>
    <col min="26" max="26" width="17.42578125" style="62" bestFit="1" customWidth="1"/>
    <col min="27" max="27" width="13.7109375" style="62" bestFit="1" customWidth="1"/>
    <col min="28" max="28" width="15.7109375" style="62" bestFit="1" customWidth="1"/>
    <col min="29" max="29" width="13.7109375" style="62" bestFit="1" customWidth="1"/>
    <col min="30" max="30" width="17.140625" style="62" bestFit="1" customWidth="1"/>
    <col min="31" max="31" width="13.7109375" style="62" bestFit="1" customWidth="1"/>
    <col min="32" max="32" width="32.140625" customWidth="1"/>
  </cols>
  <sheetData>
    <row r="1" spans="1:32" ht="18.75" x14ac:dyDescent="0.25">
      <c r="A1" s="1050" t="s">
        <v>0</v>
      </c>
      <c r="B1" s="1050"/>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row>
    <row r="2" spans="1:32" ht="18.75" x14ac:dyDescent="0.25">
      <c r="A2" s="1051" t="s">
        <v>131</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51"/>
      <c r="AD2" s="1051"/>
      <c r="AE2" s="1051"/>
      <c r="AF2" s="1" t="s">
        <v>1</v>
      </c>
    </row>
    <row r="3" spans="1:32" x14ac:dyDescent="0.25">
      <c r="A3" s="1056" t="s">
        <v>2</v>
      </c>
      <c r="B3" s="1052" t="s">
        <v>3</v>
      </c>
      <c r="C3" s="1052" t="s">
        <v>3</v>
      </c>
      <c r="D3" s="1052" t="s">
        <v>4</v>
      </c>
      <c r="E3" s="1054" t="s">
        <v>5</v>
      </c>
      <c r="F3" s="1046" t="s">
        <v>6</v>
      </c>
      <c r="G3" s="1047"/>
      <c r="H3" s="1046" t="s">
        <v>7</v>
      </c>
      <c r="I3" s="1047"/>
      <c r="J3" s="1046" t="s">
        <v>8</v>
      </c>
      <c r="K3" s="1047"/>
      <c r="L3" s="1046" t="s">
        <v>9</v>
      </c>
      <c r="M3" s="1047"/>
      <c r="N3" s="1046" t="s">
        <v>10</v>
      </c>
      <c r="O3" s="1047"/>
      <c r="P3" s="1046" t="s">
        <v>11</v>
      </c>
      <c r="Q3" s="1047"/>
      <c r="R3" s="1046" t="s">
        <v>12</v>
      </c>
      <c r="S3" s="1047"/>
      <c r="T3" s="1046" t="s">
        <v>13</v>
      </c>
      <c r="U3" s="1047"/>
      <c r="V3" s="1046" t="s">
        <v>14</v>
      </c>
      <c r="W3" s="1047"/>
      <c r="X3" s="1046" t="s">
        <v>15</v>
      </c>
      <c r="Y3" s="1047"/>
      <c r="Z3" s="1046" t="s">
        <v>16</v>
      </c>
      <c r="AA3" s="1047"/>
      <c r="AB3" s="1046" t="s">
        <v>17</v>
      </c>
      <c r="AC3" s="1047"/>
      <c r="AD3" s="1046" t="s">
        <v>18</v>
      </c>
      <c r="AE3" s="1047"/>
      <c r="AF3" s="1043" t="s">
        <v>19</v>
      </c>
    </row>
    <row r="4" spans="1:32" ht="42.75" customHeight="1" x14ac:dyDescent="0.25">
      <c r="A4" s="1057"/>
      <c r="B4" s="1053"/>
      <c r="C4" s="1053"/>
      <c r="D4" s="1053"/>
      <c r="E4" s="1055"/>
      <c r="F4" s="1048"/>
      <c r="G4" s="1049"/>
      <c r="H4" s="1048"/>
      <c r="I4" s="1049"/>
      <c r="J4" s="1048"/>
      <c r="K4" s="1049"/>
      <c r="L4" s="1048"/>
      <c r="M4" s="1049"/>
      <c r="N4" s="1048"/>
      <c r="O4" s="1049"/>
      <c r="P4" s="1048"/>
      <c r="Q4" s="1049"/>
      <c r="R4" s="1048"/>
      <c r="S4" s="1049"/>
      <c r="T4" s="1048"/>
      <c r="U4" s="1049"/>
      <c r="V4" s="1048"/>
      <c r="W4" s="1049"/>
      <c r="X4" s="1048"/>
      <c r="Y4" s="1049"/>
      <c r="Z4" s="1048"/>
      <c r="AA4" s="1049"/>
      <c r="AB4" s="1048"/>
      <c r="AC4" s="1049"/>
      <c r="AD4" s="1048"/>
      <c r="AE4" s="1049"/>
      <c r="AF4" s="1044"/>
    </row>
    <row r="5" spans="1:32" ht="37.5" x14ac:dyDescent="0.25">
      <c r="A5" s="79"/>
      <c r="B5" s="3">
        <v>2024</v>
      </c>
      <c r="C5" s="4">
        <v>45474</v>
      </c>
      <c r="D5" s="4">
        <v>45474</v>
      </c>
      <c r="E5" s="4">
        <v>45474</v>
      </c>
      <c r="F5" s="5" t="s">
        <v>20</v>
      </c>
      <c r="G5" s="5" t="s">
        <v>21</v>
      </c>
      <c r="H5" s="5" t="s">
        <v>22</v>
      </c>
      <c r="I5" s="5" t="s">
        <v>23</v>
      </c>
      <c r="J5" s="5" t="s">
        <v>22</v>
      </c>
      <c r="K5" s="5" t="s">
        <v>23</v>
      </c>
      <c r="L5" s="5" t="s">
        <v>22</v>
      </c>
      <c r="M5" s="5" t="s">
        <v>23</v>
      </c>
      <c r="N5" s="5" t="s">
        <v>22</v>
      </c>
      <c r="O5" s="5" t="s">
        <v>23</v>
      </c>
      <c r="P5" s="5" t="s">
        <v>22</v>
      </c>
      <c r="Q5" s="5" t="s">
        <v>23</v>
      </c>
      <c r="R5" s="5" t="s">
        <v>22</v>
      </c>
      <c r="S5" s="5" t="s">
        <v>23</v>
      </c>
      <c r="T5" s="5" t="s">
        <v>22</v>
      </c>
      <c r="U5" s="5" t="s">
        <v>23</v>
      </c>
      <c r="V5" s="5" t="s">
        <v>22</v>
      </c>
      <c r="W5" s="5" t="s">
        <v>23</v>
      </c>
      <c r="X5" s="5" t="s">
        <v>22</v>
      </c>
      <c r="Y5" s="5" t="s">
        <v>23</v>
      </c>
      <c r="Z5" s="5" t="s">
        <v>22</v>
      </c>
      <c r="AA5" s="5" t="s">
        <v>23</v>
      </c>
      <c r="AB5" s="5" t="s">
        <v>22</v>
      </c>
      <c r="AC5" s="5" t="s">
        <v>23</v>
      </c>
      <c r="AD5" s="5" t="s">
        <v>22</v>
      </c>
      <c r="AE5" s="5" t="s">
        <v>23</v>
      </c>
      <c r="AF5" s="1045"/>
    </row>
    <row r="6" spans="1:32" ht="18.75" x14ac:dyDescent="0.25">
      <c r="A6" s="2">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2">
        <v>32</v>
      </c>
    </row>
    <row r="7" spans="1:32" ht="206.25" x14ac:dyDescent="0.25">
      <c r="A7" s="80" t="s">
        <v>132</v>
      </c>
      <c r="B7" s="96">
        <v>309.8</v>
      </c>
      <c r="C7" s="6">
        <v>0</v>
      </c>
      <c r="D7" s="6">
        <v>0</v>
      </c>
      <c r="E7" s="6">
        <v>0</v>
      </c>
      <c r="F7" s="6">
        <v>0</v>
      </c>
      <c r="G7" s="6">
        <v>0</v>
      </c>
      <c r="H7" s="6">
        <v>0</v>
      </c>
      <c r="I7" s="6">
        <v>0</v>
      </c>
      <c r="J7" s="6">
        <v>0</v>
      </c>
      <c r="K7" s="592">
        <v>0</v>
      </c>
      <c r="L7" s="6">
        <v>0</v>
      </c>
      <c r="M7" s="6">
        <v>0</v>
      </c>
      <c r="N7" s="6">
        <v>0</v>
      </c>
      <c r="O7" s="6">
        <v>0</v>
      </c>
      <c r="P7" s="6">
        <v>0</v>
      </c>
      <c r="Q7" s="6">
        <v>0</v>
      </c>
      <c r="R7" s="6">
        <v>0</v>
      </c>
      <c r="S7" s="6">
        <v>0</v>
      </c>
      <c r="T7" s="6"/>
      <c r="U7" s="6"/>
      <c r="V7" s="6"/>
      <c r="W7" s="6"/>
      <c r="X7" s="6"/>
      <c r="Y7" s="6"/>
      <c r="Z7" s="6"/>
      <c r="AA7" s="6"/>
      <c r="AB7" s="6"/>
      <c r="AC7" s="6"/>
      <c r="AD7" s="6"/>
      <c r="AE7" s="6"/>
      <c r="AF7" s="2"/>
    </row>
    <row r="8" spans="1:32" ht="18.75" x14ac:dyDescent="0.25">
      <c r="A8" s="81" t="s">
        <v>54</v>
      </c>
      <c r="B8" s="6"/>
      <c r="C8" s="6"/>
      <c r="D8" s="6"/>
      <c r="E8" s="6"/>
      <c r="F8" s="6"/>
      <c r="G8" s="6"/>
      <c r="H8" s="6"/>
      <c r="I8" s="6"/>
      <c r="J8" s="6"/>
      <c r="K8" s="585"/>
      <c r="L8" s="6"/>
      <c r="M8" s="6"/>
      <c r="N8" s="6"/>
      <c r="O8" s="6"/>
      <c r="P8" s="6"/>
      <c r="Q8" s="6"/>
      <c r="R8" s="6"/>
      <c r="S8" s="6"/>
      <c r="T8" s="6"/>
      <c r="U8" s="6"/>
      <c r="V8" s="6"/>
      <c r="W8" s="6"/>
      <c r="X8" s="6"/>
      <c r="Y8" s="6"/>
      <c r="Z8" s="6"/>
      <c r="AA8" s="6"/>
      <c r="AB8" s="6"/>
      <c r="AC8" s="6"/>
      <c r="AD8" s="6"/>
      <c r="AE8" s="6"/>
      <c r="AF8" s="2"/>
    </row>
    <row r="9" spans="1:32" ht="56.25" hidden="1" customHeight="1" x14ac:dyDescent="0.25">
      <c r="A9" s="50" t="s">
        <v>133</v>
      </c>
      <c r="B9" s="30">
        <f>B10</f>
        <v>0</v>
      </c>
      <c r="C9" s="30">
        <f>C10</f>
        <v>0</v>
      </c>
      <c r="D9" s="30">
        <f>D10</f>
        <v>0</v>
      </c>
      <c r="E9" s="30">
        <f>E10</f>
        <v>0</v>
      </c>
      <c r="F9" s="30"/>
      <c r="G9" s="30"/>
      <c r="H9" s="30"/>
      <c r="I9" s="30"/>
      <c r="J9" s="30"/>
      <c r="K9" s="586"/>
      <c r="L9" s="30"/>
      <c r="M9" s="30"/>
      <c r="N9" s="30"/>
      <c r="O9" s="30"/>
      <c r="P9" s="30"/>
      <c r="Q9" s="30"/>
      <c r="R9" s="30"/>
      <c r="S9" s="30"/>
      <c r="T9" s="30"/>
      <c r="U9" s="30"/>
      <c r="V9" s="30"/>
      <c r="W9" s="30"/>
      <c r="X9" s="30"/>
      <c r="Y9" s="30"/>
      <c r="Z9" s="30"/>
      <c r="AA9" s="30"/>
      <c r="AB9" s="30"/>
      <c r="AC9" s="30"/>
      <c r="AD9" s="30"/>
      <c r="AE9" s="30"/>
      <c r="AF9" s="21"/>
    </row>
    <row r="10" spans="1:32" ht="18.75" hidden="1" x14ac:dyDescent="0.3">
      <c r="A10" s="82" t="s">
        <v>31</v>
      </c>
      <c r="B10" s="47">
        <f>B11</f>
        <v>0</v>
      </c>
      <c r="C10" s="47">
        <f>C11</f>
        <v>0</v>
      </c>
      <c r="D10" s="47"/>
      <c r="E10" s="47">
        <f>E11</f>
        <v>0</v>
      </c>
      <c r="F10" s="47" t="e">
        <f>E10/B10*100</f>
        <v>#DIV/0!</v>
      </c>
      <c r="G10" s="47" t="e">
        <f>E10/C10*100</f>
        <v>#DIV/0!</v>
      </c>
      <c r="H10" s="47"/>
      <c r="I10" s="47"/>
      <c r="J10" s="47"/>
      <c r="K10" s="587"/>
      <c r="L10" s="47"/>
      <c r="M10" s="47"/>
      <c r="N10" s="47"/>
      <c r="O10" s="47"/>
      <c r="P10" s="47"/>
      <c r="Q10" s="47"/>
      <c r="R10" s="47"/>
      <c r="S10" s="47"/>
      <c r="T10" s="47"/>
      <c r="U10" s="47"/>
      <c r="V10" s="47"/>
      <c r="W10" s="47"/>
      <c r="X10" s="47"/>
      <c r="Y10" s="47"/>
      <c r="Z10" s="47"/>
      <c r="AA10" s="47"/>
      <c r="AB10" s="47"/>
      <c r="AC10" s="47"/>
      <c r="AD10" s="47"/>
      <c r="AE10" s="47"/>
      <c r="AF10" s="90"/>
    </row>
    <row r="11" spans="1:32" ht="18.75" hidden="1" x14ac:dyDescent="0.3">
      <c r="A11" s="77" t="s">
        <v>33</v>
      </c>
      <c r="B11" s="47">
        <f>H11+J11+L11+N11+P11+R11+T11+V11+X11+Z11+AB11+AD11</f>
        <v>0</v>
      </c>
      <c r="C11" s="47">
        <f>H11</f>
        <v>0</v>
      </c>
      <c r="D11" s="47"/>
      <c r="E11" s="47">
        <f>K11+M11+O11+Q11+S11+U11+W11+Y11+AA11+AC11+AE11+AG11</f>
        <v>0</v>
      </c>
      <c r="F11" s="47" t="e">
        <f>E11/B11*100</f>
        <v>#DIV/0!</v>
      </c>
      <c r="G11" s="47" t="e">
        <f>E11/C11*100</f>
        <v>#DIV/0!</v>
      </c>
      <c r="H11" s="47"/>
      <c r="I11" s="47"/>
      <c r="J11" s="47"/>
      <c r="K11" s="587"/>
      <c r="L11" s="47"/>
      <c r="M11" s="47"/>
      <c r="N11" s="47"/>
      <c r="O11" s="47"/>
      <c r="P11" s="47"/>
      <c r="Q11" s="47"/>
      <c r="R11" s="47"/>
      <c r="S11" s="47"/>
      <c r="T11" s="47"/>
      <c r="U11" s="47"/>
      <c r="V11" s="47"/>
      <c r="W11" s="47"/>
      <c r="X11" s="47"/>
      <c r="Y11" s="47"/>
      <c r="Z11" s="47"/>
      <c r="AA11" s="47"/>
      <c r="AB11" s="47"/>
      <c r="AC11" s="47"/>
      <c r="AD11" s="47"/>
      <c r="AE11" s="47"/>
      <c r="AF11" s="90"/>
    </row>
    <row r="12" spans="1:32" ht="262.5" hidden="1" x14ac:dyDescent="0.3">
      <c r="A12" s="50" t="s">
        <v>134</v>
      </c>
      <c r="B12" s="58"/>
      <c r="C12" s="58"/>
      <c r="D12" s="58"/>
      <c r="E12" s="58"/>
      <c r="F12" s="47"/>
      <c r="G12" s="47"/>
      <c r="H12" s="58"/>
      <c r="I12" s="58"/>
      <c r="J12" s="58"/>
      <c r="K12" s="588"/>
      <c r="L12" s="58"/>
      <c r="M12" s="58"/>
      <c r="N12" s="58"/>
      <c r="O12" s="58"/>
      <c r="P12" s="58"/>
      <c r="Q12" s="58"/>
      <c r="R12" s="58"/>
      <c r="S12" s="58"/>
      <c r="T12" s="58"/>
      <c r="U12" s="58"/>
      <c r="V12" s="58"/>
      <c r="W12" s="58"/>
      <c r="X12" s="58"/>
      <c r="Y12" s="58"/>
      <c r="Z12" s="58"/>
      <c r="AA12" s="58"/>
      <c r="AB12" s="58"/>
      <c r="AC12" s="58"/>
      <c r="AD12" s="58"/>
      <c r="AE12" s="58"/>
      <c r="AF12" s="90"/>
    </row>
    <row r="13" spans="1:32" ht="18.75" hidden="1" x14ac:dyDescent="0.3">
      <c r="A13" s="82" t="s">
        <v>31</v>
      </c>
      <c r="B13" s="58">
        <f>B14</f>
        <v>0</v>
      </c>
      <c r="C13" s="58">
        <f>C14</f>
        <v>0</v>
      </c>
      <c r="D13" s="58"/>
      <c r="E13" s="58">
        <f>E14</f>
        <v>0</v>
      </c>
      <c r="F13" s="47" t="e">
        <f>E13/B13*100</f>
        <v>#DIV/0!</v>
      </c>
      <c r="G13" s="47" t="e">
        <f>E13/C13*100</f>
        <v>#DIV/0!</v>
      </c>
      <c r="H13" s="58"/>
      <c r="I13" s="58"/>
      <c r="J13" s="58"/>
      <c r="K13" s="588"/>
      <c r="L13" s="58"/>
      <c r="M13" s="58"/>
      <c r="N13" s="58"/>
      <c r="O13" s="58"/>
      <c r="P13" s="58"/>
      <c r="Q13" s="58"/>
      <c r="R13" s="58"/>
      <c r="S13" s="58"/>
      <c r="T13" s="58"/>
      <c r="U13" s="58"/>
      <c r="V13" s="58"/>
      <c r="W13" s="58"/>
      <c r="X13" s="58"/>
      <c r="Y13" s="58"/>
      <c r="Z13" s="58"/>
      <c r="AA13" s="58"/>
      <c r="AB13" s="58"/>
      <c r="AC13" s="58"/>
      <c r="AD13" s="58"/>
      <c r="AE13" s="58"/>
      <c r="AF13" s="90"/>
    </row>
    <row r="14" spans="1:32" ht="18.75" hidden="1" x14ac:dyDescent="0.3">
      <c r="A14" s="77" t="s">
        <v>33</v>
      </c>
      <c r="B14" s="47">
        <f>H14+J14+L14+N14+P14+R14+T14+V14+X14+Z14+AB14+AD14</f>
        <v>0</v>
      </c>
      <c r="C14" s="47">
        <f>H14</f>
        <v>0</v>
      </c>
      <c r="D14" s="47"/>
      <c r="E14" s="47">
        <f>K14+M14+O14+Q14+S14+U14+W14+Y14+AA14+AC14+AE14+AG14</f>
        <v>0</v>
      </c>
      <c r="F14" s="47" t="e">
        <f>E14/B14*100</f>
        <v>#DIV/0!</v>
      </c>
      <c r="G14" s="47" t="e">
        <f>E14/C14*100</f>
        <v>#DIV/0!</v>
      </c>
      <c r="H14" s="58"/>
      <c r="I14" s="58"/>
      <c r="J14" s="58"/>
      <c r="K14" s="588"/>
      <c r="L14" s="58"/>
      <c r="M14" s="58"/>
      <c r="N14" s="58"/>
      <c r="O14" s="58"/>
      <c r="P14" s="58"/>
      <c r="Q14" s="58"/>
      <c r="R14" s="58"/>
      <c r="S14" s="58"/>
      <c r="T14" s="58"/>
      <c r="U14" s="58"/>
      <c r="V14" s="58"/>
      <c r="W14" s="58"/>
      <c r="X14" s="58"/>
      <c r="Y14" s="58"/>
      <c r="Z14" s="58"/>
      <c r="AA14" s="58"/>
      <c r="AB14" s="58"/>
      <c r="AC14" s="58"/>
      <c r="AD14" s="58"/>
      <c r="AE14" s="58"/>
      <c r="AF14" s="90"/>
    </row>
    <row r="15" spans="1:32" ht="225" hidden="1" x14ac:dyDescent="0.3">
      <c r="A15" s="78" t="s">
        <v>135</v>
      </c>
      <c r="B15" s="58"/>
      <c r="C15" s="58"/>
      <c r="D15" s="58"/>
      <c r="E15" s="58"/>
      <c r="F15" s="47"/>
      <c r="G15" s="47"/>
      <c r="H15" s="58"/>
      <c r="I15" s="58"/>
      <c r="J15" s="58"/>
      <c r="K15" s="588"/>
      <c r="L15" s="58"/>
      <c r="M15" s="58"/>
      <c r="N15" s="58"/>
      <c r="O15" s="58"/>
      <c r="P15" s="58"/>
      <c r="Q15" s="58"/>
      <c r="R15" s="58"/>
      <c r="S15" s="58"/>
      <c r="T15" s="58"/>
      <c r="U15" s="58"/>
      <c r="V15" s="58"/>
      <c r="W15" s="58"/>
      <c r="X15" s="58"/>
      <c r="Y15" s="58"/>
      <c r="Z15" s="58"/>
      <c r="AA15" s="58"/>
      <c r="AB15" s="58"/>
      <c r="AC15" s="58"/>
      <c r="AD15" s="58"/>
      <c r="AE15" s="58"/>
      <c r="AF15" s="90"/>
    </row>
    <row r="16" spans="1:32" ht="18.75" hidden="1" x14ac:dyDescent="0.3">
      <c r="A16" s="82" t="s">
        <v>31</v>
      </c>
      <c r="B16" s="58">
        <f>B17</f>
        <v>0</v>
      </c>
      <c r="C16" s="58">
        <f>C17</f>
        <v>0</v>
      </c>
      <c r="D16" s="58">
        <f>D17</f>
        <v>0</v>
      </c>
      <c r="E16" s="58" t="e">
        <f>#REF!+E17</f>
        <v>#REF!</v>
      </c>
      <c r="F16" s="47" t="e">
        <f>E16/B16*100</f>
        <v>#REF!</v>
      </c>
      <c r="G16" s="47" t="e">
        <f>E16/C16*100</f>
        <v>#REF!</v>
      </c>
      <c r="H16" s="58"/>
      <c r="I16" s="58"/>
      <c r="J16" s="58"/>
      <c r="K16" s="588"/>
      <c r="L16" s="58"/>
      <c r="M16" s="58"/>
      <c r="N16" s="58"/>
      <c r="O16" s="58"/>
      <c r="P16" s="58"/>
      <c r="Q16" s="58"/>
      <c r="R16" s="58"/>
      <c r="S16" s="58"/>
      <c r="T16" s="58"/>
      <c r="U16" s="58"/>
      <c r="V16" s="58"/>
      <c r="W16" s="58"/>
      <c r="X16" s="58"/>
      <c r="Y16" s="58"/>
      <c r="Z16" s="58"/>
      <c r="AA16" s="58"/>
      <c r="AB16" s="58"/>
      <c r="AC16" s="58"/>
      <c r="AD16" s="58"/>
      <c r="AE16" s="58"/>
      <c r="AF16" s="90"/>
    </row>
    <row r="17" spans="1:32" ht="18.75" hidden="1" x14ac:dyDescent="0.3">
      <c r="A17" s="77" t="s">
        <v>33</v>
      </c>
      <c r="B17" s="47">
        <f>H17+J17+L17+N17+P17+R17+T17+V17+X17+Z17+AB17+AD17</f>
        <v>0</v>
      </c>
      <c r="C17" s="47">
        <f>H17</f>
        <v>0</v>
      </c>
      <c r="D17" s="47"/>
      <c r="E17" s="47">
        <f>K17+M17+O17+Q17+S17+U17+W17+Y17+AA17+AC17+AE17+AG17</f>
        <v>0</v>
      </c>
      <c r="F17" s="47" t="e">
        <f>E17/B17*100</f>
        <v>#DIV/0!</v>
      </c>
      <c r="G17" s="47" t="e">
        <f>E17/C17*100</f>
        <v>#DIV/0!</v>
      </c>
      <c r="H17" s="58"/>
      <c r="I17" s="58"/>
      <c r="J17" s="58"/>
      <c r="K17" s="588"/>
      <c r="L17" s="58"/>
      <c r="M17" s="58"/>
      <c r="N17" s="58"/>
      <c r="O17" s="58"/>
      <c r="P17" s="58"/>
      <c r="Q17" s="58"/>
      <c r="R17" s="58"/>
      <c r="S17" s="58"/>
      <c r="T17" s="58"/>
      <c r="U17" s="58"/>
      <c r="V17" s="58"/>
      <c r="W17" s="58"/>
      <c r="X17" s="58"/>
      <c r="Y17" s="58"/>
      <c r="Z17" s="58"/>
      <c r="AA17" s="58"/>
      <c r="AB17" s="58"/>
      <c r="AC17" s="58"/>
      <c r="AD17" s="58"/>
      <c r="AE17" s="58"/>
      <c r="AF17" s="90"/>
    </row>
    <row r="18" spans="1:32" ht="150" hidden="1" x14ac:dyDescent="0.3">
      <c r="A18" s="78" t="s">
        <v>136</v>
      </c>
      <c r="B18" s="58"/>
      <c r="C18" s="58"/>
      <c r="D18" s="58"/>
      <c r="E18" s="58"/>
      <c r="F18" s="47"/>
      <c r="G18" s="47"/>
      <c r="H18" s="58"/>
      <c r="I18" s="58"/>
      <c r="J18" s="58"/>
      <c r="K18" s="588"/>
      <c r="L18" s="58"/>
      <c r="M18" s="58"/>
      <c r="N18" s="58"/>
      <c r="O18" s="58"/>
      <c r="P18" s="58"/>
      <c r="Q18" s="58"/>
      <c r="R18" s="58"/>
      <c r="S18" s="58"/>
      <c r="T18" s="58"/>
      <c r="U18" s="58"/>
      <c r="V18" s="58"/>
      <c r="W18" s="58"/>
      <c r="X18" s="58"/>
      <c r="Y18" s="58"/>
      <c r="Z18" s="58"/>
      <c r="AA18" s="58"/>
      <c r="AB18" s="58"/>
      <c r="AC18" s="58"/>
      <c r="AD18" s="58"/>
      <c r="AE18" s="58"/>
      <c r="AF18" s="90"/>
    </row>
    <row r="19" spans="1:32" ht="18.75" hidden="1" x14ac:dyDescent="0.3">
      <c r="A19" s="82" t="s">
        <v>31</v>
      </c>
      <c r="B19" s="58">
        <f>B20</f>
        <v>0</v>
      </c>
      <c r="C19" s="58">
        <f>C20</f>
        <v>0</v>
      </c>
      <c r="D19" s="58"/>
      <c r="E19" s="58">
        <f>E20</f>
        <v>0</v>
      </c>
      <c r="F19" s="47" t="e">
        <f>E19/B19*100</f>
        <v>#DIV/0!</v>
      </c>
      <c r="G19" s="47" t="e">
        <f>E19/C19*100</f>
        <v>#DIV/0!</v>
      </c>
      <c r="H19" s="58"/>
      <c r="I19" s="58"/>
      <c r="J19" s="58"/>
      <c r="K19" s="588"/>
      <c r="L19" s="58"/>
      <c r="M19" s="58"/>
      <c r="N19" s="58"/>
      <c r="O19" s="58"/>
      <c r="P19" s="58"/>
      <c r="Q19" s="58"/>
      <c r="R19" s="58"/>
      <c r="S19" s="58"/>
      <c r="T19" s="58"/>
      <c r="U19" s="58"/>
      <c r="V19" s="58"/>
      <c r="W19" s="58"/>
      <c r="X19" s="58"/>
      <c r="Y19" s="58"/>
      <c r="Z19" s="58"/>
      <c r="AA19" s="58"/>
      <c r="AB19" s="58"/>
      <c r="AC19" s="58"/>
      <c r="AD19" s="58"/>
      <c r="AE19" s="58"/>
      <c r="AF19" s="90"/>
    </row>
    <row r="20" spans="1:32" ht="18.75" hidden="1" x14ac:dyDescent="0.3">
      <c r="A20" s="77" t="s">
        <v>33</v>
      </c>
      <c r="B20" s="47">
        <f>H20+J20+L20+N20+P20+R20+T20+V20+X20+Z20+AB20+AD20</f>
        <v>0</v>
      </c>
      <c r="C20" s="47">
        <f>H20</f>
        <v>0</v>
      </c>
      <c r="D20" s="47"/>
      <c r="E20" s="47">
        <f>K20+M20+O20+Q20+S20+U20+W20+Y20+AA20+AC20+AE20+AG20</f>
        <v>0</v>
      </c>
      <c r="F20" s="47" t="e">
        <f>E20/B20*100</f>
        <v>#DIV/0!</v>
      </c>
      <c r="G20" s="47" t="e">
        <f>E20/C20*100</f>
        <v>#DIV/0!</v>
      </c>
      <c r="H20" s="58"/>
      <c r="I20" s="58"/>
      <c r="J20" s="58"/>
      <c r="K20" s="588"/>
      <c r="L20" s="58"/>
      <c r="M20" s="58"/>
      <c r="N20" s="58"/>
      <c r="O20" s="58"/>
      <c r="P20" s="58"/>
      <c r="Q20" s="58"/>
      <c r="R20" s="58"/>
      <c r="S20" s="58"/>
      <c r="T20" s="58"/>
      <c r="U20" s="58"/>
      <c r="V20" s="58"/>
      <c r="W20" s="58"/>
      <c r="X20" s="58"/>
      <c r="Y20" s="58"/>
      <c r="Z20" s="58"/>
      <c r="AA20" s="58"/>
      <c r="AB20" s="58"/>
      <c r="AC20" s="58"/>
      <c r="AD20" s="58"/>
      <c r="AE20" s="58"/>
      <c r="AF20" s="90"/>
    </row>
    <row r="21" spans="1:32" ht="112.5" hidden="1" x14ac:dyDescent="0.3">
      <c r="A21" s="78" t="s">
        <v>137</v>
      </c>
      <c r="B21" s="58"/>
      <c r="C21" s="58"/>
      <c r="D21" s="58"/>
      <c r="E21" s="58"/>
      <c r="F21" s="47"/>
      <c r="G21" s="47"/>
      <c r="H21" s="58"/>
      <c r="I21" s="58"/>
      <c r="J21" s="58"/>
      <c r="K21" s="588"/>
      <c r="L21" s="58"/>
      <c r="M21" s="58"/>
      <c r="N21" s="58"/>
      <c r="O21" s="58"/>
      <c r="P21" s="58"/>
      <c r="Q21" s="58"/>
      <c r="R21" s="58"/>
      <c r="S21" s="58"/>
      <c r="T21" s="58"/>
      <c r="U21" s="58"/>
      <c r="V21" s="58"/>
      <c r="W21" s="58"/>
      <c r="X21" s="58"/>
      <c r="Y21" s="58"/>
      <c r="Z21" s="58"/>
      <c r="AA21" s="58"/>
      <c r="AB21" s="58"/>
      <c r="AC21" s="58"/>
      <c r="AD21" s="58"/>
      <c r="AE21" s="58"/>
      <c r="AF21" s="90"/>
    </row>
    <row r="22" spans="1:32" ht="18.75" hidden="1" x14ac:dyDescent="0.3">
      <c r="A22" s="82" t="s">
        <v>31</v>
      </c>
      <c r="B22" s="58">
        <f>B23</f>
        <v>0</v>
      </c>
      <c r="C22" s="58">
        <f>C23</f>
        <v>0</v>
      </c>
      <c r="D22" s="58"/>
      <c r="E22" s="58">
        <f>E23</f>
        <v>0</v>
      </c>
      <c r="F22" s="47" t="e">
        <f>E22/B22*100</f>
        <v>#DIV/0!</v>
      </c>
      <c r="G22" s="47" t="e">
        <f>E22/C22*100</f>
        <v>#DIV/0!</v>
      </c>
      <c r="H22" s="58"/>
      <c r="I22" s="58"/>
      <c r="J22" s="58"/>
      <c r="K22" s="588"/>
      <c r="L22" s="58"/>
      <c r="M22" s="58"/>
      <c r="N22" s="58"/>
      <c r="O22" s="58"/>
      <c r="P22" s="58"/>
      <c r="Q22" s="58"/>
      <c r="R22" s="58"/>
      <c r="S22" s="58"/>
      <c r="T22" s="58"/>
      <c r="U22" s="58"/>
      <c r="V22" s="58"/>
      <c r="W22" s="58"/>
      <c r="X22" s="58"/>
      <c r="Y22" s="58"/>
      <c r="Z22" s="58"/>
      <c r="AA22" s="58"/>
      <c r="AB22" s="58"/>
      <c r="AC22" s="58"/>
      <c r="AD22" s="58"/>
      <c r="AE22" s="58"/>
      <c r="AF22" s="90"/>
    </row>
    <row r="23" spans="1:32" ht="18.75" hidden="1" x14ac:dyDescent="0.3">
      <c r="A23" s="77" t="s">
        <v>33</v>
      </c>
      <c r="B23" s="47">
        <f>H23+J23+L23+N23+P23+R23+T23+V23+X23+Z23+AB23+AD23</f>
        <v>0</v>
      </c>
      <c r="C23" s="47">
        <f>H23</f>
        <v>0</v>
      </c>
      <c r="D23" s="47"/>
      <c r="E23" s="47">
        <f>K23+M23+O23+Q23+S23+U23+W23+Y23+AA23+AC23+AE23+AG23</f>
        <v>0</v>
      </c>
      <c r="F23" s="47" t="e">
        <f>E23/B23*100</f>
        <v>#DIV/0!</v>
      </c>
      <c r="G23" s="47" t="e">
        <f>E23/C23*100</f>
        <v>#DIV/0!</v>
      </c>
      <c r="H23" s="58"/>
      <c r="I23" s="58"/>
      <c r="J23" s="58"/>
      <c r="K23" s="588"/>
      <c r="L23" s="58"/>
      <c r="M23" s="58"/>
      <c r="N23" s="58"/>
      <c r="O23" s="58"/>
      <c r="P23" s="58"/>
      <c r="Q23" s="58"/>
      <c r="R23" s="58"/>
      <c r="S23" s="58"/>
      <c r="T23" s="58"/>
      <c r="U23" s="58"/>
      <c r="V23" s="58"/>
      <c r="W23" s="58"/>
      <c r="X23" s="58"/>
      <c r="Y23" s="58"/>
      <c r="Z23" s="58"/>
      <c r="AA23" s="58"/>
      <c r="AB23" s="58"/>
      <c r="AC23" s="58"/>
      <c r="AD23" s="58"/>
      <c r="AE23" s="58"/>
      <c r="AF23" s="90"/>
    </row>
    <row r="24" spans="1:32" ht="75" x14ac:dyDescent="0.3">
      <c r="A24" s="83" t="s">
        <v>138</v>
      </c>
      <c r="B24" s="58"/>
      <c r="C24" s="588"/>
      <c r="D24" s="588"/>
      <c r="E24" s="588"/>
      <c r="F24" s="587"/>
      <c r="G24" s="587"/>
      <c r="H24" s="588"/>
      <c r="I24" s="588"/>
      <c r="J24" s="588"/>
      <c r="K24" s="588"/>
      <c r="L24" s="58"/>
      <c r="M24" s="58"/>
      <c r="N24" s="58"/>
      <c r="O24" s="58"/>
      <c r="P24" s="58"/>
      <c r="Q24" s="58"/>
      <c r="R24" s="58"/>
      <c r="S24" s="58"/>
      <c r="T24" s="58"/>
      <c r="U24" s="58"/>
      <c r="V24" s="58"/>
      <c r="W24" s="58"/>
      <c r="X24" s="58"/>
      <c r="Y24" s="58"/>
      <c r="Z24" s="58"/>
      <c r="AA24" s="58"/>
      <c r="AB24" s="58"/>
      <c r="AC24" s="58"/>
      <c r="AD24" s="58"/>
      <c r="AE24" s="58"/>
      <c r="AF24" s="90"/>
    </row>
    <row r="25" spans="1:32" ht="18.75" x14ac:dyDescent="0.3">
      <c r="A25" s="899" t="s">
        <v>31</v>
      </c>
      <c r="B25" s="900">
        <f>B26</f>
        <v>309.8</v>
      </c>
      <c r="C25" s="898">
        <v>0</v>
      </c>
      <c r="D25" s="898">
        <f>D26</f>
        <v>0</v>
      </c>
      <c r="E25" s="898">
        <f>E26</f>
        <v>0</v>
      </c>
      <c r="F25" s="587">
        <f>E25/B25*100</f>
        <v>0</v>
      </c>
      <c r="G25" s="587" t="e">
        <f>E25/C25*100</f>
        <v>#DIV/0!</v>
      </c>
      <c r="H25" s="588">
        <f>H26</f>
        <v>0</v>
      </c>
      <c r="I25" s="588">
        <f t="shared" ref="I25:AE25" si="0">I26</f>
        <v>0</v>
      </c>
      <c r="J25" s="588">
        <f t="shared" si="0"/>
        <v>0</v>
      </c>
      <c r="K25" s="588">
        <v>0</v>
      </c>
      <c r="L25" s="58">
        <f t="shared" si="0"/>
        <v>0</v>
      </c>
      <c r="M25" s="58">
        <f t="shared" si="0"/>
        <v>0</v>
      </c>
      <c r="N25" s="58">
        <f t="shared" si="0"/>
        <v>0</v>
      </c>
      <c r="O25" s="58">
        <f t="shared" si="0"/>
        <v>0</v>
      </c>
      <c r="P25" s="58">
        <f t="shared" si="0"/>
        <v>0</v>
      </c>
      <c r="Q25" s="58">
        <f t="shared" si="0"/>
        <v>0</v>
      </c>
      <c r="R25" s="58">
        <f t="shared" si="0"/>
        <v>0</v>
      </c>
      <c r="S25" s="58">
        <f t="shared" si="0"/>
        <v>0</v>
      </c>
      <c r="T25" s="58">
        <f t="shared" si="0"/>
        <v>0</v>
      </c>
      <c r="U25" s="58">
        <f t="shared" si="0"/>
        <v>0</v>
      </c>
      <c r="V25" s="58">
        <f t="shared" si="0"/>
        <v>0</v>
      </c>
      <c r="W25" s="58">
        <f t="shared" si="0"/>
        <v>0</v>
      </c>
      <c r="X25" s="58">
        <f t="shared" si="0"/>
        <v>0</v>
      </c>
      <c r="Y25" s="58">
        <f t="shared" si="0"/>
        <v>0</v>
      </c>
      <c r="Z25" s="58">
        <f t="shared" si="0"/>
        <v>0</v>
      </c>
      <c r="AA25" s="58">
        <f t="shared" si="0"/>
        <v>0</v>
      </c>
      <c r="AB25" s="58">
        <f t="shared" si="0"/>
        <v>309.8</v>
      </c>
      <c r="AC25" s="58">
        <f t="shared" si="0"/>
        <v>0</v>
      </c>
      <c r="AD25" s="58">
        <f t="shared" si="0"/>
        <v>0</v>
      </c>
      <c r="AE25" s="58">
        <f t="shared" si="0"/>
        <v>0</v>
      </c>
      <c r="AF25" s="90"/>
    </row>
    <row r="26" spans="1:32" ht="18.75" x14ac:dyDescent="0.3">
      <c r="A26" s="77" t="s">
        <v>33</v>
      </c>
      <c r="B26" s="47">
        <f>B29+B32+B35+B38</f>
        <v>309.8</v>
      </c>
      <c r="C26" s="587">
        <f>C29+C32+C35+C38</f>
        <v>0</v>
      </c>
      <c r="D26" s="587">
        <f>D29+D32+D35+D38</f>
        <v>0</v>
      </c>
      <c r="E26" s="587">
        <f>E29+E32+E35+E38</f>
        <v>0</v>
      </c>
      <c r="F26" s="587">
        <f>E26/B26*100</f>
        <v>0</v>
      </c>
      <c r="G26" s="587" t="e">
        <f>E26/C26*100</f>
        <v>#DIV/0!</v>
      </c>
      <c r="H26" s="587">
        <f>H29+H32+H35+H38</f>
        <v>0</v>
      </c>
      <c r="I26" s="587">
        <f t="shared" ref="I26:AE26" si="1">I29+I32+I35+I38</f>
        <v>0</v>
      </c>
      <c r="J26" s="587">
        <f>J29+J32+J35+J38</f>
        <v>0</v>
      </c>
      <c r="K26" s="587">
        <v>0</v>
      </c>
      <c r="L26" s="47">
        <f t="shared" si="1"/>
        <v>0</v>
      </c>
      <c r="M26" s="47">
        <f t="shared" si="1"/>
        <v>0</v>
      </c>
      <c r="N26" s="47">
        <f t="shared" si="1"/>
        <v>0</v>
      </c>
      <c r="O26" s="47">
        <f t="shared" si="1"/>
        <v>0</v>
      </c>
      <c r="P26" s="47">
        <f t="shared" si="1"/>
        <v>0</v>
      </c>
      <c r="Q26" s="47">
        <f t="shared" si="1"/>
        <v>0</v>
      </c>
      <c r="R26" s="47">
        <f t="shared" si="1"/>
        <v>0</v>
      </c>
      <c r="S26" s="47">
        <f t="shared" si="1"/>
        <v>0</v>
      </c>
      <c r="T26" s="47">
        <f t="shared" si="1"/>
        <v>0</v>
      </c>
      <c r="U26" s="47">
        <f t="shared" si="1"/>
        <v>0</v>
      </c>
      <c r="V26" s="47">
        <f t="shared" si="1"/>
        <v>0</v>
      </c>
      <c r="W26" s="47">
        <f t="shared" si="1"/>
        <v>0</v>
      </c>
      <c r="X26" s="47">
        <f t="shared" si="1"/>
        <v>0</v>
      </c>
      <c r="Y26" s="47">
        <f t="shared" si="1"/>
        <v>0</v>
      </c>
      <c r="Z26" s="47">
        <f t="shared" si="1"/>
        <v>0</v>
      </c>
      <c r="AA26" s="47">
        <f t="shared" si="1"/>
        <v>0</v>
      </c>
      <c r="AB26" s="47">
        <f t="shared" si="1"/>
        <v>309.8</v>
      </c>
      <c r="AC26" s="47">
        <f t="shared" si="1"/>
        <v>0</v>
      </c>
      <c r="AD26" s="47">
        <f t="shared" si="1"/>
        <v>0</v>
      </c>
      <c r="AE26" s="47">
        <f t="shared" si="1"/>
        <v>0</v>
      </c>
      <c r="AF26" s="90"/>
    </row>
    <row r="27" spans="1:32" ht="225" x14ac:dyDescent="0.3">
      <c r="A27" s="77" t="s">
        <v>139</v>
      </c>
      <c r="B27" s="58"/>
      <c r="C27" s="588"/>
      <c r="D27" s="588"/>
      <c r="E27" s="588"/>
      <c r="F27" s="587"/>
      <c r="G27" s="587"/>
      <c r="H27" s="588"/>
      <c r="I27" s="588"/>
      <c r="J27" s="588"/>
      <c r="K27" s="588"/>
      <c r="L27" s="58"/>
      <c r="M27" s="58"/>
      <c r="N27" s="58"/>
      <c r="O27" s="58"/>
      <c r="P27" s="58"/>
      <c r="Q27" s="58"/>
      <c r="R27" s="58"/>
      <c r="S27" s="58"/>
      <c r="T27" s="58"/>
      <c r="U27" s="58"/>
      <c r="V27" s="58"/>
      <c r="W27" s="58"/>
      <c r="X27" s="58"/>
      <c r="Y27" s="58"/>
      <c r="Z27" s="58"/>
      <c r="AA27" s="58"/>
      <c r="AB27" s="58"/>
      <c r="AC27" s="58"/>
      <c r="AD27" s="58"/>
      <c r="AE27" s="58"/>
      <c r="AF27" s="90"/>
    </row>
    <row r="28" spans="1:32" ht="18.75" x14ac:dyDescent="0.3">
      <c r="A28" s="82" t="s">
        <v>31</v>
      </c>
      <c r="B28" s="58">
        <f>B29</f>
        <v>309.8</v>
      </c>
      <c r="C28" s="588">
        <f>C29</f>
        <v>0</v>
      </c>
      <c r="D28" s="588">
        <v>0</v>
      </c>
      <c r="E28" s="588">
        <f>E29</f>
        <v>0</v>
      </c>
      <c r="F28" s="587">
        <f>E28/B28*100</f>
        <v>0</v>
      </c>
      <c r="G28" s="587" t="e">
        <f>E28/C28*100</f>
        <v>#DIV/0!</v>
      </c>
      <c r="H28" s="588">
        <f>H29</f>
        <v>0</v>
      </c>
      <c r="I28" s="588">
        <f t="shared" ref="I28:AE28" si="2">I29</f>
        <v>0</v>
      </c>
      <c r="J28" s="588">
        <f t="shared" si="2"/>
        <v>0</v>
      </c>
      <c r="K28" s="588">
        <f t="shared" si="2"/>
        <v>0</v>
      </c>
      <c r="L28" s="58">
        <f t="shared" si="2"/>
        <v>0</v>
      </c>
      <c r="M28" s="58">
        <f t="shared" si="2"/>
        <v>0</v>
      </c>
      <c r="N28" s="58">
        <f t="shared" si="2"/>
        <v>0</v>
      </c>
      <c r="O28" s="58">
        <f t="shared" si="2"/>
        <v>0</v>
      </c>
      <c r="P28" s="58">
        <f t="shared" si="2"/>
        <v>0</v>
      </c>
      <c r="Q28" s="58">
        <f t="shared" si="2"/>
        <v>0</v>
      </c>
      <c r="R28" s="58">
        <f t="shared" si="2"/>
        <v>0</v>
      </c>
      <c r="S28" s="58">
        <f t="shared" si="2"/>
        <v>0</v>
      </c>
      <c r="T28" s="58">
        <f t="shared" si="2"/>
        <v>0</v>
      </c>
      <c r="U28" s="58">
        <f t="shared" si="2"/>
        <v>0</v>
      </c>
      <c r="V28" s="58">
        <f t="shared" si="2"/>
        <v>0</v>
      </c>
      <c r="W28" s="58">
        <f t="shared" si="2"/>
        <v>0</v>
      </c>
      <c r="X28" s="58">
        <f t="shared" si="2"/>
        <v>0</v>
      </c>
      <c r="Y28" s="58">
        <f t="shared" si="2"/>
        <v>0</v>
      </c>
      <c r="Z28" s="58">
        <f t="shared" si="2"/>
        <v>0</v>
      </c>
      <c r="AA28" s="58">
        <f t="shared" si="2"/>
        <v>0</v>
      </c>
      <c r="AB28" s="58">
        <f t="shared" si="2"/>
        <v>309.8</v>
      </c>
      <c r="AC28" s="58">
        <f t="shared" si="2"/>
        <v>0</v>
      </c>
      <c r="AD28" s="58">
        <f t="shared" si="2"/>
        <v>0</v>
      </c>
      <c r="AE28" s="58">
        <f t="shared" si="2"/>
        <v>0</v>
      </c>
      <c r="AF28" s="90"/>
    </row>
    <row r="29" spans="1:32" ht="18.75" x14ac:dyDescent="0.3">
      <c r="A29" s="77" t="s">
        <v>33</v>
      </c>
      <c r="B29" s="47">
        <f>H29+J29+L29+N29+P29+R29+T29+V29+X29+Z29+AB29+AD29</f>
        <v>309.8</v>
      </c>
      <c r="C29" s="587">
        <f>H29</f>
        <v>0</v>
      </c>
      <c r="D29" s="590">
        <v>0</v>
      </c>
      <c r="E29" s="587">
        <f>K29+M29+O29+Q29+S29+U29+W29+Y29+AA29+AC29+AE29+AG29</f>
        <v>0</v>
      </c>
      <c r="F29" s="587">
        <f>E29/B29*100</f>
        <v>0</v>
      </c>
      <c r="G29" s="587" t="e">
        <f>E29/C29*100</f>
        <v>#DIV/0!</v>
      </c>
      <c r="H29" s="588">
        <v>0</v>
      </c>
      <c r="I29" s="588">
        <v>0</v>
      </c>
      <c r="J29" s="588">
        <v>0</v>
      </c>
      <c r="K29" s="588">
        <v>0</v>
      </c>
      <c r="L29" s="58"/>
      <c r="M29" s="58"/>
      <c r="N29" s="58"/>
      <c r="O29" s="58"/>
      <c r="P29" s="58"/>
      <c r="Q29" s="58"/>
      <c r="R29" s="58">
        <v>0</v>
      </c>
      <c r="S29" s="58">
        <v>0</v>
      </c>
      <c r="T29" s="58"/>
      <c r="U29" s="58"/>
      <c r="V29" s="58"/>
      <c r="W29" s="58"/>
      <c r="X29" s="58"/>
      <c r="Y29" s="58"/>
      <c r="Z29" s="58"/>
      <c r="AA29" s="58"/>
      <c r="AB29" s="58">
        <v>309.8</v>
      </c>
      <c r="AC29" s="58"/>
      <c r="AD29" s="58"/>
      <c r="AE29" s="58"/>
      <c r="AF29" s="90"/>
    </row>
    <row r="30" spans="1:32" ht="337.5" hidden="1" x14ac:dyDescent="0.3">
      <c r="A30" s="77" t="s">
        <v>140</v>
      </c>
      <c r="B30" s="58"/>
      <c r="C30" s="588"/>
      <c r="D30" s="588"/>
      <c r="E30" s="588"/>
      <c r="F30" s="587"/>
      <c r="G30" s="587"/>
      <c r="H30" s="588"/>
      <c r="I30" s="588"/>
      <c r="J30" s="588"/>
      <c r="K30" s="588"/>
      <c r="L30" s="58"/>
      <c r="M30" s="58"/>
      <c r="N30" s="58"/>
      <c r="O30" s="58"/>
      <c r="P30" s="58"/>
      <c r="Q30" s="58"/>
      <c r="R30" s="58"/>
      <c r="S30" s="58"/>
      <c r="T30" s="58"/>
      <c r="U30" s="58"/>
      <c r="V30" s="58"/>
      <c r="W30" s="58"/>
      <c r="X30" s="58"/>
      <c r="Y30" s="58"/>
      <c r="Z30" s="58"/>
      <c r="AA30" s="58"/>
      <c r="AB30" s="58"/>
      <c r="AC30" s="58"/>
      <c r="AD30" s="58"/>
      <c r="AE30" s="58"/>
      <c r="AF30" s="90"/>
    </row>
    <row r="31" spans="1:32" ht="18.75" hidden="1" x14ac:dyDescent="0.3">
      <c r="A31" s="82" t="s">
        <v>31</v>
      </c>
      <c r="B31" s="58">
        <f>B32</f>
        <v>0</v>
      </c>
      <c r="C31" s="588">
        <f>C32</f>
        <v>0</v>
      </c>
      <c r="D31" s="588"/>
      <c r="E31" s="588">
        <f>E32</f>
        <v>0</v>
      </c>
      <c r="F31" s="587"/>
      <c r="G31" s="587"/>
      <c r="H31" s="588"/>
      <c r="I31" s="588"/>
      <c r="J31" s="588"/>
      <c r="K31" s="588"/>
      <c r="L31" s="58"/>
      <c r="M31" s="58"/>
      <c r="N31" s="58"/>
      <c r="O31" s="58"/>
      <c r="P31" s="58"/>
      <c r="Q31" s="58"/>
      <c r="R31" s="58"/>
      <c r="S31" s="58"/>
      <c r="T31" s="58"/>
      <c r="U31" s="58"/>
      <c r="V31" s="58"/>
      <c r="W31" s="58"/>
      <c r="X31" s="58"/>
      <c r="Y31" s="58"/>
      <c r="Z31" s="58"/>
      <c r="AA31" s="58"/>
      <c r="AB31" s="58"/>
      <c r="AC31" s="58"/>
      <c r="AD31" s="58"/>
      <c r="AE31" s="58"/>
      <c r="AF31" s="90"/>
    </row>
    <row r="32" spans="1:32" ht="18.75" hidden="1" x14ac:dyDescent="0.3">
      <c r="A32" s="77" t="s">
        <v>33</v>
      </c>
      <c r="B32" s="47">
        <f>H32+J32+L32+N32+P32+R32+T32+V32+X32+Z32+AB32+AD32</f>
        <v>0</v>
      </c>
      <c r="C32" s="587">
        <f>H32</f>
        <v>0</v>
      </c>
      <c r="D32" s="587"/>
      <c r="E32" s="587">
        <f>K32+M32+O32+Q32+S32+U32+W32+Y32+AA32+AC32+AE32+AG32</f>
        <v>0</v>
      </c>
      <c r="F32" s="587" t="e">
        <f>E32/B32*100</f>
        <v>#DIV/0!</v>
      </c>
      <c r="G32" s="587" t="e">
        <f>E32/C32*100</f>
        <v>#DIV/0!</v>
      </c>
      <c r="H32" s="588"/>
      <c r="I32" s="588"/>
      <c r="J32" s="588"/>
      <c r="K32" s="588"/>
      <c r="L32" s="58"/>
      <c r="M32" s="58"/>
      <c r="N32" s="58"/>
      <c r="O32" s="58"/>
      <c r="P32" s="58"/>
      <c r="Q32" s="58"/>
      <c r="R32" s="58"/>
      <c r="S32" s="58"/>
      <c r="T32" s="58"/>
      <c r="U32" s="58"/>
      <c r="V32" s="58"/>
      <c r="W32" s="58"/>
      <c r="X32" s="58"/>
      <c r="Y32" s="58"/>
      <c r="Z32" s="58"/>
      <c r="AA32" s="58"/>
      <c r="AB32" s="58"/>
      <c r="AC32" s="58"/>
      <c r="AD32" s="58"/>
      <c r="AE32" s="58"/>
      <c r="AF32" s="90"/>
    </row>
    <row r="33" spans="1:32" ht="112.5" hidden="1" x14ac:dyDescent="0.3">
      <c r="A33" s="77" t="s">
        <v>141</v>
      </c>
      <c r="B33" s="58"/>
      <c r="C33" s="588"/>
      <c r="D33" s="588"/>
      <c r="E33" s="588"/>
      <c r="F33" s="587"/>
      <c r="G33" s="587"/>
      <c r="H33" s="588"/>
      <c r="I33" s="588"/>
      <c r="J33" s="588"/>
      <c r="K33" s="588"/>
      <c r="L33" s="58"/>
      <c r="M33" s="58"/>
      <c r="N33" s="58"/>
      <c r="O33" s="58"/>
      <c r="P33" s="58"/>
      <c r="Q33" s="58"/>
      <c r="R33" s="58"/>
      <c r="S33" s="58"/>
      <c r="T33" s="58"/>
      <c r="U33" s="58"/>
      <c r="V33" s="58"/>
      <c r="W33" s="58"/>
      <c r="X33" s="58"/>
      <c r="Y33" s="58"/>
      <c r="Z33" s="58"/>
      <c r="AA33" s="58"/>
      <c r="AB33" s="58"/>
      <c r="AC33" s="58"/>
      <c r="AD33" s="58"/>
      <c r="AE33" s="58"/>
      <c r="AF33" s="90"/>
    </row>
    <row r="34" spans="1:32" ht="18.75" hidden="1" x14ac:dyDescent="0.3">
      <c r="A34" s="82" t="s">
        <v>31</v>
      </c>
      <c r="B34" s="58">
        <f>B35</f>
        <v>0</v>
      </c>
      <c r="C34" s="588">
        <f>C35</f>
        <v>0</v>
      </c>
      <c r="D34" s="588">
        <f>D35</f>
        <v>0</v>
      </c>
      <c r="E34" s="588">
        <f>E35</f>
        <v>0</v>
      </c>
      <c r="F34" s="587" t="e">
        <f>E34/B34*100</f>
        <v>#DIV/0!</v>
      </c>
      <c r="G34" s="587" t="e">
        <f>E34/C34*100</f>
        <v>#DIV/0!</v>
      </c>
      <c r="H34" s="589"/>
      <c r="I34" s="589"/>
      <c r="J34" s="589"/>
      <c r="K34" s="589"/>
      <c r="L34" s="94"/>
      <c r="M34" s="94"/>
      <c r="N34" s="94"/>
      <c r="O34" s="94"/>
      <c r="P34" s="94"/>
      <c r="Q34" s="94"/>
      <c r="R34" s="94"/>
      <c r="S34" s="94"/>
      <c r="T34" s="94"/>
      <c r="U34" s="94"/>
      <c r="V34" s="94"/>
      <c r="W34" s="94"/>
      <c r="X34" s="94"/>
      <c r="Y34" s="94"/>
      <c r="Z34" s="94"/>
      <c r="AA34" s="94"/>
      <c r="AB34" s="94"/>
      <c r="AC34" s="94"/>
      <c r="AD34" s="94"/>
      <c r="AE34" s="94"/>
      <c r="AF34" s="90"/>
    </row>
    <row r="35" spans="1:32" ht="18.75" hidden="1" x14ac:dyDescent="0.3">
      <c r="A35" s="77" t="s">
        <v>33</v>
      </c>
      <c r="B35" s="47">
        <f>H35+J35+L35+N35+P35+R35+T35+V35+X35+Z35+AB35+AD35</f>
        <v>0</v>
      </c>
      <c r="C35" s="587">
        <f>H35</f>
        <v>0</v>
      </c>
      <c r="D35" s="587"/>
      <c r="E35" s="587">
        <f>K35+M35+O35+Q35+S35+U35+W35+Y35+AA35+AC35+AE35+AG32</f>
        <v>0</v>
      </c>
      <c r="F35" s="587" t="e">
        <f>E35/B35*100</f>
        <v>#DIV/0!</v>
      </c>
      <c r="G35" s="587" t="e">
        <f>E35/C35*100</f>
        <v>#DIV/0!</v>
      </c>
      <c r="H35" s="589"/>
      <c r="I35" s="589"/>
      <c r="J35" s="589"/>
      <c r="K35" s="589"/>
      <c r="L35" s="94"/>
      <c r="M35" s="94"/>
      <c r="N35" s="94"/>
      <c r="O35" s="94"/>
      <c r="P35" s="94"/>
      <c r="Q35" s="94"/>
      <c r="R35" s="94"/>
      <c r="S35" s="94"/>
      <c r="T35" s="94"/>
      <c r="U35" s="94"/>
      <c r="V35" s="94"/>
      <c r="W35" s="94"/>
      <c r="X35" s="94"/>
      <c r="Y35" s="94"/>
      <c r="Z35" s="94"/>
      <c r="AA35" s="94"/>
      <c r="AB35" s="94"/>
      <c r="AC35" s="94"/>
      <c r="AD35" s="94"/>
      <c r="AE35" s="94"/>
      <c r="AF35" s="90"/>
    </row>
    <row r="36" spans="1:32" ht="187.5" hidden="1" x14ac:dyDescent="0.3">
      <c r="A36" s="77" t="s">
        <v>142</v>
      </c>
      <c r="B36" s="58"/>
      <c r="C36" s="588"/>
      <c r="D36" s="588"/>
      <c r="E36" s="588"/>
      <c r="F36" s="587"/>
      <c r="G36" s="587"/>
      <c r="H36" s="588"/>
      <c r="I36" s="588"/>
      <c r="J36" s="588"/>
      <c r="K36" s="588"/>
      <c r="L36" s="58"/>
      <c r="M36" s="58"/>
      <c r="N36" s="58"/>
      <c r="O36" s="58"/>
      <c r="P36" s="58"/>
      <c r="Q36" s="58"/>
      <c r="R36" s="58"/>
      <c r="S36" s="58"/>
      <c r="T36" s="58"/>
      <c r="U36" s="58"/>
      <c r="V36" s="58"/>
      <c r="W36" s="58"/>
      <c r="X36" s="58"/>
      <c r="Y36" s="58"/>
      <c r="Z36" s="58"/>
      <c r="AA36" s="58"/>
      <c r="AB36" s="58"/>
      <c r="AC36" s="58"/>
      <c r="AD36" s="58"/>
      <c r="AE36" s="58"/>
      <c r="AF36" s="90"/>
    </row>
    <row r="37" spans="1:32" ht="18.75" hidden="1" x14ac:dyDescent="0.3">
      <c r="A37" s="82" t="s">
        <v>31</v>
      </c>
      <c r="B37" s="58">
        <f>B38</f>
        <v>0</v>
      </c>
      <c r="C37" s="588">
        <f>C38</f>
        <v>0</v>
      </c>
      <c r="D37" s="588">
        <f>D38</f>
        <v>0</v>
      </c>
      <c r="E37" s="588">
        <f>E38</f>
        <v>0</v>
      </c>
      <c r="F37" s="587" t="e">
        <f>E37/B37*100</f>
        <v>#DIV/0!</v>
      </c>
      <c r="G37" s="587" t="e">
        <f>E37/C37*100</f>
        <v>#DIV/0!</v>
      </c>
      <c r="H37" s="588"/>
      <c r="I37" s="588"/>
      <c r="J37" s="588"/>
      <c r="K37" s="588"/>
      <c r="L37" s="58"/>
      <c r="M37" s="58"/>
      <c r="N37" s="58"/>
      <c r="O37" s="58"/>
      <c r="P37" s="58"/>
      <c r="Q37" s="58"/>
      <c r="R37" s="58"/>
      <c r="S37" s="58"/>
      <c r="T37" s="58"/>
      <c r="U37" s="58"/>
      <c r="V37" s="58"/>
      <c r="W37" s="58"/>
      <c r="X37" s="58"/>
      <c r="Y37" s="58"/>
      <c r="Z37" s="58"/>
      <c r="AA37" s="58"/>
      <c r="AB37" s="58"/>
      <c r="AC37" s="58"/>
      <c r="AD37" s="58"/>
      <c r="AE37" s="58"/>
      <c r="AF37" s="90"/>
    </row>
    <row r="38" spans="1:32" ht="18.75" hidden="1" x14ac:dyDescent="0.3">
      <c r="A38" s="77" t="s">
        <v>33</v>
      </c>
      <c r="B38" s="47">
        <f>H38+J38+L38+N38+P38+R38+T38+V38+X38+Z38+AB38+AD38</f>
        <v>0</v>
      </c>
      <c r="C38" s="587">
        <f>H38</f>
        <v>0</v>
      </c>
      <c r="D38" s="587"/>
      <c r="E38" s="587">
        <f>K38+M38+O38+Q38+S38+U38+W38+Y38+AA38+AC38+AE38+AG35</f>
        <v>0</v>
      </c>
      <c r="F38" s="587" t="e">
        <f>E38/B38*100</f>
        <v>#DIV/0!</v>
      </c>
      <c r="G38" s="587" t="e">
        <f>E38/C38*100</f>
        <v>#DIV/0!</v>
      </c>
      <c r="H38" s="588"/>
      <c r="I38" s="588"/>
      <c r="J38" s="588"/>
      <c r="K38" s="588"/>
      <c r="L38" s="58"/>
      <c r="M38" s="58"/>
      <c r="N38" s="58"/>
      <c r="O38" s="58"/>
      <c r="P38" s="58"/>
      <c r="Q38" s="58"/>
      <c r="R38" s="58"/>
      <c r="S38" s="58"/>
      <c r="T38" s="58"/>
      <c r="U38" s="58"/>
      <c r="V38" s="58"/>
      <c r="W38" s="58"/>
      <c r="X38" s="58"/>
      <c r="Y38" s="58"/>
      <c r="Z38" s="58"/>
      <c r="AA38" s="58"/>
      <c r="AB38" s="58"/>
      <c r="AC38" s="58"/>
      <c r="AD38" s="58"/>
      <c r="AE38" s="58"/>
      <c r="AF38" s="90"/>
    </row>
    <row r="39" spans="1:32" ht="243.75" x14ac:dyDescent="0.3">
      <c r="A39" s="78" t="s">
        <v>161</v>
      </c>
      <c r="B39" s="58"/>
      <c r="C39" s="588"/>
      <c r="D39" s="588"/>
      <c r="E39" s="588"/>
      <c r="F39" s="587"/>
      <c r="G39" s="587"/>
      <c r="H39" s="588"/>
      <c r="I39" s="588"/>
      <c r="J39" s="588"/>
      <c r="K39" s="588"/>
      <c r="L39" s="58"/>
      <c r="M39" s="58"/>
      <c r="N39" s="58"/>
      <c r="O39" s="58"/>
      <c r="P39" s="58"/>
      <c r="Q39" s="58"/>
      <c r="R39" s="58"/>
      <c r="S39" s="58"/>
      <c r="T39" s="58"/>
      <c r="U39" s="58"/>
      <c r="V39" s="58"/>
      <c r="W39" s="58"/>
      <c r="X39" s="58"/>
      <c r="Y39" s="58"/>
      <c r="Z39" s="58"/>
      <c r="AA39" s="58"/>
      <c r="AB39" s="58"/>
      <c r="AC39" s="58"/>
      <c r="AD39" s="58"/>
      <c r="AE39" s="58"/>
      <c r="AF39" s="679" t="s">
        <v>496</v>
      </c>
    </row>
    <row r="40" spans="1:32" ht="18.75" x14ac:dyDescent="0.3">
      <c r="A40" s="899" t="s">
        <v>31</v>
      </c>
      <c r="B40" s="900">
        <f>B41+B42</f>
        <v>652</v>
      </c>
      <c r="C40" s="898">
        <f>C41+C42</f>
        <v>350</v>
      </c>
      <c r="D40" s="898">
        <f>D41+D42</f>
        <v>350</v>
      </c>
      <c r="E40" s="898">
        <f>E41+E42</f>
        <v>350</v>
      </c>
      <c r="F40" s="587">
        <f>E40/B40*100</f>
        <v>53.680981595092028</v>
      </c>
      <c r="G40" s="587">
        <f>E40/C40*100</f>
        <v>100</v>
      </c>
      <c r="H40" s="588">
        <f>H41+H42</f>
        <v>0</v>
      </c>
      <c r="I40" s="588">
        <f t="shared" ref="I40:AE40" si="3">I41+I42</f>
        <v>0</v>
      </c>
      <c r="J40" s="588">
        <f t="shared" si="3"/>
        <v>0</v>
      </c>
      <c r="K40" s="588">
        <f t="shared" si="3"/>
        <v>0</v>
      </c>
      <c r="L40" s="58">
        <v>350</v>
      </c>
      <c r="M40" s="58">
        <f t="shared" si="3"/>
        <v>122.8</v>
      </c>
      <c r="N40" s="58">
        <f t="shared" si="3"/>
        <v>0</v>
      </c>
      <c r="O40" s="58">
        <f t="shared" si="3"/>
        <v>27.2</v>
      </c>
      <c r="P40" s="58">
        <f t="shared" si="3"/>
        <v>0</v>
      </c>
      <c r="Q40" s="58">
        <f t="shared" si="3"/>
        <v>200</v>
      </c>
      <c r="R40" s="58">
        <f t="shared" si="3"/>
        <v>0</v>
      </c>
      <c r="S40" s="58">
        <f t="shared" si="3"/>
        <v>0</v>
      </c>
      <c r="T40" s="58">
        <f t="shared" si="3"/>
        <v>0</v>
      </c>
      <c r="U40" s="58">
        <f t="shared" si="3"/>
        <v>0</v>
      </c>
      <c r="V40" s="58">
        <f t="shared" si="3"/>
        <v>0</v>
      </c>
      <c r="W40" s="58">
        <f t="shared" si="3"/>
        <v>0</v>
      </c>
      <c r="X40" s="58">
        <f t="shared" si="3"/>
        <v>0</v>
      </c>
      <c r="Y40" s="58">
        <f t="shared" si="3"/>
        <v>0</v>
      </c>
      <c r="Z40" s="58">
        <f t="shared" si="3"/>
        <v>302</v>
      </c>
      <c r="AA40" s="58">
        <f t="shared" si="3"/>
        <v>0</v>
      </c>
      <c r="AB40" s="58">
        <f t="shared" si="3"/>
        <v>0</v>
      </c>
      <c r="AC40" s="58">
        <f t="shared" si="3"/>
        <v>0</v>
      </c>
      <c r="AD40" s="58">
        <f t="shared" si="3"/>
        <v>0</v>
      </c>
      <c r="AE40" s="58">
        <f t="shared" si="3"/>
        <v>0</v>
      </c>
      <c r="AF40" s="90"/>
    </row>
    <row r="41" spans="1:32" ht="18.75" x14ac:dyDescent="0.3">
      <c r="A41" s="899" t="s">
        <v>143</v>
      </c>
      <c r="B41" s="900">
        <f>H41+J41+L41+N41+P41+R41+T41+V41+X41+Z41+AB41+AD41</f>
        <v>195.6</v>
      </c>
      <c r="C41" s="898">
        <f>M41</f>
        <v>97.8</v>
      </c>
      <c r="D41" s="898">
        <f>M41</f>
        <v>97.8</v>
      </c>
      <c r="E41" s="898">
        <f>M41</f>
        <v>97.8</v>
      </c>
      <c r="F41" s="587">
        <f>E41/B41*100</f>
        <v>50</v>
      </c>
      <c r="G41" s="587">
        <f>E41/C41*100</f>
        <v>100</v>
      </c>
      <c r="H41" s="588">
        <v>0</v>
      </c>
      <c r="I41" s="588">
        <v>0</v>
      </c>
      <c r="J41" s="588">
        <v>0</v>
      </c>
      <c r="K41" s="588">
        <v>0</v>
      </c>
      <c r="L41" s="58">
        <v>97.8</v>
      </c>
      <c r="M41" s="58">
        <v>97.8</v>
      </c>
      <c r="N41" s="58">
        <v>0</v>
      </c>
      <c r="O41" s="58">
        <v>0</v>
      </c>
      <c r="P41" s="58">
        <v>0</v>
      </c>
      <c r="Q41" s="58">
        <v>0</v>
      </c>
      <c r="R41" s="58">
        <v>0</v>
      </c>
      <c r="S41" s="58">
        <v>0</v>
      </c>
      <c r="T41" s="58"/>
      <c r="U41" s="58"/>
      <c r="V41" s="58"/>
      <c r="W41" s="58"/>
      <c r="X41" s="58"/>
      <c r="Y41" s="58"/>
      <c r="Z41" s="58">
        <v>97.8</v>
      </c>
      <c r="AA41" s="58"/>
      <c r="AB41" s="58"/>
      <c r="AC41" s="58"/>
      <c r="AD41" s="58"/>
      <c r="AE41" s="58"/>
      <c r="AF41" s="90"/>
    </row>
    <row r="42" spans="1:32" ht="18.75" x14ac:dyDescent="0.3">
      <c r="A42" s="901" t="s">
        <v>33</v>
      </c>
      <c r="B42" s="900">
        <f>H42+J42+L42+N42+P42+R42+T42+V42+X42+Z42+AB42+AD42</f>
        <v>456.4</v>
      </c>
      <c r="C42" s="898">
        <f>M42+O42+Q42</f>
        <v>252.2</v>
      </c>
      <c r="D42" s="898">
        <f>M42+O42+Q42</f>
        <v>252.2</v>
      </c>
      <c r="E42" s="587">
        <f>K42+M42+O42+Q42+S42+U42+W42+Y42+AA42+AC42+AE42+AG38</f>
        <v>252.2</v>
      </c>
      <c r="F42" s="587">
        <f>E42/B42*100</f>
        <v>55.25854513584575</v>
      </c>
      <c r="G42" s="587">
        <f>E42/C42*100</f>
        <v>100</v>
      </c>
      <c r="H42" s="588">
        <v>0</v>
      </c>
      <c r="I42" s="588">
        <v>0</v>
      </c>
      <c r="J42" s="588">
        <v>0</v>
      </c>
      <c r="K42" s="588">
        <v>0</v>
      </c>
      <c r="L42" s="58">
        <v>252.2</v>
      </c>
      <c r="M42" s="58">
        <v>25</v>
      </c>
      <c r="N42" s="58">
        <v>0</v>
      </c>
      <c r="O42" s="58">
        <v>27.2</v>
      </c>
      <c r="P42" s="58">
        <v>0</v>
      </c>
      <c r="Q42" s="58">
        <v>200</v>
      </c>
      <c r="R42" s="58">
        <v>0</v>
      </c>
      <c r="S42" s="58">
        <v>0</v>
      </c>
      <c r="T42" s="58"/>
      <c r="U42" s="58"/>
      <c r="V42" s="58"/>
      <c r="W42" s="58"/>
      <c r="X42" s="58"/>
      <c r="Y42" s="58"/>
      <c r="Z42" s="58">
        <v>204.2</v>
      </c>
      <c r="AA42" s="58"/>
      <c r="AB42" s="58"/>
      <c r="AC42" s="58"/>
      <c r="AD42" s="58"/>
      <c r="AE42" s="58"/>
      <c r="AF42" s="90"/>
    </row>
    <row r="43" spans="1:32" ht="37.5" x14ac:dyDescent="0.3">
      <c r="A43" s="902" t="s">
        <v>130</v>
      </c>
      <c r="B43" s="900">
        <f>H43+J43+L43+N43+P43+R43+T43+V43+X43+Z43+AB43+AD43</f>
        <v>456.4</v>
      </c>
      <c r="C43" s="587">
        <f>M43+O43+Q43</f>
        <v>252.2</v>
      </c>
      <c r="D43" s="587">
        <f>M43+O43+Q43</f>
        <v>252.2</v>
      </c>
      <c r="E43" s="587">
        <f>K43+M43+O43+Q43+S43+U43+W43+Y43+AA43+AC43+AE43+AG39</f>
        <v>252.2</v>
      </c>
      <c r="F43" s="587">
        <f>E43/B43*100</f>
        <v>55.25854513584575</v>
      </c>
      <c r="G43" s="587">
        <f>E43/C43*100</f>
        <v>100</v>
      </c>
      <c r="H43" s="588">
        <v>0</v>
      </c>
      <c r="I43" s="588">
        <v>0</v>
      </c>
      <c r="J43" s="588">
        <v>0</v>
      </c>
      <c r="K43" s="588">
        <v>0</v>
      </c>
      <c r="L43" s="58">
        <v>228.2</v>
      </c>
      <c r="M43" s="58">
        <v>25</v>
      </c>
      <c r="N43" s="58">
        <v>0</v>
      </c>
      <c r="O43" s="58">
        <v>27.2</v>
      </c>
      <c r="P43" s="58">
        <v>0</v>
      </c>
      <c r="Q43" s="58">
        <v>200</v>
      </c>
      <c r="R43" s="58">
        <v>0</v>
      </c>
      <c r="S43" s="58">
        <v>0</v>
      </c>
      <c r="T43" s="58"/>
      <c r="U43" s="58"/>
      <c r="V43" s="58"/>
      <c r="W43" s="58"/>
      <c r="X43" s="58"/>
      <c r="Y43" s="58"/>
      <c r="Z43" s="58">
        <v>228.2</v>
      </c>
      <c r="AA43" s="58"/>
      <c r="AB43" s="58"/>
      <c r="AC43" s="58"/>
      <c r="AD43" s="58"/>
      <c r="AE43" s="58"/>
      <c r="AF43" s="90"/>
    </row>
    <row r="44" spans="1:32" ht="112.5" hidden="1" x14ac:dyDescent="0.3">
      <c r="A44" s="78" t="s">
        <v>144</v>
      </c>
      <c r="B44" s="58"/>
      <c r="C44" s="588"/>
      <c r="D44" s="588"/>
      <c r="E44" s="588"/>
      <c r="F44" s="587"/>
      <c r="G44" s="587"/>
      <c r="H44" s="588"/>
      <c r="I44" s="588"/>
      <c r="J44" s="588"/>
      <c r="K44" s="588"/>
      <c r="L44" s="58"/>
      <c r="M44" s="58"/>
      <c r="N44" s="58"/>
      <c r="O44" s="58"/>
      <c r="P44" s="58"/>
      <c r="Q44" s="58"/>
      <c r="R44" s="58"/>
      <c r="S44" s="58"/>
      <c r="T44" s="58"/>
      <c r="U44" s="58"/>
      <c r="V44" s="58"/>
      <c r="W44" s="58"/>
      <c r="X44" s="58"/>
      <c r="Y44" s="58"/>
      <c r="Z44" s="58"/>
      <c r="AA44" s="58"/>
      <c r="AB44" s="58"/>
      <c r="AC44" s="58"/>
      <c r="AD44" s="58"/>
      <c r="AE44" s="58"/>
      <c r="AF44" s="90"/>
    </row>
    <row r="45" spans="1:32" ht="18.75" hidden="1" x14ac:dyDescent="0.3">
      <c r="A45" s="82" t="s">
        <v>31</v>
      </c>
      <c r="B45" s="58">
        <f>B46</f>
        <v>0</v>
      </c>
      <c r="C45" s="588">
        <f>C46</f>
        <v>0</v>
      </c>
      <c r="D45" s="588"/>
      <c r="E45" s="588">
        <f>E46</f>
        <v>0</v>
      </c>
      <c r="F45" s="587" t="e">
        <f>E45/B45*100</f>
        <v>#DIV/0!</v>
      </c>
      <c r="G45" s="587" t="e">
        <f>E45/C45*100</f>
        <v>#DIV/0!</v>
      </c>
      <c r="H45" s="588"/>
      <c r="I45" s="588"/>
      <c r="J45" s="588"/>
      <c r="K45" s="588"/>
      <c r="L45" s="58"/>
      <c r="M45" s="58"/>
      <c r="N45" s="58"/>
      <c r="O45" s="58"/>
      <c r="P45" s="58"/>
      <c r="Q45" s="58"/>
      <c r="R45" s="58"/>
      <c r="S45" s="58"/>
      <c r="T45" s="58"/>
      <c r="U45" s="58"/>
      <c r="V45" s="58"/>
      <c r="W45" s="58"/>
      <c r="X45" s="58"/>
      <c r="Y45" s="58"/>
      <c r="Z45" s="58"/>
      <c r="AA45" s="58"/>
      <c r="AB45" s="58"/>
      <c r="AC45" s="58"/>
      <c r="AD45" s="58"/>
      <c r="AE45" s="58">
        <f>AE46</f>
        <v>0</v>
      </c>
      <c r="AF45" s="90"/>
    </row>
    <row r="46" spans="1:32" ht="18.75" hidden="1" x14ac:dyDescent="0.3">
      <c r="A46" s="77" t="s">
        <v>33</v>
      </c>
      <c r="B46" s="47">
        <f>H46+J46+L46+N46+P46+R46+T46+V46+X46+Z46+AB46+AD46</f>
        <v>0</v>
      </c>
      <c r="C46" s="587">
        <f>H46</f>
        <v>0</v>
      </c>
      <c r="D46" s="587"/>
      <c r="E46" s="587">
        <f>K46+M46+O46+Q46+S46+U46+W46+Y46+AA46+AC46+AE46+AG42</f>
        <v>0</v>
      </c>
      <c r="F46" s="587" t="e">
        <f>E46/B46*100</f>
        <v>#DIV/0!</v>
      </c>
      <c r="G46" s="587" t="e">
        <f>E46/C46*100</f>
        <v>#DIV/0!</v>
      </c>
      <c r="H46" s="588"/>
      <c r="I46" s="588"/>
      <c r="J46" s="588"/>
      <c r="K46" s="588"/>
      <c r="L46" s="58"/>
      <c r="M46" s="58"/>
      <c r="N46" s="58"/>
      <c r="O46" s="58"/>
      <c r="P46" s="58"/>
      <c r="Q46" s="58"/>
      <c r="R46" s="58"/>
      <c r="S46" s="58"/>
      <c r="T46" s="58"/>
      <c r="U46" s="58"/>
      <c r="V46" s="58"/>
      <c r="W46" s="58"/>
      <c r="X46" s="58"/>
      <c r="Y46" s="58"/>
      <c r="Z46" s="58"/>
      <c r="AA46" s="58"/>
      <c r="AB46" s="58"/>
      <c r="AC46" s="58"/>
      <c r="AD46" s="58"/>
      <c r="AE46" s="58"/>
      <c r="AF46" s="90"/>
    </row>
    <row r="47" spans="1:32" ht="281.25" hidden="1" x14ac:dyDescent="0.3">
      <c r="A47" s="78" t="s">
        <v>145</v>
      </c>
      <c r="B47" s="58"/>
      <c r="C47" s="588"/>
      <c r="D47" s="588"/>
      <c r="E47" s="588"/>
      <c r="F47" s="587"/>
      <c r="G47" s="587"/>
      <c r="H47" s="588"/>
      <c r="I47" s="588"/>
      <c r="J47" s="588"/>
      <c r="K47" s="588"/>
      <c r="L47" s="58"/>
      <c r="M47" s="58"/>
      <c r="N47" s="58"/>
      <c r="O47" s="58"/>
      <c r="P47" s="58"/>
      <c r="Q47" s="58"/>
      <c r="R47" s="58"/>
      <c r="S47" s="58"/>
      <c r="T47" s="58"/>
      <c r="U47" s="58"/>
      <c r="V47" s="58"/>
      <c r="W47" s="58"/>
      <c r="X47" s="58"/>
      <c r="Y47" s="58"/>
      <c r="Z47" s="58"/>
      <c r="AA47" s="58"/>
      <c r="AB47" s="58"/>
      <c r="AC47" s="58"/>
      <c r="AD47" s="58"/>
      <c r="AE47" s="58"/>
      <c r="AF47" s="90"/>
    </row>
    <row r="48" spans="1:32" ht="18.75" hidden="1" x14ac:dyDescent="0.3">
      <c r="A48" s="82" t="s">
        <v>31</v>
      </c>
      <c r="B48" s="58">
        <f>B49</f>
        <v>0</v>
      </c>
      <c r="C48" s="588">
        <f>C49</f>
        <v>0</v>
      </c>
      <c r="D48" s="588"/>
      <c r="E48" s="588">
        <f>E49</f>
        <v>0</v>
      </c>
      <c r="F48" s="587"/>
      <c r="G48" s="587"/>
      <c r="H48" s="588"/>
      <c r="I48" s="588"/>
      <c r="J48" s="588"/>
      <c r="K48" s="588"/>
      <c r="L48" s="58"/>
      <c r="M48" s="58"/>
      <c r="N48" s="58"/>
      <c r="O48" s="58"/>
      <c r="P48" s="58"/>
      <c r="Q48" s="58"/>
      <c r="R48" s="58"/>
      <c r="S48" s="58"/>
      <c r="T48" s="58"/>
      <c r="U48" s="58"/>
      <c r="V48" s="58"/>
      <c r="W48" s="58"/>
      <c r="X48" s="58"/>
      <c r="Y48" s="58"/>
      <c r="Z48" s="58"/>
      <c r="AA48" s="58"/>
      <c r="AB48" s="58"/>
      <c r="AC48" s="58"/>
      <c r="AD48" s="58"/>
      <c r="AE48" s="58">
        <f>AE49</f>
        <v>0</v>
      </c>
      <c r="AF48" s="90"/>
    </row>
    <row r="49" spans="1:32" ht="18.75" hidden="1" x14ac:dyDescent="0.3">
      <c r="A49" s="77" t="s">
        <v>33</v>
      </c>
      <c r="B49" s="47">
        <f>H49+J49+L49+N49+P49+R49+T49+V49+X49+Z49+AB49+AD49</f>
        <v>0</v>
      </c>
      <c r="C49" s="587">
        <f>H49</f>
        <v>0</v>
      </c>
      <c r="D49" s="587"/>
      <c r="E49" s="587">
        <f>K49+M49+O49+Q49+S49+U49+W49+Y49+AA49+AC49+AE49+AG46</f>
        <v>0</v>
      </c>
      <c r="F49" s="587" t="e">
        <f>E49/B49*100</f>
        <v>#DIV/0!</v>
      </c>
      <c r="G49" s="587" t="e">
        <f>E49/C49*100</f>
        <v>#DIV/0!</v>
      </c>
      <c r="H49" s="588"/>
      <c r="I49" s="588"/>
      <c r="J49" s="588"/>
      <c r="K49" s="588"/>
      <c r="L49" s="58"/>
      <c r="M49" s="58"/>
      <c r="N49" s="58"/>
      <c r="O49" s="58"/>
      <c r="P49" s="58"/>
      <c r="Q49" s="58"/>
      <c r="R49" s="58"/>
      <c r="S49" s="58"/>
      <c r="T49" s="58"/>
      <c r="U49" s="58"/>
      <c r="V49" s="58"/>
      <c r="W49" s="58"/>
      <c r="X49" s="58"/>
      <c r="Y49" s="58"/>
      <c r="Z49" s="58"/>
      <c r="AA49" s="58"/>
      <c r="AB49" s="58"/>
      <c r="AC49" s="58"/>
      <c r="AD49" s="58"/>
      <c r="AE49" s="58"/>
      <c r="AF49" s="90"/>
    </row>
    <row r="50" spans="1:32" ht="18.75" x14ac:dyDescent="0.3">
      <c r="A50" s="91" t="s">
        <v>53</v>
      </c>
      <c r="B50" s="58"/>
      <c r="C50" s="588"/>
      <c r="D50" s="588"/>
      <c r="E50" s="588"/>
      <c r="F50" s="587"/>
      <c r="G50" s="587"/>
      <c r="H50" s="588"/>
      <c r="I50" s="588"/>
      <c r="J50" s="588"/>
      <c r="K50" s="588"/>
      <c r="L50" s="58"/>
      <c r="M50" s="58"/>
      <c r="N50" s="58"/>
      <c r="O50" s="58"/>
      <c r="P50" s="58"/>
      <c r="Q50" s="58"/>
      <c r="R50" s="58"/>
      <c r="S50" s="58"/>
      <c r="T50" s="58"/>
      <c r="U50" s="58"/>
      <c r="V50" s="58"/>
      <c r="W50" s="58"/>
      <c r="X50" s="58"/>
      <c r="Y50" s="58"/>
      <c r="Z50" s="58"/>
      <c r="AA50" s="58"/>
      <c r="AB50" s="58"/>
      <c r="AC50" s="58"/>
      <c r="AD50" s="58"/>
      <c r="AE50" s="58"/>
      <c r="AF50" s="90"/>
    </row>
    <row r="51" spans="1:32" ht="18.75" x14ac:dyDescent="0.3">
      <c r="A51" s="82" t="s">
        <v>31</v>
      </c>
      <c r="B51" s="58">
        <f>B52+B53</f>
        <v>961.80000000000007</v>
      </c>
      <c r="C51" s="588">
        <f>C52+C53</f>
        <v>350</v>
      </c>
      <c r="D51" s="588">
        <f>D52+D53</f>
        <v>350</v>
      </c>
      <c r="E51" s="588">
        <f>E52+E53</f>
        <v>350</v>
      </c>
      <c r="F51" s="587">
        <f t="shared" ref="F51:G54" si="4">D51/B51*100</f>
        <v>36.390101892285301</v>
      </c>
      <c r="G51" s="587">
        <f t="shared" si="4"/>
        <v>100</v>
      </c>
      <c r="H51" s="588">
        <f>H52+H53</f>
        <v>0</v>
      </c>
      <c r="I51" s="588">
        <f t="shared" ref="I51:AE51" si="5">I52+I53</f>
        <v>0</v>
      </c>
      <c r="J51" s="588">
        <f t="shared" si="5"/>
        <v>0</v>
      </c>
      <c r="K51" s="588">
        <f t="shared" si="5"/>
        <v>0</v>
      </c>
      <c r="L51" s="58">
        <f t="shared" si="5"/>
        <v>350</v>
      </c>
      <c r="M51" s="58">
        <f t="shared" si="5"/>
        <v>122.8</v>
      </c>
      <c r="N51" s="58">
        <f t="shared" si="5"/>
        <v>0</v>
      </c>
      <c r="O51" s="58">
        <f t="shared" si="5"/>
        <v>27.2</v>
      </c>
      <c r="P51" s="58">
        <f t="shared" si="5"/>
        <v>0</v>
      </c>
      <c r="Q51" s="58">
        <f t="shared" si="5"/>
        <v>200</v>
      </c>
      <c r="R51" s="58">
        <f t="shared" si="5"/>
        <v>0</v>
      </c>
      <c r="S51" s="58">
        <f t="shared" si="5"/>
        <v>0</v>
      </c>
      <c r="T51" s="58">
        <f t="shared" si="5"/>
        <v>0</v>
      </c>
      <c r="U51" s="58">
        <f t="shared" si="5"/>
        <v>0</v>
      </c>
      <c r="V51" s="58">
        <f t="shared" si="5"/>
        <v>0</v>
      </c>
      <c r="W51" s="58">
        <f t="shared" si="5"/>
        <v>0</v>
      </c>
      <c r="X51" s="58">
        <f t="shared" si="5"/>
        <v>0</v>
      </c>
      <c r="Y51" s="58">
        <f t="shared" si="5"/>
        <v>0</v>
      </c>
      <c r="Z51" s="58">
        <f t="shared" si="5"/>
        <v>302</v>
      </c>
      <c r="AA51" s="58">
        <f t="shared" si="5"/>
        <v>0</v>
      </c>
      <c r="AB51" s="58">
        <f t="shared" si="5"/>
        <v>309.8</v>
      </c>
      <c r="AC51" s="58">
        <f t="shared" si="5"/>
        <v>0</v>
      </c>
      <c r="AD51" s="58">
        <f t="shared" si="5"/>
        <v>0</v>
      </c>
      <c r="AE51" s="58">
        <f t="shared" si="5"/>
        <v>0</v>
      </c>
      <c r="AF51" s="90"/>
    </row>
    <row r="52" spans="1:32" ht="18.75" x14ac:dyDescent="0.3">
      <c r="A52" s="82" t="s">
        <v>97</v>
      </c>
      <c r="B52" s="58">
        <f>B41</f>
        <v>195.6</v>
      </c>
      <c r="C52" s="588">
        <f>C41</f>
        <v>97.8</v>
      </c>
      <c r="D52" s="588">
        <f>D41</f>
        <v>97.8</v>
      </c>
      <c r="E52" s="588">
        <f>E41</f>
        <v>97.8</v>
      </c>
      <c r="F52" s="587">
        <f t="shared" si="4"/>
        <v>50</v>
      </c>
      <c r="G52" s="587">
        <f t="shared" si="4"/>
        <v>100</v>
      </c>
      <c r="H52" s="588">
        <f>H41</f>
        <v>0</v>
      </c>
      <c r="I52" s="588">
        <f t="shared" ref="I52:AE52" si="6">I41</f>
        <v>0</v>
      </c>
      <c r="J52" s="588">
        <f t="shared" si="6"/>
        <v>0</v>
      </c>
      <c r="K52" s="588">
        <f t="shared" si="6"/>
        <v>0</v>
      </c>
      <c r="L52" s="58">
        <f t="shared" si="6"/>
        <v>97.8</v>
      </c>
      <c r="M52" s="58">
        <f t="shared" si="6"/>
        <v>97.8</v>
      </c>
      <c r="N52" s="58">
        <f t="shared" si="6"/>
        <v>0</v>
      </c>
      <c r="O52" s="58">
        <f t="shared" si="6"/>
        <v>0</v>
      </c>
      <c r="P52" s="58">
        <f t="shared" si="6"/>
        <v>0</v>
      </c>
      <c r="Q52" s="58">
        <f t="shared" si="6"/>
        <v>0</v>
      </c>
      <c r="R52" s="58">
        <f t="shared" si="6"/>
        <v>0</v>
      </c>
      <c r="S52" s="58">
        <f t="shared" si="6"/>
        <v>0</v>
      </c>
      <c r="T52" s="58">
        <f t="shared" si="6"/>
        <v>0</v>
      </c>
      <c r="U52" s="58">
        <f t="shared" si="6"/>
        <v>0</v>
      </c>
      <c r="V52" s="58">
        <f t="shared" si="6"/>
        <v>0</v>
      </c>
      <c r="W52" s="58">
        <f t="shared" si="6"/>
        <v>0</v>
      </c>
      <c r="X52" s="58">
        <f t="shared" si="6"/>
        <v>0</v>
      </c>
      <c r="Y52" s="58">
        <f t="shared" si="6"/>
        <v>0</v>
      </c>
      <c r="Z52" s="58">
        <f t="shared" si="6"/>
        <v>97.8</v>
      </c>
      <c r="AA52" s="58">
        <f t="shared" si="6"/>
        <v>0</v>
      </c>
      <c r="AB52" s="58">
        <f t="shared" si="6"/>
        <v>0</v>
      </c>
      <c r="AC52" s="58">
        <f t="shared" si="6"/>
        <v>0</v>
      </c>
      <c r="AD52" s="58">
        <f t="shared" si="6"/>
        <v>0</v>
      </c>
      <c r="AE52" s="58">
        <f t="shared" si="6"/>
        <v>0</v>
      </c>
      <c r="AF52" s="90"/>
    </row>
    <row r="53" spans="1:32" ht="18.75" x14ac:dyDescent="0.3">
      <c r="A53" s="77" t="s">
        <v>33</v>
      </c>
      <c r="B53" s="58">
        <f>B11+B14+B17+B20+B26+B42+B46+B49</f>
        <v>766.2</v>
      </c>
      <c r="C53" s="588">
        <f>C11+C14+C17+C20+C26+C42+C46+C49</f>
        <v>252.2</v>
      </c>
      <c r="D53" s="588">
        <f>D11+D14+D17+D20+D26+D42+D46+D49</f>
        <v>252.2</v>
      </c>
      <c r="E53" s="588">
        <f>E11+E14+E17+E20+E26+E42+E46+E49</f>
        <v>252.2</v>
      </c>
      <c r="F53" s="587">
        <f t="shared" si="4"/>
        <v>32.915687809971281</v>
      </c>
      <c r="G53" s="587">
        <f t="shared" si="4"/>
        <v>100</v>
      </c>
      <c r="H53" s="588">
        <f>H11+H14+H17+H20+H26+H42+H46+H49</f>
        <v>0</v>
      </c>
      <c r="I53" s="588">
        <f t="shared" ref="I53:AE53" si="7">I11+I14+I17+I20+I26+I42+I46+I49</f>
        <v>0</v>
      </c>
      <c r="J53" s="588">
        <f t="shared" si="7"/>
        <v>0</v>
      </c>
      <c r="K53" s="588">
        <f t="shared" si="7"/>
        <v>0</v>
      </c>
      <c r="L53" s="58">
        <f t="shared" si="7"/>
        <v>252.2</v>
      </c>
      <c r="M53" s="58">
        <f t="shared" si="7"/>
        <v>25</v>
      </c>
      <c r="N53" s="58">
        <f t="shared" si="7"/>
        <v>0</v>
      </c>
      <c r="O53" s="58">
        <f t="shared" si="7"/>
        <v>27.2</v>
      </c>
      <c r="P53" s="58">
        <f t="shared" si="7"/>
        <v>0</v>
      </c>
      <c r="Q53" s="58">
        <f t="shared" si="7"/>
        <v>200</v>
      </c>
      <c r="R53" s="58">
        <f t="shared" si="7"/>
        <v>0</v>
      </c>
      <c r="S53" s="58">
        <f t="shared" si="7"/>
        <v>0</v>
      </c>
      <c r="T53" s="58">
        <f t="shared" si="7"/>
        <v>0</v>
      </c>
      <c r="U53" s="58">
        <f t="shared" si="7"/>
        <v>0</v>
      </c>
      <c r="V53" s="58">
        <f t="shared" si="7"/>
        <v>0</v>
      </c>
      <c r="W53" s="58">
        <f t="shared" si="7"/>
        <v>0</v>
      </c>
      <c r="X53" s="58">
        <f t="shared" si="7"/>
        <v>0</v>
      </c>
      <c r="Y53" s="58">
        <f t="shared" si="7"/>
        <v>0</v>
      </c>
      <c r="Z53" s="58">
        <f t="shared" si="7"/>
        <v>204.2</v>
      </c>
      <c r="AA53" s="58">
        <f t="shared" si="7"/>
        <v>0</v>
      </c>
      <c r="AB53" s="58">
        <f t="shared" si="7"/>
        <v>309.8</v>
      </c>
      <c r="AC53" s="58">
        <f t="shared" si="7"/>
        <v>0</v>
      </c>
      <c r="AD53" s="58">
        <f t="shared" si="7"/>
        <v>0</v>
      </c>
      <c r="AE53" s="58">
        <f t="shared" si="7"/>
        <v>0</v>
      </c>
      <c r="AF53" s="90"/>
    </row>
    <row r="54" spans="1:32" ht="37.5" x14ac:dyDescent="0.3">
      <c r="A54" s="84" t="s">
        <v>130</v>
      </c>
      <c r="B54" s="58">
        <f>B43</f>
        <v>456.4</v>
      </c>
      <c r="C54" s="588">
        <f>C43</f>
        <v>252.2</v>
      </c>
      <c r="D54" s="588">
        <f>D43</f>
        <v>252.2</v>
      </c>
      <c r="E54" s="588">
        <f>E43</f>
        <v>252.2</v>
      </c>
      <c r="F54" s="587">
        <f t="shared" si="4"/>
        <v>55.25854513584575</v>
      </c>
      <c r="G54" s="587">
        <f t="shared" si="4"/>
        <v>100</v>
      </c>
      <c r="H54" s="588">
        <f>H43</f>
        <v>0</v>
      </c>
      <c r="I54" s="588">
        <f t="shared" ref="I54:AE54" si="8">I43</f>
        <v>0</v>
      </c>
      <c r="J54" s="588">
        <f t="shared" si="8"/>
        <v>0</v>
      </c>
      <c r="K54" s="588">
        <f t="shared" si="8"/>
        <v>0</v>
      </c>
      <c r="L54" s="58">
        <f t="shared" si="8"/>
        <v>228.2</v>
      </c>
      <c r="M54" s="58">
        <f t="shared" si="8"/>
        <v>25</v>
      </c>
      <c r="N54" s="58">
        <f t="shared" si="8"/>
        <v>0</v>
      </c>
      <c r="O54" s="58">
        <f t="shared" si="8"/>
        <v>27.2</v>
      </c>
      <c r="P54" s="58">
        <f t="shared" si="8"/>
        <v>0</v>
      </c>
      <c r="Q54" s="58">
        <f t="shared" si="8"/>
        <v>200</v>
      </c>
      <c r="R54" s="58">
        <f t="shared" si="8"/>
        <v>0</v>
      </c>
      <c r="S54" s="58">
        <f t="shared" si="8"/>
        <v>0</v>
      </c>
      <c r="T54" s="58">
        <f t="shared" si="8"/>
        <v>0</v>
      </c>
      <c r="U54" s="58">
        <f t="shared" si="8"/>
        <v>0</v>
      </c>
      <c r="V54" s="58">
        <f t="shared" si="8"/>
        <v>0</v>
      </c>
      <c r="W54" s="58">
        <f t="shared" si="8"/>
        <v>0</v>
      </c>
      <c r="X54" s="58">
        <f t="shared" si="8"/>
        <v>0</v>
      </c>
      <c r="Y54" s="58">
        <f t="shared" si="8"/>
        <v>0</v>
      </c>
      <c r="Z54" s="58">
        <f t="shared" si="8"/>
        <v>228.2</v>
      </c>
      <c r="AA54" s="58">
        <f t="shared" si="8"/>
        <v>0</v>
      </c>
      <c r="AB54" s="58">
        <f t="shared" si="8"/>
        <v>0</v>
      </c>
      <c r="AC54" s="58">
        <f t="shared" si="8"/>
        <v>0</v>
      </c>
      <c r="AD54" s="58">
        <f t="shared" si="8"/>
        <v>0</v>
      </c>
      <c r="AE54" s="58">
        <f t="shared" si="8"/>
        <v>0</v>
      </c>
      <c r="AF54" s="90"/>
    </row>
    <row r="55" spans="1:32" ht="37.5" x14ac:dyDescent="0.3">
      <c r="A55" s="87" t="s">
        <v>72</v>
      </c>
      <c r="B55" s="90"/>
      <c r="C55" s="588"/>
      <c r="D55" s="588"/>
      <c r="E55" s="588"/>
      <c r="F55" s="588"/>
      <c r="G55" s="588"/>
      <c r="H55" s="588"/>
      <c r="I55" s="588"/>
      <c r="J55" s="588"/>
      <c r="K55" s="588"/>
      <c r="L55" s="90"/>
      <c r="M55" s="90"/>
      <c r="N55" s="90"/>
      <c r="O55" s="90"/>
      <c r="P55" s="90"/>
      <c r="Q55" s="90"/>
      <c r="R55" s="90"/>
      <c r="S55" s="90"/>
      <c r="T55" s="90"/>
      <c r="U55" s="90"/>
      <c r="V55" s="90"/>
      <c r="W55" s="90"/>
      <c r="X55" s="90"/>
      <c r="Y55" s="90"/>
      <c r="Z55" s="90"/>
      <c r="AA55" s="90"/>
      <c r="AB55" s="90"/>
      <c r="AC55" s="90"/>
      <c r="AD55" s="90"/>
      <c r="AE55" s="90"/>
      <c r="AF55" s="90"/>
    </row>
    <row r="56" spans="1:32" ht="18.75" x14ac:dyDescent="0.3">
      <c r="A56" s="88" t="s">
        <v>31</v>
      </c>
      <c r="B56" s="58">
        <f>B57+B58</f>
        <v>961.80000000000007</v>
      </c>
      <c r="C56" s="588">
        <f>C57+C58</f>
        <v>350</v>
      </c>
      <c r="D56" s="588">
        <f>D57+D58</f>
        <v>350</v>
      </c>
      <c r="E56" s="588">
        <f>E57+E58</f>
        <v>350</v>
      </c>
      <c r="F56" s="587">
        <f>E56/B56*100</f>
        <v>36.390101892285301</v>
      </c>
      <c r="G56" s="587">
        <f>E56/C56*100</f>
        <v>100</v>
      </c>
      <c r="H56" s="588">
        <f>H57+H58</f>
        <v>0</v>
      </c>
      <c r="I56" s="588">
        <f t="shared" ref="I56:AE56" si="9">I57+I58</f>
        <v>0</v>
      </c>
      <c r="J56" s="588">
        <f t="shared" si="9"/>
        <v>0</v>
      </c>
      <c r="K56" s="588">
        <f t="shared" si="9"/>
        <v>0</v>
      </c>
      <c r="L56" s="58">
        <f t="shared" si="9"/>
        <v>350</v>
      </c>
      <c r="M56" s="58">
        <f t="shared" si="9"/>
        <v>122.8</v>
      </c>
      <c r="N56" s="58">
        <f t="shared" si="9"/>
        <v>0</v>
      </c>
      <c r="O56" s="58">
        <f t="shared" si="9"/>
        <v>27.2</v>
      </c>
      <c r="P56" s="58">
        <f t="shared" si="9"/>
        <v>0</v>
      </c>
      <c r="Q56" s="58">
        <f t="shared" si="9"/>
        <v>200</v>
      </c>
      <c r="R56" s="58">
        <f t="shared" si="9"/>
        <v>0</v>
      </c>
      <c r="S56" s="58">
        <f t="shared" si="9"/>
        <v>0</v>
      </c>
      <c r="T56" s="58">
        <f t="shared" si="9"/>
        <v>0</v>
      </c>
      <c r="U56" s="58">
        <f t="shared" si="9"/>
        <v>0</v>
      </c>
      <c r="V56" s="58">
        <f t="shared" si="9"/>
        <v>0</v>
      </c>
      <c r="W56" s="58">
        <f t="shared" si="9"/>
        <v>0</v>
      </c>
      <c r="X56" s="58">
        <f t="shared" si="9"/>
        <v>0</v>
      </c>
      <c r="Y56" s="58">
        <f t="shared" si="9"/>
        <v>0</v>
      </c>
      <c r="Z56" s="58">
        <f t="shared" si="9"/>
        <v>302</v>
      </c>
      <c r="AA56" s="58">
        <f t="shared" si="9"/>
        <v>0</v>
      </c>
      <c r="AB56" s="58">
        <f t="shared" si="9"/>
        <v>309.8</v>
      </c>
      <c r="AC56" s="58">
        <f t="shared" si="9"/>
        <v>0</v>
      </c>
      <c r="AD56" s="58">
        <f t="shared" si="9"/>
        <v>0</v>
      </c>
      <c r="AE56" s="58">
        <f t="shared" si="9"/>
        <v>0</v>
      </c>
      <c r="AF56" s="90"/>
    </row>
    <row r="57" spans="1:32" ht="18.75" x14ac:dyDescent="0.3">
      <c r="A57" s="82" t="s">
        <v>97</v>
      </c>
      <c r="B57" s="58">
        <f t="shared" ref="B57:E59" si="10">B52</f>
        <v>195.6</v>
      </c>
      <c r="C57" s="588">
        <f t="shared" si="10"/>
        <v>97.8</v>
      </c>
      <c r="D57" s="588">
        <f t="shared" si="10"/>
        <v>97.8</v>
      </c>
      <c r="E57" s="588">
        <f t="shared" si="10"/>
        <v>97.8</v>
      </c>
      <c r="F57" s="587">
        <f>E57/B57*100</f>
        <v>50</v>
      </c>
      <c r="G57" s="587">
        <f>E57/C57*100</f>
        <v>100</v>
      </c>
      <c r="H57" s="588">
        <f>H52</f>
        <v>0</v>
      </c>
      <c r="I57" s="588">
        <f t="shared" ref="I57:AE57" si="11">I52</f>
        <v>0</v>
      </c>
      <c r="J57" s="588">
        <f t="shared" si="11"/>
        <v>0</v>
      </c>
      <c r="K57" s="588">
        <f t="shared" si="11"/>
        <v>0</v>
      </c>
      <c r="L57" s="58">
        <f t="shared" si="11"/>
        <v>97.8</v>
      </c>
      <c r="M57" s="58">
        <f t="shared" si="11"/>
        <v>97.8</v>
      </c>
      <c r="N57" s="58">
        <f t="shared" si="11"/>
        <v>0</v>
      </c>
      <c r="O57" s="58">
        <f t="shared" si="11"/>
        <v>0</v>
      </c>
      <c r="P57" s="58">
        <f t="shared" si="11"/>
        <v>0</v>
      </c>
      <c r="Q57" s="58">
        <f t="shared" si="11"/>
        <v>0</v>
      </c>
      <c r="R57" s="58">
        <f t="shared" si="11"/>
        <v>0</v>
      </c>
      <c r="S57" s="58">
        <f t="shared" si="11"/>
        <v>0</v>
      </c>
      <c r="T57" s="58">
        <f t="shared" si="11"/>
        <v>0</v>
      </c>
      <c r="U57" s="58">
        <f t="shared" si="11"/>
        <v>0</v>
      </c>
      <c r="V57" s="58">
        <f t="shared" si="11"/>
        <v>0</v>
      </c>
      <c r="W57" s="58">
        <f t="shared" si="11"/>
        <v>0</v>
      </c>
      <c r="X57" s="58">
        <f t="shared" si="11"/>
        <v>0</v>
      </c>
      <c r="Y57" s="58">
        <f t="shared" si="11"/>
        <v>0</v>
      </c>
      <c r="Z57" s="58">
        <f t="shared" si="11"/>
        <v>97.8</v>
      </c>
      <c r="AA57" s="58">
        <f t="shared" si="11"/>
        <v>0</v>
      </c>
      <c r="AB57" s="58">
        <f t="shared" si="11"/>
        <v>0</v>
      </c>
      <c r="AC57" s="58">
        <f t="shared" si="11"/>
        <v>0</v>
      </c>
      <c r="AD57" s="58">
        <f t="shared" si="11"/>
        <v>0</v>
      </c>
      <c r="AE57" s="58">
        <f t="shared" si="11"/>
        <v>0</v>
      </c>
      <c r="AF57" s="90"/>
    </row>
    <row r="58" spans="1:32" ht="18.75" x14ac:dyDescent="0.3">
      <c r="A58" s="77" t="s">
        <v>33</v>
      </c>
      <c r="B58" s="58">
        <f t="shared" si="10"/>
        <v>766.2</v>
      </c>
      <c r="C58" s="588">
        <f t="shared" si="10"/>
        <v>252.2</v>
      </c>
      <c r="D58" s="588">
        <f t="shared" si="10"/>
        <v>252.2</v>
      </c>
      <c r="E58" s="588">
        <f t="shared" si="10"/>
        <v>252.2</v>
      </c>
      <c r="F58" s="587">
        <f>E58/B58*100</f>
        <v>32.915687809971281</v>
      </c>
      <c r="G58" s="587">
        <f>E58/C58*100</f>
        <v>100</v>
      </c>
      <c r="H58" s="588">
        <f>H53</f>
        <v>0</v>
      </c>
      <c r="I58" s="588">
        <f t="shared" ref="I58:AE58" si="12">I53</f>
        <v>0</v>
      </c>
      <c r="J58" s="588">
        <f t="shared" si="12"/>
        <v>0</v>
      </c>
      <c r="K58" s="588">
        <f t="shared" si="12"/>
        <v>0</v>
      </c>
      <c r="L58" s="58">
        <f t="shared" si="12"/>
        <v>252.2</v>
      </c>
      <c r="M58" s="58">
        <f t="shared" si="12"/>
        <v>25</v>
      </c>
      <c r="N58" s="58">
        <f t="shared" si="12"/>
        <v>0</v>
      </c>
      <c r="O58" s="58">
        <f t="shared" si="12"/>
        <v>27.2</v>
      </c>
      <c r="P58" s="58">
        <f t="shared" si="12"/>
        <v>0</v>
      </c>
      <c r="Q58" s="58">
        <f t="shared" si="12"/>
        <v>200</v>
      </c>
      <c r="R58" s="58">
        <f t="shared" si="12"/>
        <v>0</v>
      </c>
      <c r="S58" s="58">
        <f t="shared" si="12"/>
        <v>0</v>
      </c>
      <c r="T58" s="58">
        <f t="shared" si="12"/>
        <v>0</v>
      </c>
      <c r="U58" s="58">
        <f t="shared" si="12"/>
        <v>0</v>
      </c>
      <c r="V58" s="58">
        <f t="shared" si="12"/>
        <v>0</v>
      </c>
      <c r="W58" s="58">
        <f t="shared" si="12"/>
        <v>0</v>
      </c>
      <c r="X58" s="58">
        <f t="shared" si="12"/>
        <v>0</v>
      </c>
      <c r="Y58" s="58">
        <f t="shared" si="12"/>
        <v>0</v>
      </c>
      <c r="Z58" s="58">
        <f t="shared" si="12"/>
        <v>204.2</v>
      </c>
      <c r="AA58" s="58">
        <f t="shared" si="12"/>
        <v>0</v>
      </c>
      <c r="AB58" s="58">
        <f t="shared" si="12"/>
        <v>309.8</v>
      </c>
      <c r="AC58" s="58">
        <f t="shared" si="12"/>
        <v>0</v>
      </c>
      <c r="AD58" s="58">
        <f t="shared" si="12"/>
        <v>0</v>
      </c>
      <c r="AE58" s="58">
        <f t="shared" si="12"/>
        <v>0</v>
      </c>
      <c r="AF58" s="90"/>
    </row>
    <row r="59" spans="1:32" ht="37.5" x14ac:dyDescent="0.3">
      <c r="A59" s="84" t="s">
        <v>130</v>
      </c>
      <c r="B59" s="58">
        <f t="shared" si="10"/>
        <v>456.4</v>
      </c>
      <c r="C59" s="588">
        <f t="shared" si="10"/>
        <v>252.2</v>
      </c>
      <c r="D59" s="588">
        <f t="shared" si="10"/>
        <v>252.2</v>
      </c>
      <c r="E59" s="588">
        <f t="shared" si="10"/>
        <v>252.2</v>
      </c>
      <c r="F59" s="587">
        <f>E59/B59*100</f>
        <v>55.25854513584575</v>
      </c>
      <c r="G59" s="587">
        <f>E59/C59*100</f>
        <v>100</v>
      </c>
      <c r="H59" s="588">
        <f>H54</f>
        <v>0</v>
      </c>
      <c r="I59" s="588">
        <f t="shared" ref="I59:AE59" si="13">I54</f>
        <v>0</v>
      </c>
      <c r="J59" s="588">
        <f t="shared" si="13"/>
        <v>0</v>
      </c>
      <c r="K59" s="588">
        <f t="shared" si="13"/>
        <v>0</v>
      </c>
      <c r="L59" s="58">
        <f t="shared" si="13"/>
        <v>228.2</v>
      </c>
      <c r="M59" s="58">
        <f t="shared" si="13"/>
        <v>25</v>
      </c>
      <c r="N59" s="58">
        <f t="shared" si="13"/>
        <v>0</v>
      </c>
      <c r="O59" s="58">
        <f t="shared" si="13"/>
        <v>27.2</v>
      </c>
      <c r="P59" s="58">
        <f t="shared" si="13"/>
        <v>0</v>
      </c>
      <c r="Q59" s="58">
        <f t="shared" si="13"/>
        <v>200</v>
      </c>
      <c r="R59" s="58">
        <f t="shared" si="13"/>
        <v>0</v>
      </c>
      <c r="S59" s="58">
        <f t="shared" si="13"/>
        <v>0</v>
      </c>
      <c r="T59" s="58">
        <f t="shared" si="13"/>
        <v>0</v>
      </c>
      <c r="U59" s="58">
        <f t="shared" si="13"/>
        <v>0</v>
      </c>
      <c r="V59" s="58">
        <f t="shared" si="13"/>
        <v>0</v>
      </c>
      <c r="W59" s="58">
        <f t="shared" si="13"/>
        <v>0</v>
      </c>
      <c r="X59" s="58">
        <f t="shared" si="13"/>
        <v>0</v>
      </c>
      <c r="Y59" s="58">
        <f t="shared" si="13"/>
        <v>0</v>
      </c>
      <c r="Z59" s="58">
        <f t="shared" si="13"/>
        <v>228.2</v>
      </c>
      <c r="AA59" s="58">
        <f t="shared" si="13"/>
        <v>0</v>
      </c>
      <c r="AB59" s="58">
        <f t="shared" si="13"/>
        <v>0</v>
      </c>
      <c r="AC59" s="58">
        <f t="shared" si="13"/>
        <v>0</v>
      </c>
      <c r="AD59" s="58">
        <f t="shared" si="13"/>
        <v>0</v>
      </c>
      <c r="AE59" s="58">
        <f t="shared" si="13"/>
        <v>0</v>
      </c>
      <c r="AF59" s="90"/>
    </row>
    <row r="60" spans="1:32" ht="131.25" x14ac:dyDescent="0.3">
      <c r="A60" s="50" t="s">
        <v>146</v>
      </c>
      <c r="B60" s="90"/>
      <c r="C60" s="588"/>
      <c r="D60" s="588"/>
      <c r="E60" s="588"/>
      <c r="F60" s="588"/>
      <c r="G60" s="588"/>
      <c r="H60" s="588"/>
      <c r="I60" s="588"/>
      <c r="J60" s="588"/>
      <c r="K60" s="588"/>
      <c r="L60" s="90"/>
      <c r="M60" s="90"/>
      <c r="N60" s="90"/>
      <c r="O60" s="90"/>
      <c r="P60" s="90"/>
      <c r="Q60" s="90"/>
      <c r="R60" s="90"/>
      <c r="S60" s="90"/>
      <c r="T60" s="90"/>
      <c r="U60" s="90"/>
      <c r="V60" s="90"/>
      <c r="W60" s="90"/>
      <c r="X60" s="90"/>
      <c r="Y60" s="90"/>
      <c r="Z60" s="90"/>
      <c r="AA60" s="90"/>
      <c r="AB60" s="90"/>
      <c r="AC60" s="90"/>
      <c r="AD60" s="90"/>
      <c r="AE60" s="90"/>
      <c r="AF60" s="90"/>
    </row>
    <row r="61" spans="1:32" ht="18.75" x14ac:dyDescent="0.3">
      <c r="A61" s="15" t="s">
        <v>54</v>
      </c>
      <c r="B61" s="90"/>
      <c r="C61" s="588"/>
      <c r="D61" s="588"/>
      <c r="E61" s="588"/>
      <c r="F61" s="588"/>
      <c r="G61" s="588"/>
      <c r="H61" s="588"/>
      <c r="I61" s="588"/>
      <c r="J61" s="588"/>
      <c r="K61" s="588"/>
      <c r="L61" s="90"/>
      <c r="M61" s="90"/>
      <c r="N61" s="90"/>
      <c r="O61" s="90"/>
      <c r="P61" s="90"/>
      <c r="Q61" s="90"/>
      <c r="R61" s="90"/>
      <c r="S61" s="90"/>
      <c r="T61" s="90"/>
      <c r="U61" s="90"/>
      <c r="V61" s="90"/>
      <c r="W61" s="90"/>
      <c r="X61" s="90"/>
      <c r="Y61" s="90"/>
      <c r="Z61" s="90"/>
      <c r="AA61" s="90"/>
      <c r="AB61" s="90"/>
      <c r="AC61" s="90"/>
      <c r="AD61" s="90"/>
      <c r="AE61" s="90"/>
      <c r="AF61" s="90"/>
    </row>
    <row r="62" spans="1:32" ht="37.5" x14ac:dyDescent="0.3">
      <c r="A62" s="85" t="s">
        <v>147</v>
      </c>
      <c r="B62" s="58"/>
      <c r="C62" s="588"/>
      <c r="D62" s="588"/>
      <c r="E62" s="588"/>
      <c r="F62" s="588"/>
      <c r="G62" s="588"/>
      <c r="H62" s="588"/>
      <c r="I62" s="588"/>
      <c r="J62" s="588"/>
      <c r="K62" s="588"/>
      <c r="L62" s="90"/>
      <c r="M62" s="90"/>
      <c r="N62" s="90"/>
      <c r="O62" s="90"/>
      <c r="P62" s="90"/>
      <c r="Q62" s="90"/>
      <c r="R62" s="90"/>
      <c r="S62" s="90"/>
      <c r="T62" s="90"/>
      <c r="U62" s="90"/>
      <c r="V62" s="90"/>
      <c r="W62" s="90"/>
      <c r="X62" s="90"/>
      <c r="Y62" s="90"/>
      <c r="Z62" s="90"/>
      <c r="AA62" s="90"/>
      <c r="AB62" s="90"/>
      <c r="AC62" s="90"/>
      <c r="AD62" s="90"/>
      <c r="AE62" s="90"/>
      <c r="AF62" s="90"/>
    </row>
    <row r="63" spans="1:32" ht="18.75" x14ac:dyDescent="0.3">
      <c r="A63" s="82" t="s">
        <v>31</v>
      </c>
      <c r="B63" s="47">
        <f>B64</f>
        <v>89</v>
      </c>
      <c r="C63" s="587">
        <f>C64</f>
        <v>80</v>
      </c>
      <c r="D63" s="587">
        <f>D64</f>
        <v>80</v>
      </c>
      <c r="E63" s="587">
        <f>E64</f>
        <v>80</v>
      </c>
      <c r="F63" s="587">
        <f>E63/B63*100</f>
        <v>89.887640449438194</v>
      </c>
      <c r="G63" s="587">
        <f>E63/C63*100</f>
        <v>100</v>
      </c>
      <c r="H63" s="587">
        <f>H64</f>
        <v>0</v>
      </c>
      <c r="I63" s="587">
        <f t="shared" ref="I63:AE63" si="14">I64</f>
        <v>0</v>
      </c>
      <c r="J63" s="587">
        <f t="shared" si="14"/>
        <v>0</v>
      </c>
      <c r="K63" s="587">
        <f t="shared" si="14"/>
        <v>0</v>
      </c>
      <c r="L63" s="47">
        <f t="shared" si="14"/>
        <v>80</v>
      </c>
      <c r="M63" s="47">
        <f t="shared" si="14"/>
        <v>0</v>
      </c>
      <c r="N63" s="47">
        <v>0</v>
      </c>
      <c r="O63" s="47">
        <v>80</v>
      </c>
      <c r="P63" s="47">
        <v>0</v>
      </c>
      <c r="Q63" s="47">
        <v>0</v>
      </c>
      <c r="R63" s="47">
        <f t="shared" si="14"/>
        <v>0</v>
      </c>
      <c r="S63" s="47">
        <f t="shared" si="14"/>
        <v>0</v>
      </c>
      <c r="T63" s="47">
        <f t="shared" si="14"/>
        <v>0</v>
      </c>
      <c r="U63" s="47">
        <f t="shared" si="14"/>
        <v>0</v>
      </c>
      <c r="V63" s="47">
        <f t="shared" si="14"/>
        <v>0</v>
      </c>
      <c r="W63" s="47">
        <f t="shared" si="14"/>
        <v>0</v>
      </c>
      <c r="X63" s="47">
        <f t="shared" si="14"/>
        <v>9</v>
      </c>
      <c r="Y63" s="47">
        <f t="shared" si="14"/>
        <v>0</v>
      </c>
      <c r="Z63" s="47">
        <f t="shared" si="14"/>
        <v>0</v>
      </c>
      <c r="AA63" s="47">
        <f t="shared" si="14"/>
        <v>0</v>
      </c>
      <c r="AB63" s="47">
        <f t="shared" si="14"/>
        <v>0</v>
      </c>
      <c r="AC63" s="47">
        <f t="shared" si="14"/>
        <v>0</v>
      </c>
      <c r="AD63" s="47">
        <f t="shared" si="14"/>
        <v>0</v>
      </c>
      <c r="AE63" s="47">
        <f t="shared" si="14"/>
        <v>0</v>
      </c>
      <c r="AF63" s="90"/>
    </row>
    <row r="64" spans="1:32" ht="18.75" x14ac:dyDescent="0.3">
      <c r="A64" s="82" t="s">
        <v>33</v>
      </c>
      <c r="B64" s="47">
        <f>B67+B70+B73+B76+B79</f>
        <v>89</v>
      </c>
      <c r="C64" s="587">
        <f>C67+C70+C73+C76+C79</f>
        <v>80</v>
      </c>
      <c r="D64" s="587">
        <f>D67+D70+D73+D76+D79</f>
        <v>80</v>
      </c>
      <c r="E64" s="587">
        <f>E67+E70+E73+E76+E79</f>
        <v>80</v>
      </c>
      <c r="F64" s="587">
        <f>E64/B64*100</f>
        <v>89.887640449438194</v>
      </c>
      <c r="G64" s="587">
        <f>E64/C64*100</f>
        <v>100</v>
      </c>
      <c r="H64" s="587">
        <f t="shared" ref="H64:O64" si="15">H67+H70+H73+H76+H79</f>
        <v>0</v>
      </c>
      <c r="I64" s="587">
        <f t="shared" si="15"/>
        <v>0</v>
      </c>
      <c r="J64" s="587">
        <f t="shared" si="15"/>
        <v>0</v>
      </c>
      <c r="K64" s="587">
        <f t="shared" si="15"/>
        <v>0</v>
      </c>
      <c r="L64" s="47">
        <f t="shared" si="15"/>
        <v>80</v>
      </c>
      <c r="M64" s="47">
        <f t="shared" si="15"/>
        <v>0</v>
      </c>
      <c r="N64" s="47">
        <f t="shared" si="15"/>
        <v>0</v>
      </c>
      <c r="O64" s="47">
        <f t="shared" si="15"/>
        <v>80</v>
      </c>
      <c r="P64" s="47">
        <f t="shared" ref="P64:AE64" si="16">P67+P70+P73+P76+P79</f>
        <v>0</v>
      </c>
      <c r="Q64" s="47">
        <f t="shared" si="16"/>
        <v>0</v>
      </c>
      <c r="R64" s="47">
        <f t="shared" si="16"/>
        <v>0</v>
      </c>
      <c r="S64" s="47">
        <f t="shared" si="16"/>
        <v>0</v>
      </c>
      <c r="T64" s="47">
        <f t="shared" si="16"/>
        <v>0</v>
      </c>
      <c r="U64" s="47">
        <f t="shared" si="16"/>
        <v>0</v>
      </c>
      <c r="V64" s="47">
        <f t="shared" si="16"/>
        <v>0</v>
      </c>
      <c r="W64" s="47">
        <f t="shared" si="16"/>
        <v>0</v>
      </c>
      <c r="X64" s="47">
        <f>X67+X70+X73+X76+X79</f>
        <v>9</v>
      </c>
      <c r="Y64" s="47">
        <f t="shared" si="16"/>
        <v>0</v>
      </c>
      <c r="Z64" s="47">
        <f t="shared" si="16"/>
        <v>0</v>
      </c>
      <c r="AA64" s="47">
        <f t="shared" si="16"/>
        <v>0</v>
      </c>
      <c r="AB64" s="47">
        <f t="shared" si="16"/>
        <v>0</v>
      </c>
      <c r="AC64" s="47">
        <f t="shared" si="16"/>
        <v>0</v>
      </c>
      <c r="AD64" s="47">
        <f t="shared" si="16"/>
        <v>0</v>
      </c>
      <c r="AE64" s="47">
        <f t="shared" si="16"/>
        <v>0</v>
      </c>
      <c r="AF64" s="90"/>
    </row>
    <row r="65" spans="1:32" ht="243.75" hidden="1" x14ac:dyDescent="0.3">
      <c r="A65" s="86" t="s">
        <v>148</v>
      </c>
      <c r="B65" s="90"/>
      <c r="C65" s="588"/>
      <c r="D65" s="588"/>
      <c r="E65" s="588"/>
      <c r="F65" s="588"/>
      <c r="G65" s="588"/>
      <c r="H65" s="588"/>
      <c r="I65" s="588"/>
      <c r="J65" s="588"/>
      <c r="K65" s="588"/>
      <c r="L65" s="90"/>
      <c r="M65" s="90"/>
      <c r="N65" s="90"/>
      <c r="O65" s="90"/>
      <c r="P65" s="90"/>
      <c r="Q65" s="90"/>
      <c r="R65" s="90"/>
      <c r="S65" s="90"/>
      <c r="T65" s="90"/>
      <c r="U65" s="90"/>
      <c r="V65" s="90"/>
      <c r="W65" s="90"/>
      <c r="X65" s="90"/>
      <c r="Y65" s="90"/>
      <c r="Z65" s="90"/>
      <c r="AA65" s="90"/>
      <c r="AB65" s="90"/>
      <c r="AC65" s="90"/>
      <c r="AD65" s="90"/>
      <c r="AE65" s="90"/>
      <c r="AF65" s="90"/>
    </row>
    <row r="66" spans="1:32" ht="18.75" hidden="1" x14ac:dyDescent="0.3">
      <c r="A66" s="82" t="s">
        <v>31</v>
      </c>
      <c r="B66" s="47">
        <f>B67</f>
        <v>0</v>
      </c>
      <c r="C66" s="587">
        <f>C67</f>
        <v>0</v>
      </c>
      <c r="D66" s="587">
        <f>D67</f>
        <v>0</v>
      </c>
      <c r="E66" s="587">
        <f>E67</f>
        <v>0</v>
      </c>
      <c r="F66" s="587" t="e">
        <f>E66/B66*100</f>
        <v>#DIV/0!</v>
      </c>
      <c r="G66" s="587" t="e">
        <f>E66/C66*100</f>
        <v>#DIV/0!</v>
      </c>
      <c r="H66" s="588"/>
      <c r="I66" s="588"/>
      <c r="J66" s="588"/>
      <c r="K66" s="588"/>
      <c r="L66" s="90"/>
      <c r="M66" s="90"/>
      <c r="N66" s="90"/>
      <c r="O66" s="90"/>
      <c r="P66" s="90"/>
      <c r="Q66" s="90"/>
      <c r="R66" s="90"/>
      <c r="S66" s="90"/>
      <c r="T66" s="90"/>
      <c r="U66" s="90"/>
      <c r="V66" s="90"/>
      <c r="W66" s="90"/>
      <c r="X66" s="90"/>
      <c r="Y66" s="90"/>
      <c r="Z66" s="90"/>
      <c r="AA66" s="90"/>
      <c r="AB66" s="90"/>
      <c r="AC66" s="90"/>
      <c r="AD66" s="90"/>
      <c r="AE66" s="90"/>
      <c r="AF66" s="90"/>
    </row>
    <row r="67" spans="1:32" ht="18.75" hidden="1" x14ac:dyDescent="0.3">
      <c r="A67" s="82" t="s">
        <v>33</v>
      </c>
      <c r="B67" s="47">
        <f>H67+J67+L67+N67+P67+R67+T67+V67+X67+Z67+AB67+AD67</f>
        <v>0</v>
      </c>
      <c r="C67" s="587">
        <f>H67</f>
        <v>0</v>
      </c>
      <c r="D67" s="587"/>
      <c r="E67" s="587">
        <f>I67</f>
        <v>0</v>
      </c>
      <c r="F67" s="587" t="e">
        <f>E67/B67*100</f>
        <v>#DIV/0!</v>
      </c>
      <c r="G67" s="587" t="e">
        <f>E67/C67*100</f>
        <v>#DIV/0!</v>
      </c>
      <c r="H67" s="588"/>
      <c r="I67" s="588"/>
      <c r="J67" s="588"/>
      <c r="K67" s="588"/>
      <c r="L67" s="90"/>
      <c r="M67" s="90"/>
      <c r="N67" s="90"/>
      <c r="O67" s="90"/>
      <c r="P67" s="90"/>
      <c r="Q67" s="90"/>
      <c r="R67" s="90"/>
      <c r="S67" s="90"/>
      <c r="T67" s="90"/>
      <c r="U67" s="90"/>
      <c r="V67" s="90"/>
      <c r="W67" s="90"/>
      <c r="X67" s="90"/>
      <c r="Y67" s="90"/>
      <c r="Z67" s="90"/>
      <c r="AA67" s="90"/>
      <c r="AB67" s="90"/>
      <c r="AC67" s="90"/>
      <c r="AD67" s="90"/>
      <c r="AE67" s="90"/>
      <c r="AF67" s="90"/>
    </row>
    <row r="68" spans="1:32" ht="112.5" x14ac:dyDescent="0.3">
      <c r="A68" s="82" t="s">
        <v>149</v>
      </c>
      <c r="B68" s="90"/>
      <c r="C68" s="588"/>
      <c r="D68" s="588"/>
      <c r="E68" s="588"/>
      <c r="F68" s="588"/>
      <c r="G68" s="588"/>
      <c r="H68" s="588"/>
      <c r="I68" s="588"/>
      <c r="J68" s="588"/>
      <c r="K68" s="588"/>
      <c r="L68" s="90"/>
      <c r="M68" s="90"/>
      <c r="N68" s="90"/>
      <c r="O68" s="90"/>
      <c r="P68" s="90"/>
      <c r="Q68" s="90"/>
      <c r="R68" s="90"/>
      <c r="S68" s="90"/>
      <c r="T68" s="90"/>
      <c r="U68" s="90"/>
      <c r="V68" s="90"/>
      <c r="W68" s="90"/>
      <c r="X68" s="90"/>
      <c r="Y68" s="90"/>
      <c r="Z68" s="90"/>
      <c r="AA68" s="90"/>
      <c r="AB68" s="90"/>
      <c r="AC68" s="90"/>
      <c r="AD68" s="90"/>
      <c r="AE68" s="90"/>
      <c r="AF68" s="90"/>
    </row>
    <row r="69" spans="1:32" ht="18.75" x14ac:dyDescent="0.3">
      <c r="A69" s="899" t="s">
        <v>31</v>
      </c>
      <c r="B69" s="900">
        <f>B70</f>
        <v>9</v>
      </c>
      <c r="C69" s="898">
        <f>C70</f>
        <v>0</v>
      </c>
      <c r="D69" s="898">
        <f>D70</f>
        <v>0</v>
      </c>
      <c r="E69" s="898">
        <f>E70</f>
        <v>0</v>
      </c>
      <c r="F69" s="587">
        <f>E69/B69*100</f>
        <v>0</v>
      </c>
      <c r="G69" s="587" t="e">
        <f>E69/C69*100</f>
        <v>#DIV/0!</v>
      </c>
      <c r="H69" s="588">
        <v>0</v>
      </c>
      <c r="I69" s="588">
        <v>0</v>
      </c>
      <c r="J69" s="588">
        <v>0</v>
      </c>
      <c r="K69" s="588">
        <v>0</v>
      </c>
      <c r="L69" s="58">
        <v>0</v>
      </c>
      <c r="M69" s="58">
        <v>0</v>
      </c>
      <c r="N69" s="58">
        <v>0</v>
      </c>
      <c r="O69" s="58">
        <v>0</v>
      </c>
      <c r="P69" s="58">
        <v>0</v>
      </c>
      <c r="Q69" s="58">
        <v>0</v>
      </c>
      <c r="R69" s="58">
        <v>0</v>
      </c>
      <c r="S69" s="58">
        <v>0</v>
      </c>
      <c r="T69" s="58"/>
      <c r="U69" s="58"/>
      <c r="V69" s="58"/>
      <c r="W69" s="58"/>
      <c r="X69" s="58"/>
      <c r="Y69" s="58"/>
      <c r="Z69" s="58"/>
      <c r="AA69" s="58"/>
      <c r="AB69" s="58"/>
      <c r="AC69" s="58"/>
      <c r="AD69" s="58"/>
      <c r="AE69" s="58"/>
      <c r="AF69" s="90"/>
    </row>
    <row r="70" spans="1:32" ht="18.75" x14ac:dyDescent="0.3">
      <c r="A70" s="756" t="s">
        <v>93</v>
      </c>
      <c r="B70" s="47">
        <f>H70+J70+L70+N70+P70+R70+T70+V70+X70+Z70+AB70+AD70</f>
        <v>9</v>
      </c>
      <c r="C70" s="587">
        <f>H70</f>
        <v>0</v>
      </c>
      <c r="D70" s="587">
        <f>D68</f>
        <v>0</v>
      </c>
      <c r="E70" s="587">
        <f>I70</f>
        <v>0</v>
      </c>
      <c r="F70" s="587">
        <f>E70/B70*100</f>
        <v>0</v>
      </c>
      <c r="G70" s="587" t="e">
        <f>E70/C70*100</f>
        <v>#DIV/0!</v>
      </c>
      <c r="H70" s="587">
        <v>0</v>
      </c>
      <c r="I70" s="587">
        <v>0</v>
      </c>
      <c r="J70" s="587">
        <v>0</v>
      </c>
      <c r="K70" s="587">
        <v>0</v>
      </c>
      <c r="L70" s="47">
        <v>0</v>
      </c>
      <c r="M70" s="47">
        <v>0</v>
      </c>
      <c r="N70" s="47">
        <v>0</v>
      </c>
      <c r="O70" s="47">
        <v>0</v>
      </c>
      <c r="P70" s="47">
        <v>0</v>
      </c>
      <c r="Q70" s="47">
        <v>0</v>
      </c>
      <c r="R70" s="47">
        <v>0</v>
      </c>
      <c r="S70" s="47">
        <v>0</v>
      </c>
      <c r="T70" s="47"/>
      <c r="U70" s="47"/>
      <c r="V70" s="47"/>
      <c r="W70" s="47"/>
      <c r="X70" s="47">
        <v>9</v>
      </c>
      <c r="Y70" s="47"/>
      <c r="Z70" s="47"/>
      <c r="AA70" s="47"/>
      <c r="AB70" s="47"/>
      <c r="AC70" s="47"/>
      <c r="AD70" s="47"/>
      <c r="AE70" s="47"/>
      <c r="AF70" s="47"/>
    </row>
    <row r="71" spans="1:32" ht="409.5" hidden="1" x14ac:dyDescent="0.3">
      <c r="A71" s="15" t="s">
        <v>150</v>
      </c>
      <c r="B71" s="47"/>
      <c r="C71" s="587"/>
      <c r="D71" s="587"/>
      <c r="E71" s="587"/>
      <c r="F71" s="587"/>
      <c r="G71" s="587"/>
      <c r="H71" s="587"/>
      <c r="I71" s="587"/>
      <c r="J71" s="587"/>
      <c r="K71" s="587"/>
      <c r="L71" s="47"/>
      <c r="M71" s="47"/>
      <c r="N71" s="47"/>
      <c r="O71" s="47"/>
      <c r="P71" s="47"/>
      <c r="Q71" s="47"/>
      <c r="R71" s="47"/>
      <c r="S71" s="47"/>
      <c r="T71" s="47"/>
      <c r="U71" s="47"/>
      <c r="V71" s="47"/>
      <c r="W71" s="47"/>
      <c r="X71" s="47"/>
      <c r="Y71" s="47"/>
      <c r="Z71" s="47"/>
      <c r="AA71" s="47"/>
      <c r="AB71" s="47"/>
      <c r="AC71" s="47"/>
      <c r="AD71" s="47"/>
      <c r="AE71" s="47"/>
      <c r="AF71" s="47"/>
    </row>
    <row r="72" spans="1:32" ht="18.75" hidden="1" x14ac:dyDescent="0.3">
      <c r="A72" s="82" t="s">
        <v>31</v>
      </c>
      <c r="B72" s="47">
        <f>B73</f>
        <v>0</v>
      </c>
      <c r="C72" s="587">
        <f>C73</f>
        <v>0</v>
      </c>
      <c r="D72" s="587">
        <f>D73</f>
        <v>0</v>
      </c>
      <c r="E72" s="587">
        <f>E73</f>
        <v>0</v>
      </c>
      <c r="F72" s="587" t="e">
        <f>E72/B72*100</f>
        <v>#DIV/0!</v>
      </c>
      <c r="G72" s="587" t="e">
        <f>E72/C72*100</f>
        <v>#DIV/0!</v>
      </c>
      <c r="H72" s="587"/>
      <c r="I72" s="587"/>
      <c r="J72" s="587"/>
      <c r="K72" s="587"/>
      <c r="L72" s="47"/>
      <c r="M72" s="47"/>
      <c r="N72" s="47"/>
      <c r="O72" s="47"/>
      <c r="P72" s="47"/>
      <c r="Q72" s="47"/>
      <c r="R72" s="47"/>
      <c r="S72" s="47"/>
      <c r="T72" s="47"/>
      <c r="U72" s="47"/>
      <c r="V72" s="47"/>
      <c r="W72" s="47"/>
      <c r="X72" s="47"/>
      <c r="Y72" s="47"/>
      <c r="Z72" s="47"/>
      <c r="AA72" s="47"/>
      <c r="AB72" s="47"/>
      <c r="AC72" s="47"/>
      <c r="AD72" s="47"/>
      <c r="AE72" s="47"/>
      <c r="AF72" s="47"/>
    </row>
    <row r="73" spans="1:32" ht="18.75" hidden="1" x14ac:dyDescent="0.3">
      <c r="A73" s="82" t="s">
        <v>33</v>
      </c>
      <c r="B73" s="47">
        <f>H73+J73+L73+N73+P73+R73+T73+V73+X73+Z73+AB73+AD73</f>
        <v>0</v>
      </c>
      <c r="C73" s="587">
        <f>H73</f>
        <v>0</v>
      </c>
      <c r="D73" s="587"/>
      <c r="E73" s="587">
        <f>I73</f>
        <v>0</v>
      </c>
      <c r="F73" s="587" t="e">
        <f>D73/B73*100</f>
        <v>#DIV/0!</v>
      </c>
      <c r="G73" s="587" t="e">
        <f>E73/C73*100</f>
        <v>#DIV/0!</v>
      </c>
      <c r="H73" s="587"/>
      <c r="I73" s="587"/>
      <c r="J73" s="587"/>
      <c r="K73" s="587"/>
      <c r="L73" s="47"/>
      <c r="M73" s="47"/>
      <c r="N73" s="47"/>
      <c r="O73" s="47"/>
      <c r="P73" s="47"/>
      <c r="Q73" s="47"/>
      <c r="R73" s="47"/>
      <c r="S73" s="47"/>
      <c r="T73" s="47"/>
      <c r="U73" s="47"/>
      <c r="V73" s="47"/>
      <c r="W73" s="47"/>
      <c r="X73" s="47"/>
      <c r="Y73" s="47"/>
      <c r="Z73" s="47"/>
      <c r="AA73" s="47"/>
      <c r="AB73" s="47"/>
      <c r="AC73" s="47"/>
      <c r="AD73" s="47"/>
      <c r="AE73" s="47"/>
      <c r="AF73" s="47"/>
    </row>
    <row r="74" spans="1:32" ht="168.75" hidden="1" x14ac:dyDescent="0.3">
      <c r="A74" s="15" t="s">
        <v>151</v>
      </c>
      <c r="B74" s="47"/>
      <c r="C74" s="587"/>
      <c r="D74" s="587"/>
      <c r="E74" s="587"/>
      <c r="F74" s="587"/>
      <c r="G74" s="587"/>
      <c r="H74" s="587"/>
      <c r="I74" s="587"/>
      <c r="J74" s="587"/>
      <c r="K74" s="587"/>
      <c r="L74" s="47"/>
      <c r="M74" s="47"/>
      <c r="N74" s="47"/>
      <c r="O74" s="47"/>
      <c r="P74" s="47"/>
      <c r="Q74" s="47"/>
      <c r="R74" s="47"/>
      <c r="S74" s="47"/>
      <c r="T74" s="47"/>
      <c r="U74" s="47"/>
      <c r="V74" s="47"/>
      <c r="W74" s="47"/>
      <c r="X74" s="47"/>
      <c r="Y74" s="47"/>
      <c r="Z74" s="47"/>
      <c r="AA74" s="47"/>
      <c r="AB74" s="47"/>
      <c r="AC74" s="47"/>
      <c r="AD74" s="47"/>
      <c r="AE74" s="47"/>
      <c r="AF74" s="47"/>
    </row>
    <row r="75" spans="1:32" ht="18.75" hidden="1" x14ac:dyDescent="0.3">
      <c r="A75" s="82" t="s">
        <v>31</v>
      </c>
      <c r="B75" s="47">
        <f>B76</f>
        <v>0</v>
      </c>
      <c r="C75" s="587">
        <f>C76</f>
        <v>0</v>
      </c>
      <c r="D75" s="587">
        <f>D76</f>
        <v>0</v>
      </c>
      <c r="E75" s="587">
        <f>E76</f>
        <v>0</v>
      </c>
      <c r="F75" s="587" t="e">
        <f>E75/B75*100</f>
        <v>#DIV/0!</v>
      </c>
      <c r="G75" s="587" t="e">
        <f>E75/C75*100</f>
        <v>#DIV/0!</v>
      </c>
      <c r="H75" s="587"/>
      <c r="I75" s="587"/>
      <c r="J75" s="587"/>
      <c r="K75" s="587"/>
      <c r="L75" s="47"/>
      <c r="M75" s="47"/>
      <c r="N75" s="47"/>
      <c r="O75" s="47"/>
      <c r="P75" s="47"/>
      <c r="Q75" s="47"/>
      <c r="R75" s="47"/>
      <c r="S75" s="47"/>
      <c r="T75" s="47"/>
      <c r="U75" s="47"/>
      <c r="V75" s="47"/>
      <c r="W75" s="47"/>
      <c r="X75" s="47"/>
      <c r="Y75" s="47"/>
      <c r="Z75" s="47"/>
      <c r="AA75" s="47"/>
      <c r="AB75" s="47"/>
      <c r="AC75" s="47"/>
      <c r="AD75" s="47"/>
      <c r="AE75" s="47"/>
      <c r="AF75" s="47"/>
    </row>
    <row r="76" spans="1:32" ht="18.75" hidden="1" x14ac:dyDescent="0.3">
      <c r="A76" s="82" t="s">
        <v>33</v>
      </c>
      <c r="B76" s="47">
        <f>H76+J76+L76+N76+P76+R76+T76+V76+X76+Z76+AB76+AD76</f>
        <v>0</v>
      </c>
      <c r="C76" s="587">
        <f>H76</f>
        <v>0</v>
      </c>
      <c r="D76" s="587"/>
      <c r="E76" s="587">
        <f>I76</f>
        <v>0</v>
      </c>
      <c r="F76" s="587" t="e">
        <f>D76/B76*100</f>
        <v>#DIV/0!</v>
      </c>
      <c r="G76" s="587" t="e">
        <f>E76/C76*100</f>
        <v>#DIV/0!</v>
      </c>
      <c r="H76" s="587"/>
      <c r="I76" s="587"/>
      <c r="J76" s="587"/>
      <c r="K76" s="587"/>
      <c r="L76" s="47"/>
      <c r="M76" s="47"/>
      <c r="N76" s="47"/>
      <c r="O76" s="47"/>
      <c r="P76" s="47"/>
      <c r="Q76" s="47"/>
      <c r="R76" s="47"/>
      <c r="S76" s="47"/>
      <c r="T76" s="47"/>
      <c r="U76" s="47"/>
      <c r="V76" s="47"/>
      <c r="W76" s="47"/>
      <c r="X76" s="47"/>
      <c r="Y76" s="47"/>
      <c r="Z76" s="47"/>
      <c r="AA76" s="47"/>
      <c r="AB76" s="47"/>
      <c r="AC76" s="47"/>
      <c r="AD76" s="47"/>
      <c r="AE76" s="47"/>
      <c r="AF76" s="47"/>
    </row>
    <row r="77" spans="1:32" ht="405" x14ac:dyDescent="0.3">
      <c r="A77" s="15" t="s">
        <v>152</v>
      </c>
      <c r="B77" s="47"/>
      <c r="C77" s="587"/>
      <c r="D77" s="587"/>
      <c r="E77" s="587"/>
      <c r="F77" s="587"/>
      <c r="G77" s="587"/>
      <c r="H77" s="587"/>
      <c r="I77" s="587"/>
      <c r="J77" s="587"/>
      <c r="K77" s="587"/>
      <c r="L77" s="47"/>
      <c r="M77" s="47"/>
      <c r="N77" s="47"/>
      <c r="O77" s="47"/>
      <c r="P77" s="47"/>
      <c r="Q77" s="47"/>
      <c r="R77" s="47"/>
      <c r="S77" s="47"/>
      <c r="T77" s="47"/>
      <c r="U77" s="47"/>
      <c r="V77" s="47"/>
      <c r="W77" s="47"/>
      <c r="X77" s="47"/>
      <c r="Y77" s="47"/>
      <c r="Z77" s="47"/>
      <c r="AA77" s="47"/>
      <c r="AB77" s="47"/>
      <c r="AC77" s="47"/>
      <c r="AD77" s="47"/>
      <c r="AE77" s="47"/>
      <c r="AF77" s="680" t="s">
        <v>553</v>
      </c>
    </row>
    <row r="78" spans="1:32" ht="18.75" x14ac:dyDescent="0.3">
      <c r="A78" s="899" t="s">
        <v>31</v>
      </c>
      <c r="B78" s="47">
        <f>B79</f>
        <v>80</v>
      </c>
      <c r="C78" s="587">
        <f>C79</f>
        <v>80</v>
      </c>
      <c r="D78" s="587">
        <f>D79</f>
        <v>80</v>
      </c>
      <c r="E78" s="587">
        <f>E79</f>
        <v>80</v>
      </c>
      <c r="F78" s="587">
        <f>E78/B78*100</f>
        <v>100</v>
      </c>
      <c r="G78" s="587">
        <f>E78/C78*100</f>
        <v>100</v>
      </c>
      <c r="H78" s="587">
        <v>0</v>
      </c>
      <c r="I78" s="587">
        <v>0</v>
      </c>
      <c r="J78" s="587">
        <v>0</v>
      </c>
      <c r="K78" s="587">
        <v>0</v>
      </c>
      <c r="L78" s="47">
        <v>0</v>
      </c>
      <c r="M78" s="47">
        <v>0</v>
      </c>
      <c r="N78" s="47">
        <v>0</v>
      </c>
      <c r="O78" s="47">
        <v>80</v>
      </c>
      <c r="P78" s="47">
        <v>0</v>
      </c>
      <c r="Q78" s="47">
        <v>0</v>
      </c>
      <c r="R78" s="47">
        <v>0</v>
      </c>
      <c r="S78" s="47">
        <v>0</v>
      </c>
      <c r="T78" s="47"/>
      <c r="U78" s="47"/>
      <c r="V78" s="47"/>
      <c r="W78" s="47"/>
      <c r="X78" s="47"/>
      <c r="Y78" s="47"/>
      <c r="Z78" s="47"/>
      <c r="AA78" s="47"/>
      <c r="AB78" s="47"/>
      <c r="AC78" s="47"/>
      <c r="AD78" s="47"/>
      <c r="AE78" s="47"/>
      <c r="AF78" s="47"/>
    </row>
    <row r="79" spans="1:32" ht="18.75" x14ac:dyDescent="0.3">
      <c r="A79" s="899" t="s">
        <v>33</v>
      </c>
      <c r="B79" s="47">
        <f>H79+J79+L79+N79+P79+R79+T79+V79+X79+Z79+AB79+AD79</f>
        <v>80</v>
      </c>
      <c r="C79" s="587">
        <f>O79</f>
        <v>80</v>
      </c>
      <c r="D79" s="587">
        <v>80</v>
      </c>
      <c r="E79" s="587">
        <f>O79</f>
        <v>80</v>
      </c>
      <c r="F79" s="587">
        <f>D79/B79*100</f>
        <v>100</v>
      </c>
      <c r="G79" s="587">
        <f>E79/C79*100</f>
        <v>100</v>
      </c>
      <c r="H79" s="587">
        <v>0</v>
      </c>
      <c r="I79" s="587">
        <v>0</v>
      </c>
      <c r="J79" s="587">
        <v>0</v>
      </c>
      <c r="K79" s="587">
        <v>0</v>
      </c>
      <c r="L79" s="47">
        <v>80</v>
      </c>
      <c r="M79" s="47">
        <v>0</v>
      </c>
      <c r="N79" s="47">
        <v>0</v>
      </c>
      <c r="O79" s="47">
        <v>80</v>
      </c>
      <c r="P79" s="47">
        <v>0</v>
      </c>
      <c r="Q79" s="47">
        <v>0</v>
      </c>
      <c r="R79" s="47">
        <v>0</v>
      </c>
      <c r="S79" s="47">
        <v>0</v>
      </c>
      <c r="T79" s="47"/>
      <c r="U79" s="47"/>
      <c r="V79" s="47"/>
      <c r="W79" s="47"/>
      <c r="X79" s="47"/>
      <c r="Y79" s="47"/>
      <c r="Z79" s="47"/>
      <c r="AA79" s="47"/>
      <c r="AB79" s="47"/>
      <c r="AC79" s="47"/>
      <c r="AD79" s="47"/>
      <c r="AE79" s="47"/>
      <c r="AF79" s="47"/>
    </row>
    <row r="80" spans="1:32" ht="168.75" x14ac:dyDescent="0.3">
      <c r="A80" s="83" t="s">
        <v>153</v>
      </c>
      <c r="B80" s="47">
        <v>40</v>
      </c>
      <c r="C80" s="587">
        <v>0</v>
      </c>
      <c r="D80" s="587">
        <v>0</v>
      </c>
      <c r="E80" s="587">
        <v>0</v>
      </c>
      <c r="F80" s="587">
        <v>0</v>
      </c>
      <c r="G80" s="587">
        <v>0</v>
      </c>
      <c r="H80" s="587">
        <f>H81</f>
        <v>0</v>
      </c>
      <c r="I80" s="587">
        <f t="shared" ref="I80:AE80" si="17">I81</f>
        <v>0</v>
      </c>
      <c r="J80" s="587">
        <f t="shared" si="17"/>
        <v>0</v>
      </c>
      <c r="K80" s="587">
        <f t="shared" si="17"/>
        <v>0</v>
      </c>
      <c r="L80" s="587">
        <f t="shared" si="17"/>
        <v>0</v>
      </c>
      <c r="M80" s="587">
        <f t="shared" si="17"/>
        <v>0</v>
      </c>
      <c r="N80" s="587">
        <f t="shared" si="17"/>
        <v>0</v>
      </c>
      <c r="O80" s="587">
        <f t="shared" si="17"/>
        <v>0</v>
      </c>
      <c r="P80" s="587">
        <f t="shared" si="17"/>
        <v>0</v>
      </c>
      <c r="Q80" s="587">
        <f t="shared" si="17"/>
        <v>0</v>
      </c>
      <c r="R80" s="587">
        <f t="shared" si="17"/>
        <v>0</v>
      </c>
      <c r="S80" s="587">
        <f t="shared" si="17"/>
        <v>0</v>
      </c>
      <c r="T80" s="587">
        <f t="shared" si="17"/>
        <v>0</v>
      </c>
      <c r="U80" s="587">
        <f t="shared" si="17"/>
        <v>0</v>
      </c>
      <c r="V80" s="587">
        <f t="shared" si="17"/>
        <v>0</v>
      </c>
      <c r="W80" s="587">
        <f t="shared" si="17"/>
        <v>0</v>
      </c>
      <c r="X80" s="587">
        <f t="shared" si="17"/>
        <v>0</v>
      </c>
      <c r="Y80" s="587">
        <f t="shared" si="17"/>
        <v>0</v>
      </c>
      <c r="Z80" s="587">
        <f t="shared" si="17"/>
        <v>0</v>
      </c>
      <c r="AA80" s="587">
        <f t="shared" si="17"/>
        <v>0</v>
      </c>
      <c r="AB80" s="587">
        <f t="shared" si="17"/>
        <v>0</v>
      </c>
      <c r="AC80" s="587">
        <f t="shared" si="17"/>
        <v>0</v>
      </c>
      <c r="AD80" s="587">
        <f t="shared" si="17"/>
        <v>40</v>
      </c>
      <c r="AE80" s="587">
        <f t="shared" si="17"/>
        <v>0</v>
      </c>
      <c r="AF80" s="47"/>
    </row>
    <row r="81" spans="1:32" ht="18.75" x14ac:dyDescent="0.3">
      <c r="A81" s="82" t="s">
        <v>31</v>
      </c>
      <c r="B81" s="47">
        <f>B82</f>
        <v>40</v>
      </c>
      <c r="C81" s="587">
        <f>C82</f>
        <v>0</v>
      </c>
      <c r="D81" s="587">
        <f>D82</f>
        <v>0</v>
      </c>
      <c r="E81" s="587">
        <f>E82</f>
        <v>0</v>
      </c>
      <c r="F81" s="587">
        <f>D81/B81*100</f>
        <v>0</v>
      </c>
      <c r="G81" s="587" t="e">
        <f>E81/C81*100</f>
        <v>#DIV/0!</v>
      </c>
      <c r="H81" s="587">
        <f>H82</f>
        <v>0</v>
      </c>
      <c r="I81" s="587">
        <f>I82</f>
        <v>0</v>
      </c>
      <c r="J81" s="587">
        <f>J82</f>
        <v>0</v>
      </c>
      <c r="K81" s="587">
        <f>K82</f>
        <v>0</v>
      </c>
      <c r="L81" s="587">
        <f t="shared" ref="L81:AE81" si="18">L82</f>
        <v>0</v>
      </c>
      <c r="M81" s="587">
        <f t="shared" si="18"/>
        <v>0</v>
      </c>
      <c r="N81" s="587">
        <f t="shared" si="18"/>
        <v>0</v>
      </c>
      <c r="O81" s="587">
        <f t="shared" si="18"/>
        <v>0</v>
      </c>
      <c r="P81" s="587">
        <f t="shared" si="18"/>
        <v>0</v>
      </c>
      <c r="Q81" s="587">
        <f t="shared" si="18"/>
        <v>0</v>
      </c>
      <c r="R81" s="587">
        <f t="shared" si="18"/>
        <v>0</v>
      </c>
      <c r="S81" s="587">
        <f t="shared" si="18"/>
        <v>0</v>
      </c>
      <c r="T81" s="587">
        <f t="shared" si="18"/>
        <v>0</v>
      </c>
      <c r="U81" s="587">
        <f t="shared" si="18"/>
        <v>0</v>
      </c>
      <c r="V81" s="587">
        <f t="shared" si="18"/>
        <v>0</v>
      </c>
      <c r="W81" s="587">
        <f t="shared" si="18"/>
        <v>0</v>
      </c>
      <c r="X81" s="587">
        <f t="shared" si="18"/>
        <v>0</v>
      </c>
      <c r="Y81" s="587">
        <f t="shared" si="18"/>
        <v>0</v>
      </c>
      <c r="Z81" s="587">
        <f t="shared" si="18"/>
        <v>0</v>
      </c>
      <c r="AA81" s="587">
        <f t="shared" si="18"/>
        <v>0</v>
      </c>
      <c r="AB81" s="587">
        <f t="shared" si="18"/>
        <v>0</v>
      </c>
      <c r="AC81" s="587">
        <f t="shared" si="18"/>
        <v>0</v>
      </c>
      <c r="AD81" s="587">
        <f t="shared" si="18"/>
        <v>40</v>
      </c>
      <c r="AE81" s="587">
        <f t="shared" si="18"/>
        <v>0</v>
      </c>
      <c r="AF81" s="47"/>
    </row>
    <row r="82" spans="1:32" ht="18.75" x14ac:dyDescent="0.3">
      <c r="A82" s="82" t="s">
        <v>33</v>
      </c>
      <c r="B82" s="47">
        <f>B85+B88</f>
        <v>40</v>
      </c>
      <c r="C82" s="587">
        <f>C85</f>
        <v>0</v>
      </c>
      <c r="D82" s="587">
        <f>D85</f>
        <v>0</v>
      </c>
      <c r="E82" s="587">
        <f>E85</f>
        <v>0</v>
      </c>
      <c r="F82" s="587">
        <f>D82/B82*100</f>
        <v>0</v>
      </c>
      <c r="G82" s="587" t="e">
        <f>E82/C82*100</f>
        <v>#DIV/0!</v>
      </c>
      <c r="H82" s="587">
        <f>H85+H88</f>
        <v>0</v>
      </c>
      <c r="I82" s="587">
        <f>I85+I88</f>
        <v>0</v>
      </c>
      <c r="J82" s="587">
        <f>J85+J88</f>
        <v>0</v>
      </c>
      <c r="K82" s="587">
        <f>K85+K88</f>
        <v>0</v>
      </c>
      <c r="L82" s="587">
        <f t="shared" ref="L82:AE82" si="19">L85+L88</f>
        <v>0</v>
      </c>
      <c r="M82" s="587">
        <f t="shared" si="19"/>
        <v>0</v>
      </c>
      <c r="N82" s="587">
        <f t="shared" si="19"/>
        <v>0</v>
      </c>
      <c r="O82" s="587">
        <f t="shared" si="19"/>
        <v>0</v>
      </c>
      <c r="P82" s="587">
        <f t="shared" si="19"/>
        <v>0</v>
      </c>
      <c r="Q82" s="587">
        <f t="shared" si="19"/>
        <v>0</v>
      </c>
      <c r="R82" s="587">
        <f t="shared" si="19"/>
        <v>0</v>
      </c>
      <c r="S82" s="587">
        <f t="shared" si="19"/>
        <v>0</v>
      </c>
      <c r="T82" s="587">
        <f t="shared" si="19"/>
        <v>0</v>
      </c>
      <c r="U82" s="587">
        <f t="shared" si="19"/>
        <v>0</v>
      </c>
      <c r="V82" s="587">
        <f t="shared" si="19"/>
        <v>0</v>
      </c>
      <c r="W82" s="587">
        <f t="shared" si="19"/>
        <v>0</v>
      </c>
      <c r="X82" s="587">
        <f t="shared" si="19"/>
        <v>0</v>
      </c>
      <c r="Y82" s="587">
        <f t="shared" si="19"/>
        <v>0</v>
      </c>
      <c r="Z82" s="587">
        <f t="shared" si="19"/>
        <v>0</v>
      </c>
      <c r="AA82" s="587">
        <f t="shared" si="19"/>
        <v>0</v>
      </c>
      <c r="AB82" s="587">
        <f t="shared" si="19"/>
        <v>0</v>
      </c>
      <c r="AC82" s="587">
        <f t="shared" si="19"/>
        <v>0</v>
      </c>
      <c r="AD82" s="587">
        <f t="shared" si="19"/>
        <v>40</v>
      </c>
      <c r="AE82" s="587">
        <f t="shared" si="19"/>
        <v>0</v>
      </c>
      <c r="AF82" s="47"/>
    </row>
    <row r="83" spans="1:32" ht="206.25" x14ac:dyDescent="0.3">
      <c r="A83" s="899" t="s">
        <v>154</v>
      </c>
      <c r="B83" s="47">
        <v>40</v>
      </c>
      <c r="C83" s="587">
        <v>0</v>
      </c>
      <c r="D83" s="587">
        <v>0</v>
      </c>
      <c r="E83" s="587">
        <v>0</v>
      </c>
      <c r="F83" s="587">
        <v>0</v>
      </c>
      <c r="G83" s="587">
        <v>0</v>
      </c>
      <c r="H83" s="587">
        <v>0</v>
      </c>
      <c r="I83" s="587">
        <v>0</v>
      </c>
      <c r="J83" s="587">
        <v>0</v>
      </c>
      <c r="K83" s="587">
        <v>0</v>
      </c>
      <c r="L83" s="47">
        <v>0</v>
      </c>
      <c r="M83" s="47">
        <v>0</v>
      </c>
      <c r="N83" s="47">
        <v>0</v>
      </c>
      <c r="O83" s="47">
        <v>0</v>
      </c>
      <c r="P83" s="47">
        <v>0</v>
      </c>
      <c r="Q83" s="47">
        <v>0</v>
      </c>
      <c r="R83" s="47">
        <v>0</v>
      </c>
      <c r="S83" s="47">
        <v>0</v>
      </c>
      <c r="T83" s="47">
        <v>0</v>
      </c>
      <c r="U83" s="47">
        <v>0</v>
      </c>
      <c r="V83" s="47">
        <v>0</v>
      </c>
      <c r="W83" s="47">
        <v>0</v>
      </c>
      <c r="X83" s="47">
        <v>0</v>
      </c>
      <c r="Y83" s="47">
        <v>0</v>
      </c>
      <c r="Z83" s="47">
        <v>0</v>
      </c>
      <c r="AA83" s="47">
        <v>0</v>
      </c>
      <c r="AB83" s="47">
        <v>0</v>
      </c>
      <c r="AC83" s="47">
        <v>0</v>
      </c>
      <c r="AD83" s="47">
        <v>40</v>
      </c>
      <c r="AE83" s="47">
        <v>0</v>
      </c>
      <c r="AF83" s="47"/>
    </row>
    <row r="84" spans="1:32" ht="18.75" x14ac:dyDescent="0.3">
      <c r="A84" s="82" t="s">
        <v>31</v>
      </c>
      <c r="B84" s="47">
        <f>B85</f>
        <v>40</v>
      </c>
      <c r="C84" s="587">
        <f>C85</f>
        <v>0</v>
      </c>
      <c r="D84" s="587">
        <f>D85</f>
        <v>0</v>
      </c>
      <c r="E84" s="587">
        <f>E85</f>
        <v>0</v>
      </c>
      <c r="F84" s="587">
        <f>E84/B84*100</f>
        <v>0</v>
      </c>
      <c r="G84" s="587" t="e">
        <f>E84/C84*100</f>
        <v>#DIV/0!</v>
      </c>
      <c r="H84" s="587">
        <f>H85</f>
        <v>0</v>
      </c>
      <c r="I84" s="587">
        <f t="shared" ref="I84:AE84" si="20">I85</f>
        <v>0</v>
      </c>
      <c r="J84" s="587">
        <f t="shared" si="20"/>
        <v>0</v>
      </c>
      <c r="K84" s="587">
        <f t="shared" si="20"/>
        <v>0</v>
      </c>
      <c r="L84" s="47">
        <f t="shared" si="20"/>
        <v>0</v>
      </c>
      <c r="M84" s="47">
        <f t="shared" si="20"/>
        <v>0</v>
      </c>
      <c r="N84" s="47">
        <f t="shared" si="20"/>
        <v>0</v>
      </c>
      <c r="O84" s="47">
        <f t="shared" si="20"/>
        <v>0</v>
      </c>
      <c r="P84" s="47">
        <f t="shared" si="20"/>
        <v>0</v>
      </c>
      <c r="Q84" s="47">
        <f t="shared" si="20"/>
        <v>0</v>
      </c>
      <c r="R84" s="47">
        <f t="shared" si="20"/>
        <v>0</v>
      </c>
      <c r="S84" s="47">
        <f t="shared" si="20"/>
        <v>0</v>
      </c>
      <c r="T84" s="47">
        <f t="shared" si="20"/>
        <v>0</v>
      </c>
      <c r="U84" s="47">
        <f t="shared" si="20"/>
        <v>0</v>
      </c>
      <c r="V84" s="47">
        <f t="shared" si="20"/>
        <v>0</v>
      </c>
      <c r="W84" s="47">
        <f t="shared" si="20"/>
        <v>0</v>
      </c>
      <c r="X84" s="47">
        <f t="shared" si="20"/>
        <v>0</v>
      </c>
      <c r="Y84" s="47">
        <f t="shared" si="20"/>
        <v>0</v>
      </c>
      <c r="Z84" s="47">
        <f t="shared" si="20"/>
        <v>0</v>
      </c>
      <c r="AA84" s="47">
        <f t="shared" si="20"/>
        <v>0</v>
      </c>
      <c r="AB84" s="47">
        <f t="shared" si="20"/>
        <v>0</v>
      </c>
      <c r="AC84" s="47">
        <f t="shared" si="20"/>
        <v>0</v>
      </c>
      <c r="AD84" s="47">
        <f t="shared" si="20"/>
        <v>40</v>
      </c>
      <c r="AE84" s="47">
        <f t="shared" si="20"/>
        <v>0</v>
      </c>
      <c r="AF84" s="47"/>
    </row>
    <row r="85" spans="1:32" ht="18.75" x14ac:dyDescent="0.3">
      <c r="A85" s="82" t="s">
        <v>33</v>
      </c>
      <c r="B85" s="47">
        <f>H85+J85+L85+N85+P85+R85+T85+V85+X85+Z85+AB85+AD85</f>
        <v>40</v>
      </c>
      <c r="C85" s="587">
        <f>H85</f>
        <v>0</v>
      </c>
      <c r="D85" s="587">
        <v>0</v>
      </c>
      <c r="E85" s="587">
        <f>I85</f>
        <v>0</v>
      </c>
      <c r="F85" s="587">
        <f>D85/B85*100</f>
        <v>0</v>
      </c>
      <c r="G85" s="587" t="e">
        <f>E85/C85*100</f>
        <v>#DIV/0!</v>
      </c>
      <c r="H85" s="587">
        <v>0</v>
      </c>
      <c r="I85" s="587">
        <v>0</v>
      </c>
      <c r="J85" s="587">
        <v>0</v>
      </c>
      <c r="K85" s="587">
        <v>0</v>
      </c>
      <c r="L85" s="47">
        <v>0</v>
      </c>
      <c r="M85" s="47">
        <v>0</v>
      </c>
      <c r="N85" s="47">
        <v>0</v>
      </c>
      <c r="O85" s="47">
        <v>0</v>
      </c>
      <c r="P85" s="47">
        <v>0</v>
      </c>
      <c r="Q85" s="47">
        <v>0</v>
      </c>
      <c r="R85" s="47">
        <v>0</v>
      </c>
      <c r="S85" s="47">
        <v>0</v>
      </c>
      <c r="T85" s="47">
        <v>0</v>
      </c>
      <c r="U85" s="47">
        <v>0</v>
      </c>
      <c r="V85" s="47">
        <v>0</v>
      </c>
      <c r="W85" s="47">
        <v>0</v>
      </c>
      <c r="X85" s="47">
        <v>0</v>
      </c>
      <c r="Y85" s="47">
        <v>0</v>
      </c>
      <c r="Z85" s="47">
        <v>0</v>
      </c>
      <c r="AA85" s="47">
        <v>0</v>
      </c>
      <c r="AB85" s="47">
        <v>0</v>
      </c>
      <c r="AC85" s="47">
        <v>0</v>
      </c>
      <c r="AD85" s="47">
        <v>40</v>
      </c>
      <c r="AE85" s="47">
        <v>0</v>
      </c>
      <c r="AF85" s="47"/>
    </row>
    <row r="86" spans="1:32" ht="225" hidden="1" x14ac:dyDescent="0.3">
      <c r="A86" s="82" t="s">
        <v>155</v>
      </c>
      <c r="B86" s="47">
        <v>0</v>
      </c>
      <c r="C86" s="587">
        <v>0</v>
      </c>
      <c r="D86" s="587">
        <v>0</v>
      </c>
      <c r="E86" s="587">
        <v>0</v>
      </c>
      <c r="F86" s="587">
        <v>0</v>
      </c>
      <c r="G86" s="587">
        <v>0</v>
      </c>
      <c r="H86" s="587">
        <v>0</v>
      </c>
      <c r="I86" s="587">
        <v>0</v>
      </c>
      <c r="J86" s="587">
        <v>0</v>
      </c>
      <c r="K86" s="587">
        <v>0</v>
      </c>
      <c r="L86" s="47">
        <v>0</v>
      </c>
      <c r="M86" s="47">
        <v>0</v>
      </c>
      <c r="N86" s="47">
        <v>0</v>
      </c>
      <c r="O86" s="47">
        <v>0</v>
      </c>
      <c r="P86" s="47">
        <v>0</v>
      </c>
      <c r="Q86" s="47">
        <v>0</v>
      </c>
      <c r="R86" s="47">
        <v>0</v>
      </c>
      <c r="S86" s="47">
        <v>0</v>
      </c>
      <c r="T86" s="47">
        <v>0</v>
      </c>
      <c r="U86" s="47"/>
      <c r="V86" s="47">
        <v>0</v>
      </c>
      <c r="W86" s="47">
        <v>0</v>
      </c>
      <c r="X86" s="47">
        <v>0</v>
      </c>
      <c r="Y86" s="47">
        <v>0</v>
      </c>
      <c r="Z86" s="47">
        <v>0</v>
      </c>
      <c r="AA86" s="47">
        <v>0</v>
      </c>
      <c r="AB86" s="47">
        <v>0</v>
      </c>
      <c r="AC86" s="47">
        <v>0</v>
      </c>
      <c r="AD86" s="47">
        <v>0</v>
      </c>
      <c r="AE86" s="47">
        <v>0</v>
      </c>
      <c r="AF86" s="47"/>
    </row>
    <row r="87" spans="1:32" ht="18.75" hidden="1" x14ac:dyDescent="0.3">
      <c r="A87" s="82" t="s">
        <v>31</v>
      </c>
      <c r="B87" s="47">
        <f>B88</f>
        <v>0</v>
      </c>
      <c r="C87" s="587">
        <f>C88</f>
        <v>0</v>
      </c>
      <c r="D87" s="587">
        <f>D88</f>
        <v>0</v>
      </c>
      <c r="E87" s="587">
        <f>E88</f>
        <v>0</v>
      </c>
      <c r="F87" s="587" t="e">
        <f>E87/B87*100</f>
        <v>#DIV/0!</v>
      </c>
      <c r="G87" s="587" t="e">
        <f>E87/C87*100</f>
        <v>#DIV/0!</v>
      </c>
      <c r="H87" s="587">
        <f>H88</f>
        <v>0</v>
      </c>
      <c r="I87" s="587">
        <f t="shared" ref="I87:AE87" si="21">I88</f>
        <v>0</v>
      </c>
      <c r="J87" s="587">
        <f t="shared" si="21"/>
        <v>0</v>
      </c>
      <c r="K87" s="587">
        <f t="shared" si="21"/>
        <v>0</v>
      </c>
      <c r="L87" s="47">
        <f t="shared" si="21"/>
        <v>0</v>
      </c>
      <c r="M87" s="47">
        <f t="shared" si="21"/>
        <v>0</v>
      </c>
      <c r="N87" s="47">
        <f t="shared" si="21"/>
        <v>0</v>
      </c>
      <c r="O87" s="47">
        <f t="shared" si="21"/>
        <v>0</v>
      </c>
      <c r="P87" s="47">
        <f t="shared" si="21"/>
        <v>0</v>
      </c>
      <c r="Q87" s="47">
        <f t="shared" si="21"/>
        <v>0</v>
      </c>
      <c r="R87" s="47">
        <f t="shared" si="21"/>
        <v>0</v>
      </c>
      <c r="S87" s="47">
        <f t="shared" si="21"/>
        <v>0</v>
      </c>
      <c r="T87" s="47">
        <f t="shared" si="21"/>
        <v>0</v>
      </c>
      <c r="U87" s="47">
        <f t="shared" si="21"/>
        <v>0</v>
      </c>
      <c r="V87" s="47">
        <f t="shared" si="21"/>
        <v>0</v>
      </c>
      <c r="W87" s="47">
        <f t="shared" si="21"/>
        <v>0</v>
      </c>
      <c r="X87" s="47">
        <f t="shared" si="21"/>
        <v>0</v>
      </c>
      <c r="Y87" s="47">
        <f t="shared" si="21"/>
        <v>0</v>
      </c>
      <c r="Z87" s="47">
        <f t="shared" si="21"/>
        <v>0</v>
      </c>
      <c r="AA87" s="47">
        <f t="shared" si="21"/>
        <v>0</v>
      </c>
      <c r="AB87" s="47">
        <f t="shared" si="21"/>
        <v>0</v>
      </c>
      <c r="AC87" s="47">
        <f t="shared" si="21"/>
        <v>0</v>
      </c>
      <c r="AD87" s="47">
        <f t="shared" si="21"/>
        <v>0</v>
      </c>
      <c r="AE87" s="47">
        <f t="shared" si="21"/>
        <v>0</v>
      </c>
      <c r="AF87" s="47"/>
    </row>
    <row r="88" spans="1:32" ht="18.75" hidden="1" x14ac:dyDescent="0.3">
      <c r="A88" s="82" t="s">
        <v>33</v>
      </c>
      <c r="B88" s="47">
        <f>H88+J88+L88+N88+P88+R88+T88+V88+X88+Z88+AB88+AD88</f>
        <v>0</v>
      </c>
      <c r="C88" s="587">
        <f>H88</f>
        <v>0</v>
      </c>
      <c r="D88" s="587"/>
      <c r="E88" s="587">
        <f>I88</f>
        <v>0</v>
      </c>
      <c r="F88" s="587" t="e">
        <f>D88/B88*100</f>
        <v>#DIV/0!</v>
      </c>
      <c r="G88" s="587" t="e">
        <f>E88/C88*100</f>
        <v>#DIV/0!</v>
      </c>
      <c r="H88" s="587"/>
      <c r="I88" s="587"/>
      <c r="J88" s="587"/>
      <c r="K88" s="587"/>
      <c r="L88" s="47"/>
      <c r="M88" s="47"/>
      <c r="N88" s="47"/>
      <c r="O88" s="47"/>
      <c r="P88" s="47"/>
      <c r="Q88" s="47"/>
      <c r="R88" s="47"/>
      <c r="S88" s="47"/>
      <c r="T88" s="47"/>
      <c r="U88" s="47"/>
      <c r="V88" s="47"/>
      <c r="W88" s="47"/>
      <c r="X88" s="47"/>
      <c r="Y88" s="47"/>
      <c r="Z88" s="47"/>
      <c r="AA88" s="47"/>
      <c r="AB88" s="47"/>
      <c r="AC88" s="47"/>
      <c r="AD88" s="47"/>
      <c r="AE88" s="47"/>
      <c r="AF88" s="47"/>
    </row>
    <row r="89" spans="1:32" ht="75" x14ac:dyDescent="0.3">
      <c r="A89" s="83" t="s">
        <v>156</v>
      </c>
      <c r="B89" s="47"/>
      <c r="C89" s="587"/>
      <c r="D89" s="587"/>
      <c r="E89" s="587"/>
      <c r="F89" s="587"/>
      <c r="G89" s="587"/>
      <c r="H89" s="587"/>
      <c r="I89" s="587"/>
      <c r="J89" s="587"/>
      <c r="K89" s="587"/>
      <c r="L89" s="47"/>
      <c r="M89" s="47"/>
      <c r="N89" s="47"/>
      <c r="O89" s="47"/>
      <c r="P89" s="47"/>
      <c r="Q89" s="47"/>
      <c r="R89" s="47"/>
      <c r="S89" s="47"/>
      <c r="T89" s="47"/>
      <c r="U89" s="47"/>
      <c r="V89" s="47"/>
      <c r="W89" s="47"/>
      <c r="X89" s="47"/>
      <c r="Y89" s="47"/>
      <c r="Z89" s="47"/>
      <c r="AA89" s="47"/>
      <c r="AB89" s="47"/>
      <c r="AC89" s="47"/>
      <c r="AD89" s="47"/>
      <c r="AE89" s="47"/>
      <c r="AF89" s="47"/>
    </row>
    <row r="90" spans="1:32" ht="18.75" x14ac:dyDescent="0.3">
      <c r="A90" s="82" t="s">
        <v>31</v>
      </c>
      <c r="B90" s="47">
        <f>B91</f>
        <v>6.7</v>
      </c>
      <c r="C90" s="587">
        <f>C91</f>
        <v>0</v>
      </c>
      <c r="D90" s="587">
        <f>D91</f>
        <v>0</v>
      </c>
      <c r="E90" s="587">
        <f>E91</f>
        <v>0</v>
      </c>
      <c r="F90" s="587">
        <f>E90/B90*100</f>
        <v>0</v>
      </c>
      <c r="G90" s="587" t="e">
        <f>E90/C90*100</f>
        <v>#DIV/0!</v>
      </c>
      <c r="H90" s="587">
        <f>H91</f>
        <v>0</v>
      </c>
      <c r="I90" s="587">
        <f t="shared" ref="I90:AE90" si="22">I91</f>
        <v>0</v>
      </c>
      <c r="J90" s="587">
        <f t="shared" si="22"/>
        <v>0</v>
      </c>
      <c r="K90" s="587">
        <f t="shared" si="22"/>
        <v>0</v>
      </c>
      <c r="L90" s="47">
        <f t="shared" si="22"/>
        <v>0</v>
      </c>
      <c r="M90" s="47">
        <f t="shared" si="22"/>
        <v>0</v>
      </c>
      <c r="N90" s="47">
        <f t="shared" si="22"/>
        <v>0</v>
      </c>
      <c r="O90" s="47">
        <f t="shared" si="22"/>
        <v>0</v>
      </c>
      <c r="P90" s="47">
        <f t="shared" si="22"/>
        <v>0</v>
      </c>
      <c r="Q90" s="47">
        <f t="shared" si="22"/>
        <v>0</v>
      </c>
      <c r="R90" s="47">
        <f t="shared" si="22"/>
        <v>0</v>
      </c>
      <c r="S90" s="47">
        <f t="shared" si="22"/>
        <v>0</v>
      </c>
      <c r="T90" s="47">
        <f t="shared" si="22"/>
        <v>0</v>
      </c>
      <c r="U90" s="47">
        <f t="shared" si="22"/>
        <v>0</v>
      </c>
      <c r="V90" s="47">
        <f t="shared" si="22"/>
        <v>6.7</v>
      </c>
      <c r="W90" s="47">
        <f t="shared" si="22"/>
        <v>0</v>
      </c>
      <c r="X90" s="47">
        <f t="shared" si="22"/>
        <v>0</v>
      </c>
      <c r="Y90" s="47">
        <f t="shared" si="22"/>
        <v>0</v>
      </c>
      <c r="Z90" s="47">
        <f t="shared" si="22"/>
        <v>0</v>
      </c>
      <c r="AA90" s="47">
        <f t="shared" si="22"/>
        <v>0</v>
      </c>
      <c r="AB90" s="47">
        <f t="shared" si="22"/>
        <v>0</v>
      </c>
      <c r="AC90" s="47">
        <f t="shared" si="22"/>
        <v>0</v>
      </c>
      <c r="AD90" s="47">
        <f t="shared" si="22"/>
        <v>0</v>
      </c>
      <c r="AE90" s="47">
        <f t="shared" si="22"/>
        <v>0</v>
      </c>
      <c r="AF90" s="47"/>
    </row>
    <row r="91" spans="1:32" ht="18.75" x14ac:dyDescent="0.3">
      <c r="A91" s="82" t="s">
        <v>33</v>
      </c>
      <c r="B91" s="47">
        <f>B94+B97</f>
        <v>6.7</v>
      </c>
      <c r="C91" s="587">
        <f>C94</f>
        <v>0</v>
      </c>
      <c r="D91" s="587">
        <f>D94</f>
        <v>0</v>
      </c>
      <c r="E91" s="587">
        <f>E94</f>
        <v>0</v>
      </c>
      <c r="F91" s="587">
        <f>D91/B91*100</f>
        <v>0</v>
      </c>
      <c r="G91" s="587" t="e">
        <f>E91/C91*100</f>
        <v>#DIV/0!</v>
      </c>
      <c r="H91" s="587">
        <f>H94</f>
        <v>0</v>
      </c>
      <c r="I91" s="587">
        <f t="shared" ref="I91:AE91" si="23">I94</f>
        <v>0</v>
      </c>
      <c r="J91" s="587">
        <f t="shared" si="23"/>
        <v>0</v>
      </c>
      <c r="K91" s="587">
        <f>K94</f>
        <v>0</v>
      </c>
      <c r="L91" s="47">
        <f t="shared" si="23"/>
        <v>0</v>
      </c>
      <c r="M91" s="47">
        <f t="shared" si="23"/>
        <v>0</v>
      </c>
      <c r="N91" s="47">
        <f t="shared" si="23"/>
        <v>0</v>
      </c>
      <c r="O91" s="47">
        <f t="shared" si="23"/>
        <v>0</v>
      </c>
      <c r="P91" s="47">
        <f t="shared" si="23"/>
        <v>0</v>
      </c>
      <c r="Q91" s="47">
        <f t="shared" si="23"/>
        <v>0</v>
      </c>
      <c r="R91" s="47">
        <f t="shared" si="23"/>
        <v>0</v>
      </c>
      <c r="S91" s="47">
        <f t="shared" si="23"/>
        <v>0</v>
      </c>
      <c r="T91" s="47">
        <f t="shared" si="23"/>
        <v>0</v>
      </c>
      <c r="U91" s="47">
        <f t="shared" si="23"/>
        <v>0</v>
      </c>
      <c r="V91" s="47">
        <f>V94</f>
        <v>6.7</v>
      </c>
      <c r="W91" s="47">
        <f>W94</f>
        <v>0</v>
      </c>
      <c r="X91" s="47">
        <f t="shared" si="23"/>
        <v>0</v>
      </c>
      <c r="Y91" s="47">
        <f t="shared" si="23"/>
        <v>0</v>
      </c>
      <c r="Z91" s="47">
        <f t="shared" si="23"/>
        <v>0</v>
      </c>
      <c r="AA91" s="47">
        <f t="shared" si="23"/>
        <v>0</v>
      </c>
      <c r="AB91" s="47">
        <f t="shared" si="23"/>
        <v>0</v>
      </c>
      <c r="AC91" s="47">
        <f t="shared" si="23"/>
        <v>0</v>
      </c>
      <c r="AD91" s="47">
        <f t="shared" si="23"/>
        <v>0</v>
      </c>
      <c r="AE91" s="47">
        <f t="shared" si="23"/>
        <v>0</v>
      </c>
      <c r="AF91" s="47"/>
    </row>
    <row r="92" spans="1:32" s="10" customFormat="1" ht="131.25" x14ac:dyDescent="0.3">
      <c r="A92" s="15" t="s">
        <v>157</v>
      </c>
      <c r="B92" s="47"/>
      <c r="C92" s="587"/>
      <c r="D92" s="587"/>
      <c r="E92" s="587"/>
      <c r="F92" s="587"/>
      <c r="G92" s="587"/>
      <c r="H92" s="587"/>
      <c r="I92" s="587"/>
      <c r="J92" s="587"/>
      <c r="K92" s="587"/>
      <c r="L92" s="47"/>
      <c r="M92" s="47"/>
      <c r="N92" s="47"/>
      <c r="O92" s="47"/>
      <c r="P92" s="47"/>
      <c r="Q92" s="47"/>
      <c r="R92" s="47"/>
      <c r="S92" s="47"/>
      <c r="T92" s="47"/>
      <c r="U92" s="47"/>
      <c r="V92" s="47"/>
      <c r="W92" s="47"/>
      <c r="X92" s="47"/>
      <c r="Y92" s="47"/>
      <c r="Z92" s="47"/>
      <c r="AA92" s="47"/>
      <c r="AB92" s="47"/>
      <c r="AC92" s="47"/>
      <c r="AD92" s="47"/>
      <c r="AE92" s="47"/>
      <c r="AF92" s="47"/>
    </row>
    <row r="93" spans="1:32" s="10" customFormat="1" ht="18.75" x14ac:dyDescent="0.3">
      <c r="A93" s="899" t="s">
        <v>31</v>
      </c>
      <c r="B93" s="47">
        <f>B94</f>
        <v>6.7</v>
      </c>
      <c r="C93" s="587">
        <f>C94</f>
        <v>0</v>
      </c>
      <c r="D93" s="587">
        <f>D94</f>
        <v>0</v>
      </c>
      <c r="E93" s="587">
        <f>E94</f>
        <v>0</v>
      </c>
      <c r="F93" s="587">
        <f>E93/B93*100</f>
        <v>0</v>
      </c>
      <c r="G93" s="587" t="e">
        <f>E93/C93*100</f>
        <v>#DIV/0!</v>
      </c>
      <c r="H93" s="587">
        <f>H94</f>
        <v>0</v>
      </c>
      <c r="I93" s="587">
        <f t="shared" ref="I93:AE93" si="24">I94</f>
        <v>0</v>
      </c>
      <c r="J93" s="587">
        <f t="shared" si="24"/>
        <v>0</v>
      </c>
      <c r="K93" s="587">
        <f t="shared" si="24"/>
        <v>0</v>
      </c>
      <c r="L93" s="47">
        <f t="shared" si="24"/>
        <v>0</v>
      </c>
      <c r="M93" s="47">
        <f t="shared" si="24"/>
        <v>0</v>
      </c>
      <c r="N93" s="47">
        <f t="shared" si="24"/>
        <v>0</v>
      </c>
      <c r="O93" s="47">
        <f t="shared" si="24"/>
        <v>0</v>
      </c>
      <c r="P93" s="47">
        <f t="shared" si="24"/>
        <v>0</v>
      </c>
      <c r="Q93" s="47">
        <f t="shared" si="24"/>
        <v>0</v>
      </c>
      <c r="R93" s="47">
        <f t="shared" si="24"/>
        <v>0</v>
      </c>
      <c r="S93" s="47">
        <f t="shared" si="24"/>
        <v>0</v>
      </c>
      <c r="T93" s="47">
        <f t="shared" si="24"/>
        <v>0</v>
      </c>
      <c r="U93" s="47">
        <f t="shared" si="24"/>
        <v>0</v>
      </c>
      <c r="V93" s="47">
        <f t="shared" si="24"/>
        <v>6.7</v>
      </c>
      <c r="W93" s="47">
        <f t="shared" si="24"/>
        <v>0</v>
      </c>
      <c r="X93" s="47">
        <f t="shared" si="24"/>
        <v>0</v>
      </c>
      <c r="Y93" s="47">
        <f t="shared" si="24"/>
        <v>0</v>
      </c>
      <c r="Z93" s="47">
        <f t="shared" si="24"/>
        <v>0</v>
      </c>
      <c r="AA93" s="47">
        <f t="shared" si="24"/>
        <v>0</v>
      </c>
      <c r="AB93" s="47">
        <f t="shared" si="24"/>
        <v>0</v>
      </c>
      <c r="AC93" s="47">
        <f t="shared" si="24"/>
        <v>0</v>
      </c>
      <c r="AD93" s="47">
        <f t="shared" si="24"/>
        <v>0</v>
      </c>
      <c r="AE93" s="47">
        <f t="shared" si="24"/>
        <v>0</v>
      </c>
      <c r="AF93" s="47"/>
    </row>
    <row r="94" spans="1:32" s="10" customFormat="1" ht="18.75" x14ac:dyDescent="0.3">
      <c r="A94" s="899" t="s">
        <v>33</v>
      </c>
      <c r="B94" s="47">
        <f>H94+J94+L94+N94+P94+R94+T94+V94+X94+Z94+AB94+AD94</f>
        <v>6.7</v>
      </c>
      <c r="C94" s="587">
        <f>H94</f>
        <v>0</v>
      </c>
      <c r="D94" s="587"/>
      <c r="E94" s="587">
        <f>I94</f>
        <v>0</v>
      </c>
      <c r="F94" s="587">
        <f>D94/B94*100</f>
        <v>0</v>
      </c>
      <c r="G94" s="587" t="e">
        <f>E94/C94*100</f>
        <v>#DIV/0!</v>
      </c>
      <c r="H94" s="587"/>
      <c r="I94" s="587"/>
      <c r="J94" s="587"/>
      <c r="K94" s="587"/>
      <c r="L94" s="47"/>
      <c r="M94" s="47"/>
      <c r="N94" s="47"/>
      <c r="O94" s="47"/>
      <c r="P94" s="47"/>
      <c r="Q94" s="47"/>
      <c r="R94" s="47">
        <v>0</v>
      </c>
      <c r="S94" s="47">
        <v>0</v>
      </c>
      <c r="T94" s="47"/>
      <c r="U94" s="47"/>
      <c r="V94" s="47">
        <v>6.7</v>
      </c>
      <c r="W94" s="47"/>
      <c r="X94" s="47"/>
      <c r="Y94" s="47"/>
      <c r="Z94" s="47"/>
      <c r="AA94" s="47"/>
      <c r="AB94" s="47"/>
      <c r="AC94" s="47"/>
      <c r="AD94" s="47"/>
      <c r="AE94" s="47"/>
      <c r="AF94" s="47"/>
    </row>
    <row r="95" spans="1:32" s="10" customFormat="1" ht="206.25" hidden="1" x14ac:dyDescent="0.3">
      <c r="A95" s="50" t="s">
        <v>158</v>
      </c>
      <c r="B95" s="47"/>
      <c r="C95" s="587"/>
      <c r="D95" s="587"/>
      <c r="E95" s="587"/>
      <c r="F95" s="587"/>
      <c r="G95" s="587"/>
      <c r="H95" s="587"/>
      <c r="I95" s="587"/>
      <c r="J95" s="587"/>
      <c r="K95" s="587"/>
      <c r="L95" s="47"/>
      <c r="M95" s="47"/>
      <c r="N95" s="47"/>
      <c r="O95" s="47"/>
      <c r="P95" s="47"/>
      <c r="Q95" s="47"/>
      <c r="R95" s="47"/>
      <c r="S95" s="47"/>
      <c r="T95" s="47"/>
      <c r="U95" s="47"/>
      <c r="V95" s="47"/>
      <c r="W95" s="47"/>
      <c r="X95" s="47"/>
      <c r="Y95" s="47"/>
      <c r="Z95" s="47"/>
      <c r="AA95" s="47"/>
      <c r="AB95" s="47"/>
      <c r="AC95" s="47"/>
      <c r="AD95" s="47"/>
      <c r="AE95" s="47"/>
      <c r="AF95" s="47"/>
    </row>
    <row r="96" spans="1:32" s="10" customFormat="1" ht="18.75" hidden="1" x14ac:dyDescent="0.3">
      <c r="A96" s="82" t="s">
        <v>31</v>
      </c>
      <c r="B96" s="47"/>
      <c r="C96" s="587"/>
      <c r="D96" s="587"/>
      <c r="E96" s="587"/>
      <c r="F96" s="587"/>
      <c r="G96" s="587"/>
      <c r="H96" s="587"/>
      <c r="I96" s="587"/>
      <c r="J96" s="587"/>
      <c r="K96" s="587"/>
      <c r="L96" s="47"/>
      <c r="M96" s="47"/>
      <c r="N96" s="47"/>
      <c r="O96" s="47"/>
      <c r="P96" s="47"/>
      <c r="Q96" s="47"/>
      <c r="R96" s="47"/>
      <c r="S96" s="47"/>
      <c r="T96" s="47"/>
      <c r="U96" s="47"/>
      <c r="V96" s="47"/>
      <c r="W96" s="47"/>
      <c r="X96" s="47"/>
      <c r="Y96" s="47"/>
      <c r="Z96" s="47"/>
      <c r="AA96" s="47"/>
      <c r="AB96" s="47"/>
      <c r="AC96" s="47"/>
      <c r="AD96" s="47"/>
      <c r="AE96" s="47"/>
      <c r="AF96" s="47"/>
    </row>
    <row r="97" spans="1:32" s="10" customFormat="1" ht="18.75" hidden="1" x14ac:dyDescent="0.3">
      <c r="A97" s="82" t="s">
        <v>33</v>
      </c>
      <c r="B97" s="47"/>
      <c r="C97" s="587"/>
      <c r="D97" s="587"/>
      <c r="E97" s="587"/>
      <c r="F97" s="587"/>
      <c r="G97" s="587"/>
      <c r="H97" s="587"/>
      <c r="I97" s="587"/>
      <c r="J97" s="587"/>
      <c r="K97" s="587"/>
      <c r="L97" s="47"/>
      <c r="M97" s="47"/>
      <c r="N97" s="47"/>
      <c r="O97" s="47"/>
      <c r="P97" s="47"/>
      <c r="Q97" s="47"/>
      <c r="R97" s="47"/>
      <c r="S97" s="47"/>
      <c r="T97" s="47"/>
      <c r="U97" s="47"/>
      <c r="V97" s="47"/>
      <c r="W97" s="47"/>
      <c r="X97" s="47"/>
      <c r="Y97" s="47"/>
      <c r="Z97" s="47"/>
      <c r="AA97" s="47"/>
      <c r="AB97" s="47"/>
      <c r="AC97" s="47"/>
      <c r="AD97" s="47"/>
      <c r="AE97" s="47"/>
      <c r="AF97" s="47"/>
    </row>
    <row r="98" spans="1:32" ht="18.75" x14ac:dyDescent="0.3">
      <c r="A98" s="56" t="s">
        <v>35</v>
      </c>
      <c r="B98" s="47"/>
      <c r="C98" s="587"/>
      <c r="D98" s="587"/>
      <c r="E98" s="587"/>
      <c r="F98" s="587"/>
      <c r="G98" s="587"/>
      <c r="H98" s="587"/>
      <c r="I98" s="587"/>
      <c r="J98" s="587"/>
      <c r="K98" s="587"/>
      <c r="L98" s="47"/>
      <c r="M98" s="47"/>
      <c r="N98" s="47"/>
      <c r="O98" s="47"/>
      <c r="P98" s="47"/>
      <c r="Q98" s="47"/>
      <c r="R98" s="47"/>
      <c r="S98" s="47"/>
      <c r="T98" s="47"/>
      <c r="U98" s="47"/>
      <c r="V98" s="47"/>
      <c r="W98" s="47"/>
      <c r="X98" s="47"/>
      <c r="Y98" s="47"/>
      <c r="Z98" s="47"/>
      <c r="AA98" s="47"/>
      <c r="AB98" s="47"/>
      <c r="AC98" s="47"/>
      <c r="AD98" s="47"/>
      <c r="AE98" s="47"/>
      <c r="AF98" s="47"/>
    </row>
    <row r="99" spans="1:32" ht="18.75" x14ac:dyDescent="0.3">
      <c r="A99" s="82" t="s">
        <v>31</v>
      </c>
      <c r="B99" s="47">
        <f>B100</f>
        <v>135.69999999999999</v>
      </c>
      <c r="C99" s="587">
        <f>C100</f>
        <v>80</v>
      </c>
      <c r="D99" s="587">
        <f>D100</f>
        <v>80</v>
      </c>
      <c r="E99" s="587">
        <f>E100</f>
        <v>80</v>
      </c>
      <c r="F99" s="587">
        <f>D99/B99*100</f>
        <v>58.953574060427414</v>
      </c>
      <c r="G99" s="587">
        <f>E99/C99*100</f>
        <v>100</v>
      </c>
      <c r="H99" s="587">
        <v>0</v>
      </c>
      <c r="I99" s="587">
        <v>0</v>
      </c>
      <c r="J99" s="587">
        <v>0</v>
      </c>
      <c r="K99" s="587">
        <v>0</v>
      </c>
      <c r="L99" s="47">
        <v>0</v>
      </c>
      <c r="M99" s="47">
        <v>0</v>
      </c>
      <c r="N99" s="47"/>
      <c r="O99" s="47"/>
      <c r="P99" s="47"/>
      <c r="Q99" s="47"/>
      <c r="R99" s="47"/>
      <c r="S99" s="47"/>
      <c r="T99" s="47"/>
      <c r="U99" s="47"/>
      <c r="V99" s="47"/>
      <c r="W99" s="47"/>
      <c r="X99" s="47"/>
      <c r="Y99" s="47"/>
      <c r="Z99" s="47"/>
      <c r="AA99" s="47"/>
      <c r="AB99" s="47"/>
      <c r="AC99" s="47"/>
      <c r="AD99" s="47"/>
      <c r="AE99" s="47"/>
      <c r="AF99" s="47"/>
    </row>
    <row r="100" spans="1:32" ht="18.75" x14ac:dyDescent="0.3">
      <c r="A100" s="82" t="s">
        <v>33</v>
      </c>
      <c r="B100" s="47">
        <f>B64+B82+B91+B97</f>
        <v>135.69999999999999</v>
      </c>
      <c r="C100" s="587">
        <f>C64+C82+C91</f>
        <v>80</v>
      </c>
      <c r="D100" s="587">
        <f>D64+D82+D91</f>
        <v>80</v>
      </c>
      <c r="E100" s="587">
        <f>E64+E82+E91</f>
        <v>80</v>
      </c>
      <c r="F100" s="587">
        <f>D100/B100*100</f>
        <v>58.953574060427414</v>
      </c>
      <c r="G100" s="587">
        <f>E100/C100*100</f>
        <v>100</v>
      </c>
      <c r="H100" s="587">
        <v>0</v>
      </c>
      <c r="I100" s="587">
        <v>0</v>
      </c>
      <c r="J100" s="587">
        <v>0</v>
      </c>
      <c r="K100" s="587">
        <v>0</v>
      </c>
      <c r="L100" s="47">
        <v>0</v>
      </c>
      <c r="M100" s="47">
        <v>0</v>
      </c>
      <c r="N100" s="47"/>
      <c r="O100" s="47"/>
      <c r="P100" s="47"/>
      <c r="Q100" s="47"/>
      <c r="R100" s="47"/>
      <c r="S100" s="47"/>
      <c r="T100" s="47"/>
      <c r="U100" s="47"/>
      <c r="V100" s="47"/>
      <c r="W100" s="47"/>
      <c r="X100" s="47"/>
      <c r="Y100" s="47"/>
      <c r="Z100" s="47"/>
      <c r="AA100" s="47"/>
      <c r="AB100" s="47"/>
      <c r="AC100" s="47"/>
      <c r="AD100" s="47"/>
      <c r="AE100" s="47"/>
      <c r="AF100" s="47"/>
    </row>
    <row r="101" spans="1:32" ht="37.5" x14ac:dyDescent="0.3">
      <c r="A101" s="87" t="s">
        <v>73</v>
      </c>
      <c r="B101" s="90"/>
      <c r="C101" s="588"/>
      <c r="D101" s="588"/>
      <c r="E101" s="588"/>
      <c r="F101" s="588"/>
      <c r="G101" s="588"/>
      <c r="H101" s="588"/>
      <c r="I101" s="588"/>
      <c r="J101" s="588"/>
      <c r="K101" s="588"/>
      <c r="L101" s="90"/>
      <c r="M101" s="90"/>
      <c r="N101" s="90"/>
      <c r="O101" s="90"/>
      <c r="P101" s="90"/>
      <c r="Q101" s="90"/>
      <c r="R101" s="90"/>
      <c r="S101" s="90"/>
      <c r="T101" s="90"/>
      <c r="U101" s="90"/>
      <c r="V101" s="90"/>
      <c r="W101" s="90"/>
      <c r="X101" s="90"/>
      <c r="Y101" s="90"/>
      <c r="Z101" s="90"/>
      <c r="AA101" s="90"/>
      <c r="AB101" s="90"/>
      <c r="AC101" s="90"/>
      <c r="AD101" s="90"/>
      <c r="AE101" s="90"/>
      <c r="AF101" s="90"/>
    </row>
    <row r="102" spans="1:32" ht="18.75" x14ac:dyDescent="0.3">
      <c r="A102" s="88" t="s">
        <v>31</v>
      </c>
      <c r="B102" s="58">
        <f>B103</f>
        <v>135.69999999999999</v>
      </c>
      <c r="C102" s="588">
        <f>C103</f>
        <v>80</v>
      </c>
      <c r="D102" s="588">
        <f>D103</f>
        <v>80</v>
      </c>
      <c r="E102" s="588">
        <f>E103</f>
        <v>80</v>
      </c>
      <c r="F102" s="587">
        <f>E102/B102*100</f>
        <v>58.953574060427414</v>
      </c>
      <c r="G102" s="587">
        <f>E102/C102*100</f>
        <v>100</v>
      </c>
      <c r="H102" s="588">
        <v>0</v>
      </c>
      <c r="I102" s="588">
        <v>0</v>
      </c>
      <c r="J102" s="588">
        <v>0</v>
      </c>
      <c r="K102" s="588">
        <v>0</v>
      </c>
      <c r="L102" s="58">
        <v>0</v>
      </c>
      <c r="M102" s="58">
        <v>0</v>
      </c>
      <c r="N102" s="58"/>
      <c r="O102" s="58"/>
      <c r="P102" s="58"/>
      <c r="Q102" s="58"/>
      <c r="R102" s="58"/>
      <c r="S102" s="58"/>
      <c r="T102" s="58"/>
      <c r="U102" s="58"/>
      <c r="V102" s="58"/>
      <c r="W102" s="58"/>
      <c r="X102" s="58"/>
      <c r="Y102" s="58"/>
      <c r="Z102" s="58"/>
      <c r="AA102" s="58"/>
      <c r="AB102" s="58"/>
      <c r="AC102" s="58"/>
      <c r="AD102" s="58"/>
      <c r="AE102" s="58"/>
      <c r="AF102" s="90"/>
    </row>
    <row r="103" spans="1:32" ht="18.75" x14ac:dyDescent="0.3">
      <c r="A103" s="82" t="s">
        <v>33</v>
      </c>
      <c r="B103" s="58">
        <f>B100</f>
        <v>135.69999999999999</v>
      </c>
      <c r="C103" s="588">
        <f>C100</f>
        <v>80</v>
      </c>
      <c r="D103" s="588">
        <f>D100</f>
        <v>80</v>
      </c>
      <c r="E103" s="588">
        <f>E100</f>
        <v>80</v>
      </c>
      <c r="F103" s="587">
        <f>E103/B103*100</f>
        <v>58.953574060427414</v>
      </c>
      <c r="G103" s="587">
        <f>E103/C103*100</f>
        <v>100</v>
      </c>
      <c r="H103" s="588">
        <v>0</v>
      </c>
      <c r="I103" s="588">
        <v>0</v>
      </c>
      <c r="J103" s="588">
        <v>0</v>
      </c>
      <c r="K103" s="588">
        <v>0</v>
      </c>
      <c r="L103" s="58">
        <v>0</v>
      </c>
      <c r="M103" s="58">
        <v>0</v>
      </c>
      <c r="N103" s="58"/>
      <c r="O103" s="58"/>
      <c r="P103" s="58"/>
      <c r="Q103" s="58"/>
      <c r="R103" s="58"/>
      <c r="S103" s="58"/>
      <c r="T103" s="58"/>
      <c r="U103" s="58"/>
      <c r="V103" s="58"/>
      <c r="W103" s="58"/>
      <c r="X103" s="58"/>
      <c r="Y103" s="58"/>
      <c r="Z103" s="58"/>
      <c r="AA103" s="58"/>
      <c r="AB103" s="58"/>
      <c r="AC103" s="58"/>
      <c r="AD103" s="58"/>
      <c r="AE103" s="58"/>
      <c r="AF103" s="90"/>
    </row>
    <row r="104" spans="1:32" ht="93.75" x14ac:dyDescent="0.3">
      <c r="A104" s="50" t="s">
        <v>159</v>
      </c>
      <c r="B104" s="90"/>
      <c r="C104" s="588"/>
      <c r="D104" s="588"/>
      <c r="E104" s="588"/>
      <c r="F104" s="588"/>
      <c r="G104" s="588"/>
      <c r="H104" s="588"/>
      <c r="I104" s="588"/>
      <c r="J104" s="588"/>
      <c r="K104" s="588"/>
      <c r="L104" s="90"/>
      <c r="M104" s="90"/>
      <c r="N104" s="90"/>
      <c r="O104" s="90"/>
      <c r="P104" s="90"/>
      <c r="Q104" s="90"/>
      <c r="R104" s="90"/>
      <c r="S104" s="90"/>
      <c r="T104" s="90"/>
      <c r="U104" s="90"/>
      <c r="V104" s="90"/>
      <c r="W104" s="90"/>
      <c r="X104" s="90"/>
      <c r="Y104" s="90"/>
      <c r="Z104" s="90"/>
      <c r="AA104" s="90"/>
      <c r="AB104" s="90"/>
      <c r="AC104" s="90"/>
      <c r="AD104" s="90"/>
      <c r="AE104" s="90"/>
      <c r="AF104" s="90"/>
    </row>
    <row r="105" spans="1:32" ht="18.75" x14ac:dyDescent="0.3">
      <c r="A105" s="15" t="s">
        <v>54</v>
      </c>
      <c r="B105" s="90"/>
      <c r="C105" s="588"/>
      <c r="D105" s="588"/>
      <c r="E105" s="588"/>
      <c r="F105" s="588"/>
      <c r="G105" s="588"/>
      <c r="H105" s="588"/>
      <c r="I105" s="588"/>
      <c r="J105" s="588"/>
      <c r="K105" s="588"/>
      <c r="L105" s="90"/>
      <c r="M105" s="90"/>
      <c r="N105" s="90"/>
      <c r="O105" s="90"/>
      <c r="P105" s="90"/>
      <c r="Q105" s="90"/>
      <c r="R105" s="90"/>
      <c r="S105" s="90"/>
      <c r="T105" s="90"/>
      <c r="U105" s="90"/>
      <c r="V105" s="90"/>
      <c r="W105" s="90"/>
      <c r="X105" s="90"/>
      <c r="Y105" s="90"/>
      <c r="Z105" s="90"/>
      <c r="AA105" s="90"/>
      <c r="AB105" s="90"/>
      <c r="AC105" s="90"/>
      <c r="AD105" s="90"/>
      <c r="AE105" s="90"/>
      <c r="AF105" s="90"/>
    </row>
    <row r="106" spans="1:32" ht="93.75" x14ac:dyDescent="0.3">
      <c r="A106" s="50" t="s">
        <v>160</v>
      </c>
      <c r="B106" s="90"/>
      <c r="C106" s="588"/>
      <c r="D106" s="588"/>
      <c r="E106" s="588"/>
      <c r="F106" s="588"/>
      <c r="G106" s="588"/>
      <c r="H106" s="588"/>
      <c r="I106" s="588"/>
      <c r="J106" s="588"/>
      <c r="K106" s="588"/>
      <c r="L106" s="90"/>
      <c r="M106" s="90"/>
      <c r="N106" s="90"/>
      <c r="O106" s="90"/>
      <c r="P106" s="90"/>
      <c r="Q106" s="90"/>
      <c r="R106" s="90"/>
      <c r="S106" s="90"/>
      <c r="T106" s="90"/>
      <c r="U106" s="90"/>
      <c r="V106" s="90"/>
      <c r="W106" s="90"/>
      <c r="X106" s="90"/>
      <c r="Y106" s="90"/>
      <c r="Z106" s="90"/>
      <c r="AA106" s="90"/>
      <c r="AB106" s="90"/>
      <c r="AC106" s="90"/>
      <c r="AD106" s="90"/>
      <c r="AE106" s="90"/>
      <c r="AF106" s="90"/>
    </row>
    <row r="107" spans="1:32" ht="94.5" x14ac:dyDescent="0.3">
      <c r="A107" s="18" t="s">
        <v>31</v>
      </c>
      <c r="B107" s="875">
        <f>B108</f>
        <v>569.4</v>
      </c>
      <c r="C107" s="879">
        <f>C108</f>
        <v>567.995</v>
      </c>
      <c r="D107" s="879">
        <f>D108</f>
        <v>567.995</v>
      </c>
      <c r="E107" s="878">
        <f>E108</f>
        <v>567.995</v>
      </c>
      <c r="F107" s="587">
        <f>E107/B107*100</f>
        <v>99.753249034070961</v>
      </c>
      <c r="G107" s="587">
        <f>E107/C107*100</f>
        <v>100</v>
      </c>
      <c r="H107" s="588">
        <f>H108</f>
        <v>0</v>
      </c>
      <c r="I107" s="588">
        <f t="shared" ref="I107:AE107" si="25">I108</f>
        <v>0</v>
      </c>
      <c r="J107" s="588">
        <f>J108</f>
        <v>0</v>
      </c>
      <c r="K107" s="588">
        <f t="shared" si="25"/>
        <v>0</v>
      </c>
      <c r="L107" s="58">
        <f t="shared" si="25"/>
        <v>0</v>
      </c>
      <c r="M107" s="58">
        <f t="shared" si="25"/>
        <v>0</v>
      </c>
      <c r="N107" s="58">
        <f t="shared" si="25"/>
        <v>0</v>
      </c>
      <c r="O107" s="58">
        <f t="shared" si="25"/>
        <v>0</v>
      </c>
      <c r="P107" s="591">
        <f>P108</f>
        <v>569.4</v>
      </c>
      <c r="Q107" s="869">
        <v>567.995</v>
      </c>
      <c r="R107" s="58">
        <f t="shared" si="25"/>
        <v>0</v>
      </c>
      <c r="S107" s="58">
        <f t="shared" si="25"/>
        <v>0</v>
      </c>
      <c r="T107" s="58">
        <f t="shared" si="25"/>
        <v>0</v>
      </c>
      <c r="U107" s="58">
        <f t="shared" si="25"/>
        <v>0</v>
      </c>
      <c r="V107" s="58">
        <f t="shared" si="25"/>
        <v>0</v>
      </c>
      <c r="W107" s="58">
        <f t="shared" si="25"/>
        <v>0</v>
      </c>
      <c r="X107" s="58">
        <f t="shared" si="25"/>
        <v>0</v>
      </c>
      <c r="Y107" s="58">
        <f t="shared" si="25"/>
        <v>0</v>
      </c>
      <c r="Z107" s="58">
        <f t="shared" si="25"/>
        <v>0</v>
      </c>
      <c r="AA107" s="58">
        <f t="shared" si="25"/>
        <v>0</v>
      </c>
      <c r="AB107" s="58">
        <f t="shared" si="25"/>
        <v>0</v>
      </c>
      <c r="AC107" s="58">
        <f t="shared" si="25"/>
        <v>0</v>
      </c>
      <c r="AD107" s="58">
        <f t="shared" si="25"/>
        <v>0</v>
      </c>
      <c r="AE107" s="58">
        <f t="shared" si="25"/>
        <v>0</v>
      </c>
      <c r="AF107" s="868" t="s">
        <v>551</v>
      </c>
    </row>
    <row r="108" spans="1:32" ht="18.75" x14ac:dyDescent="0.3">
      <c r="A108" s="15" t="s">
        <v>33</v>
      </c>
      <c r="B108" s="47">
        <f>H108+J108+L108+N108+P108+R108+T108+V108+X108+Z108+AB108+AD108</f>
        <v>569.4</v>
      </c>
      <c r="C108" s="587">
        <f>Q108</f>
        <v>567.995</v>
      </c>
      <c r="D108" s="587">
        <f>Q108</f>
        <v>567.995</v>
      </c>
      <c r="E108" s="587">
        <f>Q108</f>
        <v>567.995</v>
      </c>
      <c r="F108" s="587">
        <f>E108/B108*100</f>
        <v>99.753249034070961</v>
      </c>
      <c r="G108" s="587">
        <f>E108/C108*100</f>
        <v>100</v>
      </c>
      <c r="H108" s="587">
        <v>0</v>
      </c>
      <c r="I108" s="588">
        <v>0</v>
      </c>
      <c r="J108" s="588">
        <v>0</v>
      </c>
      <c r="K108" s="588">
        <v>0</v>
      </c>
      <c r="L108" s="90">
        <v>0</v>
      </c>
      <c r="M108" s="90">
        <v>0</v>
      </c>
      <c r="N108" s="90">
        <v>0</v>
      </c>
      <c r="O108" s="90">
        <v>0</v>
      </c>
      <c r="P108" s="90">
        <v>569.4</v>
      </c>
      <c r="Q108" s="869">
        <v>567.995</v>
      </c>
      <c r="R108" s="90">
        <v>0</v>
      </c>
      <c r="S108" s="90">
        <v>0</v>
      </c>
      <c r="T108" s="90"/>
      <c r="U108" s="90"/>
      <c r="V108" s="90"/>
      <c r="W108" s="90"/>
      <c r="X108" s="90"/>
      <c r="Y108" s="90"/>
      <c r="Z108" s="90"/>
      <c r="AA108" s="90"/>
      <c r="AB108" s="90"/>
      <c r="AC108" s="90"/>
      <c r="AD108" s="90"/>
      <c r="AE108" s="90"/>
      <c r="AF108" s="90"/>
    </row>
    <row r="109" spans="1:32" ht="18.75" x14ac:dyDescent="0.3">
      <c r="A109" s="56" t="s">
        <v>62</v>
      </c>
      <c r="B109" s="90"/>
      <c r="C109" s="588"/>
      <c r="D109" s="588"/>
      <c r="E109" s="588"/>
      <c r="F109" s="588"/>
      <c r="G109" s="588"/>
      <c r="H109" s="588"/>
      <c r="I109" s="587"/>
      <c r="J109" s="587"/>
      <c r="K109" s="587"/>
      <c r="L109" s="47"/>
      <c r="M109" s="47"/>
      <c r="N109" s="47"/>
      <c r="O109" s="90"/>
      <c r="P109" s="90"/>
      <c r="Q109" s="869"/>
      <c r="R109" s="90"/>
      <c r="S109" s="90"/>
      <c r="T109" s="90"/>
      <c r="U109" s="90"/>
      <c r="V109" s="90"/>
      <c r="W109" s="90"/>
      <c r="X109" s="90"/>
      <c r="Y109" s="90"/>
      <c r="Z109" s="90"/>
      <c r="AA109" s="90"/>
      <c r="AB109" s="90"/>
      <c r="AC109" s="90"/>
      <c r="AD109" s="90"/>
      <c r="AE109" s="90"/>
      <c r="AF109" s="90"/>
    </row>
    <row r="110" spans="1:32" ht="18.75" x14ac:dyDescent="0.3">
      <c r="A110" s="19" t="s">
        <v>31</v>
      </c>
      <c r="B110" s="58">
        <f>B111</f>
        <v>569.4</v>
      </c>
      <c r="C110" s="588">
        <f>C111</f>
        <v>567.995</v>
      </c>
      <c r="D110" s="588">
        <f>D111</f>
        <v>567.995</v>
      </c>
      <c r="E110" s="588">
        <f>E111</f>
        <v>567.995</v>
      </c>
      <c r="F110" s="587">
        <f>E110/B110*100</f>
        <v>99.753249034070961</v>
      </c>
      <c r="G110" s="587">
        <f>E110/C110*100</f>
        <v>100</v>
      </c>
      <c r="H110" s="588">
        <v>0</v>
      </c>
      <c r="I110" s="588">
        <v>0</v>
      </c>
      <c r="J110" s="588">
        <v>0</v>
      </c>
      <c r="K110" s="588">
        <v>0</v>
      </c>
      <c r="L110" s="58">
        <v>0</v>
      </c>
      <c r="M110" s="58">
        <v>0</v>
      </c>
      <c r="N110" s="58">
        <v>0</v>
      </c>
      <c r="O110" s="58">
        <v>0</v>
      </c>
      <c r="P110" s="58">
        <v>569.4</v>
      </c>
      <c r="Q110" s="869">
        <v>567.995</v>
      </c>
      <c r="R110" s="58">
        <v>0</v>
      </c>
      <c r="S110" s="58">
        <v>0</v>
      </c>
      <c r="T110" s="58"/>
      <c r="U110" s="58"/>
      <c r="V110" s="58"/>
      <c r="W110" s="58"/>
      <c r="X110" s="58"/>
      <c r="Y110" s="58"/>
      <c r="Z110" s="58"/>
      <c r="AA110" s="58"/>
      <c r="AB110" s="58"/>
      <c r="AC110" s="58"/>
      <c r="AD110" s="58"/>
      <c r="AE110" s="58"/>
      <c r="AF110" s="90"/>
    </row>
    <row r="111" spans="1:32" ht="18.75" x14ac:dyDescent="0.3">
      <c r="A111" s="15" t="s">
        <v>33</v>
      </c>
      <c r="B111" s="58">
        <f>B108</f>
        <v>569.4</v>
      </c>
      <c r="C111" s="588">
        <f>C108</f>
        <v>567.995</v>
      </c>
      <c r="D111" s="588">
        <f>D108</f>
        <v>567.995</v>
      </c>
      <c r="E111" s="588">
        <f>E108</f>
        <v>567.995</v>
      </c>
      <c r="F111" s="587">
        <f>E111/B111*100</f>
        <v>99.753249034070961</v>
      </c>
      <c r="G111" s="587">
        <f>E111/C111*100</f>
        <v>100</v>
      </c>
      <c r="H111" s="588">
        <v>0</v>
      </c>
      <c r="I111" s="588">
        <v>0</v>
      </c>
      <c r="J111" s="588">
        <v>0</v>
      </c>
      <c r="K111" s="588">
        <v>0</v>
      </c>
      <c r="L111" s="58">
        <v>0</v>
      </c>
      <c r="M111" s="58">
        <v>0</v>
      </c>
      <c r="N111" s="58">
        <v>0</v>
      </c>
      <c r="O111" s="58">
        <v>0</v>
      </c>
      <c r="P111" s="58">
        <v>569.4</v>
      </c>
      <c r="Q111" s="869">
        <v>567.995</v>
      </c>
      <c r="R111" s="58">
        <v>0</v>
      </c>
      <c r="S111" s="58">
        <v>0</v>
      </c>
      <c r="T111" s="58"/>
      <c r="U111" s="58"/>
      <c r="V111" s="58"/>
      <c r="W111" s="58"/>
      <c r="X111" s="58"/>
      <c r="Y111" s="58"/>
      <c r="Z111" s="58"/>
      <c r="AA111" s="58"/>
      <c r="AB111" s="58"/>
      <c r="AC111" s="58"/>
      <c r="AD111" s="58"/>
      <c r="AE111" s="58"/>
      <c r="AF111" s="90"/>
    </row>
    <row r="112" spans="1:32" ht="37.5" x14ac:dyDescent="0.3">
      <c r="A112" s="87" t="s">
        <v>76</v>
      </c>
      <c r="B112" s="90"/>
      <c r="C112" s="588"/>
      <c r="D112" s="588"/>
      <c r="E112" s="588"/>
      <c r="F112" s="588"/>
      <c r="G112" s="588"/>
      <c r="H112" s="588"/>
      <c r="I112" s="588"/>
      <c r="J112" s="588"/>
      <c r="K112" s="588"/>
      <c r="L112" s="90"/>
      <c r="M112" s="90"/>
      <c r="N112" s="90"/>
      <c r="O112" s="90"/>
      <c r="P112" s="90"/>
      <c r="Q112" s="869"/>
      <c r="R112" s="90"/>
      <c r="S112" s="90"/>
      <c r="T112" s="90"/>
      <c r="U112" s="90"/>
      <c r="V112" s="90"/>
      <c r="W112" s="90"/>
      <c r="X112" s="90"/>
      <c r="Y112" s="90"/>
      <c r="Z112" s="90"/>
      <c r="AA112" s="90"/>
      <c r="AB112" s="90"/>
      <c r="AC112" s="90"/>
      <c r="AD112" s="90"/>
      <c r="AE112" s="90"/>
      <c r="AF112" s="90"/>
    </row>
    <row r="113" spans="1:32" ht="18.75" x14ac:dyDescent="0.3">
      <c r="A113" s="88" t="s">
        <v>31</v>
      </c>
      <c r="B113" s="58">
        <f>B114</f>
        <v>569.4</v>
      </c>
      <c r="C113" s="588">
        <f>C114</f>
        <v>567.995</v>
      </c>
      <c r="D113" s="588">
        <f>D114</f>
        <v>567.995</v>
      </c>
      <c r="E113" s="588">
        <f>E114</f>
        <v>567.995</v>
      </c>
      <c r="F113" s="587">
        <f t="shared" ref="F113:F122" si="26">E113/B113*100</f>
        <v>99.753249034070961</v>
      </c>
      <c r="G113" s="587">
        <f t="shared" ref="G113:G122" si="27">E113/C113*100</f>
        <v>100</v>
      </c>
      <c r="H113" s="588">
        <f>H114</f>
        <v>0</v>
      </c>
      <c r="I113" s="588">
        <f t="shared" ref="I113:AE113" si="28">I114</f>
        <v>0</v>
      </c>
      <c r="J113" s="588">
        <f t="shared" si="28"/>
        <v>0</v>
      </c>
      <c r="K113" s="588">
        <f t="shared" si="28"/>
        <v>0</v>
      </c>
      <c r="L113" s="58">
        <f t="shared" si="28"/>
        <v>0</v>
      </c>
      <c r="M113" s="58">
        <f t="shared" si="28"/>
        <v>0</v>
      </c>
      <c r="N113" s="58">
        <f t="shared" si="28"/>
        <v>0</v>
      </c>
      <c r="O113" s="58">
        <f t="shared" si="28"/>
        <v>0</v>
      </c>
      <c r="P113" s="58">
        <f t="shared" si="28"/>
        <v>569.4</v>
      </c>
      <c r="Q113" s="869">
        <f t="shared" si="28"/>
        <v>567.995</v>
      </c>
      <c r="R113" s="58">
        <f t="shared" si="28"/>
        <v>0</v>
      </c>
      <c r="S113" s="58">
        <f t="shared" si="28"/>
        <v>0</v>
      </c>
      <c r="T113" s="58">
        <f t="shared" si="28"/>
        <v>0</v>
      </c>
      <c r="U113" s="58">
        <f t="shared" si="28"/>
        <v>0</v>
      </c>
      <c r="V113" s="58">
        <f t="shared" si="28"/>
        <v>0</v>
      </c>
      <c r="W113" s="58">
        <f t="shared" si="28"/>
        <v>0</v>
      </c>
      <c r="X113" s="58">
        <f t="shared" si="28"/>
        <v>0</v>
      </c>
      <c r="Y113" s="58">
        <f t="shared" si="28"/>
        <v>0</v>
      </c>
      <c r="Z113" s="58">
        <f t="shared" si="28"/>
        <v>0</v>
      </c>
      <c r="AA113" s="58">
        <f t="shared" si="28"/>
        <v>0</v>
      </c>
      <c r="AB113" s="58">
        <f t="shared" si="28"/>
        <v>0</v>
      </c>
      <c r="AC113" s="58">
        <f t="shared" si="28"/>
        <v>0</v>
      </c>
      <c r="AD113" s="58">
        <f t="shared" si="28"/>
        <v>0</v>
      </c>
      <c r="AE113" s="58">
        <f t="shared" si="28"/>
        <v>0</v>
      </c>
      <c r="AF113" s="90"/>
    </row>
    <row r="114" spans="1:32" ht="18.75" x14ac:dyDescent="0.3">
      <c r="A114" s="82" t="s">
        <v>33</v>
      </c>
      <c r="B114" s="58">
        <f>B111</f>
        <v>569.4</v>
      </c>
      <c r="C114" s="588">
        <f>C111</f>
        <v>567.995</v>
      </c>
      <c r="D114" s="588">
        <f>D111</f>
        <v>567.995</v>
      </c>
      <c r="E114" s="588">
        <f>E111</f>
        <v>567.995</v>
      </c>
      <c r="F114" s="587">
        <f t="shared" si="26"/>
        <v>99.753249034070961</v>
      </c>
      <c r="G114" s="587">
        <f t="shared" si="27"/>
        <v>100</v>
      </c>
      <c r="H114" s="588">
        <v>0</v>
      </c>
      <c r="I114" s="588">
        <v>0</v>
      </c>
      <c r="J114" s="588">
        <v>0</v>
      </c>
      <c r="K114" s="588">
        <v>0</v>
      </c>
      <c r="L114" s="58">
        <v>0</v>
      </c>
      <c r="M114" s="58">
        <v>0</v>
      </c>
      <c r="N114" s="58">
        <v>0</v>
      </c>
      <c r="O114" s="58">
        <v>0</v>
      </c>
      <c r="P114" s="58">
        <v>569.4</v>
      </c>
      <c r="Q114" s="869">
        <v>567.995</v>
      </c>
      <c r="R114" s="58">
        <v>0</v>
      </c>
      <c r="S114" s="58">
        <v>0</v>
      </c>
      <c r="T114" s="58"/>
      <c r="U114" s="58"/>
      <c r="V114" s="58"/>
      <c r="W114" s="58"/>
      <c r="X114" s="58"/>
      <c r="Y114" s="58"/>
      <c r="Z114" s="58"/>
      <c r="AA114" s="58"/>
      <c r="AB114" s="58"/>
      <c r="AC114" s="58"/>
      <c r="AD114" s="58"/>
      <c r="AE114" s="58"/>
      <c r="AF114" s="90"/>
    </row>
    <row r="115" spans="1:32" ht="37.5" x14ac:dyDescent="0.3">
      <c r="A115" s="56" t="s">
        <v>63</v>
      </c>
      <c r="B115" s="875">
        <f>B116+B117</f>
        <v>1666.9</v>
      </c>
      <c r="C115" s="879">
        <f>C116+C117</f>
        <v>997.99499999999989</v>
      </c>
      <c r="D115" s="879">
        <f>D116+D117</f>
        <v>997.99499999999989</v>
      </c>
      <c r="E115" s="879">
        <f>E116+E117</f>
        <v>997.99499999999989</v>
      </c>
      <c r="F115" s="587">
        <f t="shared" si="26"/>
        <v>59.871318015477826</v>
      </c>
      <c r="G115" s="587">
        <f t="shared" si="27"/>
        <v>100</v>
      </c>
      <c r="H115" s="588">
        <f>H116+H117</f>
        <v>0</v>
      </c>
      <c r="I115" s="588">
        <f t="shared" ref="I115:AE115" si="29">I116+I117</f>
        <v>0</v>
      </c>
      <c r="J115" s="588">
        <f t="shared" si="29"/>
        <v>0</v>
      </c>
      <c r="K115" s="588">
        <f t="shared" si="29"/>
        <v>0</v>
      </c>
      <c r="L115" s="905">
        <f t="shared" si="29"/>
        <v>350</v>
      </c>
      <c r="M115" s="905">
        <f t="shared" si="29"/>
        <v>122.8</v>
      </c>
      <c r="N115" s="905">
        <f t="shared" si="29"/>
        <v>0</v>
      </c>
      <c r="O115" s="905">
        <f t="shared" si="29"/>
        <v>107.2</v>
      </c>
      <c r="P115" s="905">
        <f t="shared" si="29"/>
        <v>569.4</v>
      </c>
      <c r="Q115" s="905">
        <f t="shared" si="29"/>
        <v>767.995</v>
      </c>
      <c r="R115" s="905">
        <f t="shared" si="29"/>
        <v>0</v>
      </c>
      <c r="S115" s="905">
        <f t="shared" si="29"/>
        <v>0</v>
      </c>
      <c r="T115" s="905">
        <f t="shared" si="29"/>
        <v>0</v>
      </c>
      <c r="U115" s="905">
        <f t="shared" si="29"/>
        <v>0</v>
      </c>
      <c r="V115" s="905">
        <f>V94</f>
        <v>6.7</v>
      </c>
      <c r="W115" s="905">
        <f>W94</f>
        <v>0</v>
      </c>
      <c r="X115" s="905">
        <f>X70</f>
        <v>9</v>
      </c>
      <c r="Y115" s="905">
        <f t="shared" si="29"/>
        <v>0</v>
      </c>
      <c r="Z115" s="905">
        <f t="shared" si="29"/>
        <v>302</v>
      </c>
      <c r="AA115" s="905">
        <f t="shared" si="29"/>
        <v>0</v>
      </c>
      <c r="AB115" s="905">
        <f t="shared" si="29"/>
        <v>309.8</v>
      </c>
      <c r="AC115" s="905">
        <f t="shared" si="29"/>
        <v>0</v>
      </c>
      <c r="AD115" s="905">
        <f>AD85</f>
        <v>40</v>
      </c>
      <c r="AE115" s="905">
        <f t="shared" si="29"/>
        <v>0</v>
      </c>
      <c r="AF115" s="906"/>
    </row>
    <row r="116" spans="1:32" ht="18.75" x14ac:dyDescent="0.3">
      <c r="A116" s="15" t="s">
        <v>97</v>
      </c>
      <c r="B116" s="875">
        <f>B52</f>
        <v>195.6</v>
      </c>
      <c r="C116" s="878">
        <f>C52</f>
        <v>97.8</v>
      </c>
      <c r="D116" s="878">
        <f>D52</f>
        <v>97.8</v>
      </c>
      <c r="E116" s="878">
        <f>E52</f>
        <v>97.8</v>
      </c>
      <c r="F116" s="587"/>
      <c r="G116" s="587"/>
      <c r="H116" s="588">
        <f>H52</f>
        <v>0</v>
      </c>
      <c r="I116" s="588">
        <f t="shared" ref="I116:AE116" si="30">I52</f>
        <v>0</v>
      </c>
      <c r="J116" s="588">
        <f t="shared" si="30"/>
        <v>0</v>
      </c>
      <c r="K116" s="588">
        <f t="shared" si="30"/>
        <v>0</v>
      </c>
      <c r="L116" s="58">
        <f t="shared" si="30"/>
        <v>97.8</v>
      </c>
      <c r="M116" s="58">
        <f t="shared" si="30"/>
        <v>97.8</v>
      </c>
      <c r="N116" s="58">
        <f t="shared" si="30"/>
        <v>0</v>
      </c>
      <c r="O116" s="58">
        <f t="shared" si="30"/>
        <v>0</v>
      </c>
      <c r="P116" s="58">
        <f t="shared" si="30"/>
        <v>0</v>
      </c>
      <c r="Q116" s="58">
        <f t="shared" si="30"/>
        <v>0</v>
      </c>
      <c r="R116" s="58">
        <f t="shared" si="30"/>
        <v>0</v>
      </c>
      <c r="S116" s="58">
        <f t="shared" si="30"/>
        <v>0</v>
      </c>
      <c r="T116" s="58">
        <f t="shared" si="30"/>
        <v>0</v>
      </c>
      <c r="U116" s="58">
        <f t="shared" si="30"/>
        <v>0</v>
      </c>
      <c r="V116" s="58">
        <f t="shared" si="30"/>
        <v>0</v>
      </c>
      <c r="W116" s="58">
        <f t="shared" si="30"/>
        <v>0</v>
      </c>
      <c r="X116" s="58">
        <f t="shared" si="30"/>
        <v>0</v>
      </c>
      <c r="Y116" s="58">
        <f t="shared" si="30"/>
        <v>0</v>
      </c>
      <c r="Z116" s="58">
        <f t="shared" si="30"/>
        <v>97.8</v>
      </c>
      <c r="AA116" s="58">
        <f t="shared" si="30"/>
        <v>0</v>
      </c>
      <c r="AB116" s="58">
        <f t="shared" si="30"/>
        <v>0</v>
      </c>
      <c r="AC116" s="58">
        <f t="shared" si="30"/>
        <v>0</v>
      </c>
      <c r="AD116" s="58">
        <f t="shared" si="30"/>
        <v>0</v>
      </c>
      <c r="AE116" s="58">
        <f t="shared" si="30"/>
        <v>0</v>
      </c>
      <c r="AF116" s="90"/>
    </row>
    <row r="117" spans="1:32" ht="18.75" x14ac:dyDescent="0.3">
      <c r="A117" s="15" t="s">
        <v>33</v>
      </c>
      <c r="B117" s="875">
        <f>B53+B100+B111</f>
        <v>1471.3000000000002</v>
      </c>
      <c r="C117" s="879">
        <f>C53+C100+C111</f>
        <v>900.19499999999994</v>
      </c>
      <c r="D117" s="879">
        <f>D53+D100+D111</f>
        <v>900.19499999999994</v>
      </c>
      <c r="E117" s="879">
        <f>E53+E100+E111</f>
        <v>900.19499999999994</v>
      </c>
      <c r="F117" s="587">
        <f t="shared" si="26"/>
        <v>61.183647114796422</v>
      </c>
      <c r="G117" s="587">
        <f t="shared" si="27"/>
        <v>100</v>
      </c>
      <c r="H117" s="588">
        <f>H53+H100+H111</f>
        <v>0</v>
      </c>
      <c r="I117" s="588">
        <f>I53+I100+I111</f>
        <v>0</v>
      </c>
      <c r="J117" s="588">
        <f t="shared" ref="J117:AE117" si="31">J53+J100+J111</f>
        <v>0</v>
      </c>
      <c r="K117" s="588">
        <f t="shared" si="31"/>
        <v>0</v>
      </c>
      <c r="L117" s="58">
        <f>L53+L100+L111</f>
        <v>252.2</v>
      </c>
      <c r="M117" s="58">
        <f t="shared" si="31"/>
        <v>25</v>
      </c>
      <c r="N117" s="58">
        <f t="shared" si="31"/>
        <v>0</v>
      </c>
      <c r="O117" s="58">
        <f>O53+O100+O111+O79</f>
        <v>107.2</v>
      </c>
      <c r="P117" s="58">
        <f>P53+P100+P111</f>
        <v>569.4</v>
      </c>
      <c r="Q117" s="58">
        <f>Q53+Q100+Q111</f>
        <v>767.995</v>
      </c>
      <c r="R117" s="58">
        <f t="shared" si="31"/>
        <v>0</v>
      </c>
      <c r="S117" s="58">
        <f>S53+S100+S111</f>
        <v>0</v>
      </c>
      <c r="T117" s="58">
        <f t="shared" si="31"/>
        <v>0</v>
      </c>
      <c r="U117" s="58">
        <f>U53+U100+U111</f>
        <v>0</v>
      </c>
      <c r="V117" s="58">
        <f t="shared" si="31"/>
        <v>0</v>
      </c>
      <c r="W117" s="58">
        <f>W53+W100+W111</f>
        <v>0</v>
      </c>
      <c r="X117" s="58">
        <f t="shared" si="31"/>
        <v>0</v>
      </c>
      <c r="Y117" s="58">
        <f t="shared" si="31"/>
        <v>0</v>
      </c>
      <c r="Z117" s="58">
        <f t="shared" si="31"/>
        <v>204.2</v>
      </c>
      <c r="AA117" s="58">
        <f t="shared" si="31"/>
        <v>0</v>
      </c>
      <c r="AB117" s="58">
        <f t="shared" si="31"/>
        <v>309.8</v>
      </c>
      <c r="AC117" s="58">
        <f t="shared" si="31"/>
        <v>0</v>
      </c>
      <c r="AD117" s="58">
        <f t="shared" si="31"/>
        <v>0</v>
      </c>
      <c r="AE117" s="58">
        <f t="shared" si="31"/>
        <v>0</v>
      </c>
      <c r="AF117" s="90"/>
    </row>
    <row r="118" spans="1:32" ht="37.5" x14ac:dyDescent="0.3">
      <c r="A118" s="92" t="s">
        <v>130</v>
      </c>
      <c r="B118" s="875">
        <f>B54</f>
        <v>456.4</v>
      </c>
      <c r="C118" s="878">
        <f>C54</f>
        <v>252.2</v>
      </c>
      <c r="D118" s="878">
        <f>D54</f>
        <v>252.2</v>
      </c>
      <c r="E118" s="878">
        <f>E54</f>
        <v>252.2</v>
      </c>
      <c r="F118" s="587">
        <f t="shared" si="26"/>
        <v>55.25854513584575</v>
      </c>
      <c r="G118" s="587">
        <f t="shared" si="27"/>
        <v>100</v>
      </c>
      <c r="H118" s="588">
        <f t="shared" ref="H118:AE118" si="32">H54</f>
        <v>0</v>
      </c>
      <c r="I118" s="588">
        <f>I54</f>
        <v>0</v>
      </c>
      <c r="J118" s="588">
        <f t="shared" si="32"/>
        <v>0</v>
      </c>
      <c r="K118" s="588">
        <f t="shared" si="32"/>
        <v>0</v>
      </c>
      <c r="L118" s="58">
        <f t="shared" si="32"/>
        <v>228.2</v>
      </c>
      <c r="M118" s="58">
        <f t="shared" si="32"/>
        <v>25</v>
      </c>
      <c r="N118" s="58">
        <f t="shared" si="32"/>
        <v>0</v>
      </c>
      <c r="O118" s="58">
        <f t="shared" si="32"/>
        <v>27.2</v>
      </c>
      <c r="P118" s="58">
        <f t="shared" si="32"/>
        <v>0</v>
      </c>
      <c r="Q118" s="58">
        <f>Q54</f>
        <v>200</v>
      </c>
      <c r="R118" s="58">
        <f t="shared" si="32"/>
        <v>0</v>
      </c>
      <c r="S118" s="58">
        <f t="shared" si="32"/>
        <v>0</v>
      </c>
      <c r="T118" s="58">
        <f t="shared" si="32"/>
        <v>0</v>
      </c>
      <c r="U118" s="58">
        <f t="shared" si="32"/>
        <v>0</v>
      </c>
      <c r="V118" s="58">
        <f t="shared" si="32"/>
        <v>0</v>
      </c>
      <c r="W118" s="58">
        <f t="shared" si="32"/>
        <v>0</v>
      </c>
      <c r="X118" s="58">
        <f t="shared" si="32"/>
        <v>0</v>
      </c>
      <c r="Y118" s="58">
        <f t="shared" si="32"/>
        <v>0</v>
      </c>
      <c r="Z118" s="58">
        <f t="shared" si="32"/>
        <v>228.2</v>
      </c>
      <c r="AA118" s="58">
        <f t="shared" si="32"/>
        <v>0</v>
      </c>
      <c r="AB118" s="58">
        <f t="shared" si="32"/>
        <v>0</v>
      </c>
      <c r="AC118" s="58">
        <f t="shared" si="32"/>
        <v>0</v>
      </c>
      <c r="AD118" s="58">
        <f t="shared" si="32"/>
        <v>0</v>
      </c>
      <c r="AE118" s="58">
        <f t="shared" si="32"/>
        <v>0</v>
      </c>
      <c r="AF118" s="90"/>
    </row>
    <row r="119" spans="1:32" ht="37.5" x14ac:dyDescent="0.3">
      <c r="A119" s="57" t="s">
        <v>64</v>
      </c>
      <c r="B119" s="58">
        <f>B120+B121</f>
        <v>1666.9</v>
      </c>
      <c r="C119" s="869">
        <f>C120+C121</f>
        <v>997.99499999999989</v>
      </c>
      <c r="D119" s="869">
        <f>D120+D121</f>
        <v>997.99499999999989</v>
      </c>
      <c r="E119" s="869">
        <f>E120+E121</f>
        <v>997.99499999999989</v>
      </c>
      <c r="F119" s="587">
        <f t="shared" si="26"/>
        <v>59.871318015477826</v>
      </c>
      <c r="G119" s="587">
        <f t="shared" si="27"/>
        <v>100</v>
      </c>
      <c r="H119" s="588">
        <f>H120+H121+H122</f>
        <v>0</v>
      </c>
      <c r="I119" s="588">
        <f t="shared" ref="I119:AE119" si="33">I120+I121+I122</f>
        <v>0</v>
      </c>
      <c r="J119" s="588">
        <f t="shared" si="33"/>
        <v>0</v>
      </c>
      <c r="K119" s="588">
        <f t="shared" si="33"/>
        <v>0</v>
      </c>
      <c r="L119" s="58">
        <f t="shared" si="33"/>
        <v>578.20000000000005</v>
      </c>
      <c r="M119" s="58">
        <f>M120+M121</f>
        <v>122.8</v>
      </c>
      <c r="N119" s="869">
        <f>N120+N121</f>
        <v>0</v>
      </c>
      <c r="O119" s="869">
        <f>O120+O121</f>
        <v>107.2</v>
      </c>
      <c r="P119" s="869">
        <f>P120+P121</f>
        <v>569.4</v>
      </c>
      <c r="Q119" s="869">
        <f>Q120+Q121</f>
        <v>767.995</v>
      </c>
      <c r="R119" s="58">
        <f t="shared" si="33"/>
        <v>0</v>
      </c>
      <c r="S119" s="58">
        <f t="shared" si="33"/>
        <v>0</v>
      </c>
      <c r="T119" s="58">
        <f t="shared" si="33"/>
        <v>0</v>
      </c>
      <c r="U119" s="58">
        <f t="shared" si="33"/>
        <v>0</v>
      </c>
      <c r="V119" s="58">
        <f t="shared" si="33"/>
        <v>0</v>
      </c>
      <c r="W119" s="58">
        <f t="shared" si="33"/>
        <v>0</v>
      </c>
      <c r="X119" s="58">
        <f t="shared" si="33"/>
        <v>0</v>
      </c>
      <c r="Y119" s="58">
        <f t="shared" si="33"/>
        <v>0</v>
      </c>
      <c r="Z119" s="58">
        <f t="shared" si="33"/>
        <v>530.20000000000005</v>
      </c>
      <c r="AA119" s="58">
        <f t="shared" si="33"/>
        <v>0</v>
      </c>
      <c r="AB119" s="58">
        <f t="shared" si="33"/>
        <v>309.8</v>
      </c>
      <c r="AC119" s="58">
        <f t="shared" si="33"/>
        <v>0</v>
      </c>
      <c r="AD119" s="58">
        <f t="shared" si="33"/>
        <v>0</v>
      </c>
      <c r="AE119" s="58">
        <f t="shared" si="33"/>
        <v>0</v>
      </c>
      <c r="AF119" s="90"/>
    </row>
    <row r="120" spans="1:32" ht="18.75" x14ac:dyDescent="0.3">
      <c r="A120" s="15" t="s">
        <v>97</v>
      </c>
      <c r="B120" s="58">
        <f t="shared" ref="B120:E122" si="34">B116</f>
        <v>195.6</v>
      </c>
      <c r="C120" s="588">
        <f t="shared" si="34"/>
        <v>97.8</v>
      </c>
      <c r="D120" s="588">
        <f t="shared" si="34"/>
        <v>97.8</v>
      </c>
      <c r="E120" s="588">
        <f t="shared" si="34"/>
        <v>97.8</v>
      </c>
      <c r="F120" s="587"/>
      <c r="G120" s="587"/>
      <c r="H120" s="588">
        <f>H116</f>
        <v>0</v>
      </c>
      <c r="I120" s="588">
        <f t="shared" ref="I120:AE120" si="35">I116</f>
        <v>0</v>
      </c>
      <c r="J120" s="588">
        <f t="shared" si="35"/>
        <v>0</v>
      </c>
      <c r="K120" s="588">
        <f t="shared" si="35"/>
        <v>0</v>
      </c>
      <c r="L120" s="58">
        <f t="shared" si="35"/>
        <v>97.8</v>
      </c>
      <c r="M120" s="58">
        <f>M116</f>
        <v>97.8</v>
      </c>
      <c r="N120" s="58">
        <f t="shared" si="35"/>
        <v>0</v>
      </c>
      <c r="O120" s="58">
        <f t="shared" si="35"/>
        <v>0</v>
      </c>
      <c r="P120" s="58">
        <f t="shared" si="35"/>
        <v>0</v>
      </c>
      <c r="Q120" s="58">
        <f t="shared" si="35"/>
        <v>0</v>
      </c>
      <c r="R120" s="58">
        <f t="shared" si="35"/>
        <v>0</v>
      </c>
      <c r="S120" s="58">
        <f t="shared" si="35"/>
        <v>0</v>
      </c>
      <c r="T120" s="58">
        <f t="shared" si="35"/>
        <v>0</v>
      </c>
      <c r="U120" s="58">
        <f t="shared" si="35"/>
        <v>0</v>
      </c>
      <c r="V120" s="58">
        <f t="shared" si="35"/>
        <v>0</v>
      </c>
      <c r="W120" s="58">
        <f t="shared" si="35"/>
        <v>0</v>
      </c>
      <c r="X120" s="58">
        <f t="shared" si="35"/>
        <v>0</v>
      </c>
      <c r="Y120" s="58">
        <f t="shared" si="35"/>
        <v>0</v>
      </c>
      <c r="Z120" s="58">
        <f t="shared" si="35"/>
        <v>97.8</v>
      </c>
      <c r="AA120" s="58">
        <f t="shared" si="35"/>
        <v>0</v>
      </c>
      <c r="AB120" s="58">
        <f t="shared" si="35"/>
        <v>0</v>
      </c>
      <c r="AC120" s="58">
        <f t="shared" si="35"/>
        <v>0</v>
      </c>
      <c r="AD120" s="58">
        <f t="shared" si="35"/>
        <v>0</v>
      </c>
      <c r="AE120" s="58">
        <f t="shared" si="35"/>
        <v>0</v>
      </c>
      <c r="AF120" s="90"/>
    </row>
    <row r="121" spans="1:32" ht="18.75" x14ac:dyDescent="0.3">
      <c r="A121" s="15" t="s">
        <v>33</v>
      </c>
      <c r="B121" s="58">
        <f t="shared" si="34"/>
        <v>1471.3000000000002</v>
      </c>
      <c r="C121" s="588">
        <f t="shared" si="34"/>
        <v>900.19499999999994</v>
      </c>
      <c r="D121" s="588">
        <f t="shared" si="34"/>
        <v>900.19499999999994</v>
      </c>
      <c r="E121" s="588">
        <f t="shared" si="34"/>
        <v>900.19499999999994</v>
      </c>
      <c r="F121" s="587">
        <f t="shared" si="26"/>
        <v>61.183647114796422</v>
      </c>
      <c r="G121" s="587">
        <f t="shared" si="27"/>
        <v>100</v>
      </c>
      <c r="H121" s="588">
        <f>H117</f>
        <v>0</v>
      </c>
      <c r="I121" s="588">
        <f t="shared" ref="I121:AE121" si="36">I117</f>
        <v>0</v>
      </c>
      <c r="J121" s="588">
        <f t="shared" si="36"/>
        <v>0</v>
      </c>
      <c r="K121" s="588">
        <f t="shared" si="36"/>
        <v>0</v>
      </c>
      <c r="L121" s="58">
        <f t="shared" si="36"/>
        <v>252.2</v>
      </c>
      <c r="M121" s="58">
        <f t="shared" si="36"/>
        <v>25</v>
      </c>
      <c r="N121" s="58">
        <f t="shared" si="36"/>
        <v>0</v>
      </c>
      <c r="O121" s="58">
        <f>O117</f>
        <v>107.2</v>
      </c>
      <c r="P121" s="58">
        <f t="shared" si="36"/>
        <v>569.4</v>
      </c>
      <c r="Q121" s="58">
        <f>Q117</f>
        <v>767.995</v>
      </c>
      <c r="R121" s="58">
        <f t="shared" si="36"/>
        <v>0</v>
      </c>
      <c r="S121" s="58">
        <f t="shared" si="36"/>
        <v>0</v>
      </c>
      <c r="T121" s="58">
        <f t="shared" si="36"/>
        <v>0</v>
      </c>
      <c r="U121" s="58">
        <f t="shared" si="36"/>
        <v>0</v>
      </c>
      <c r="V121" s="58">
        <f t="shared" si="36"/>
        <v>0</v>
      </c>
      <c r="W121" s="58">
        <f t="shared" si="36"/>
        <v>0</v>
      </c>
      <c r="X121" s="58">
        <f t="shared" si="36"/>
        <v>0</v>
      </c>
      <c r="Y121" s="58">
        <f t="shared" si="36"/>
        <v>0</v>
      </c>
      <c r="Z121" s="58">
        <f t="shared" si="36"/>
        <v>204.2</v>
      </c>
      <c r="AA121" s="58">
        <f t="shared" si="36"/>
        <v>0</v>
      </c>
      <c r="AB121" s="58">
        <f t="shared" si="36"/>
        <v>309.8</v>
      </c>
      <c r="AC121" s="58">
        <f t="shared" si="36"/>
        <v>0</v>
      </c>
      <c r="AD121" s="58">
        <f t="shared" si="36"/>
        <v>0</v>
      </c>
      <c r="AE121" s="58">
        <f t="shared" si="36"/>
        <v>0</v>
      </c>
      <c r="AF121" s="90"/>
    </row>
    <row r="122" spans="1:32" ht="37.5" x14ac:dyDescent="0.3">
      <c r="A122" s="93" t="s">
        <v>130</v>
      </c>
      <c r="B122" s="58">
        <f t="shared" si="34"/>
        <v>456.4</v>
      </c>
      <c r="C122" s="588">
        <f t="shared" si="34"/>
        <v>252.2</v>
      </c>
      <c r="D122" s="588">
        <f t="shared" si="34"/>
        <v>252.2</v>
      </c>
      <c r="E122" s="588">
        <f t="shared" si="34"/>
        <v>252.2</v>
      </c>
      <c r="F122" s="587">
        <f t="shared" si="26"/>
        <v>55.25854513584575</v>
      </c>
      <c r="G122" s="587">
        <f t="shared" si="27"/>
        <v>100</v>
      </c>
      <c r="H122" s="588">
        <f>H118</f>
        <v>0</v>
      </c>
      <c r="I122" s="588">
        <f t="shared" ref="I122:AE122" si="37">I118</f>
        <v>0</v>
      </c>
      <c r="J122" s="588">
        <f t="shared" si="37"/>
        <v>0</v>
      </c>
      <c r="K122" s="588">
        <f t="shared" si="37"/>
        <v>0</v>
      </c>
      <c r="L122" s="58">
        <f t="shared" si="37"/>
        <v>228.2</v>
      </c>
      <c r="M122" s="58">
        <f t="shared" si="37"/>
        <v>25</v>
      </c>
      <c r="N122" s="58">
        <f t="shared" si="37"/>
        <v>0</v>
      </c>
      <c r="O122" s="58">
        <f t="shared" si="37"/>
        <v>27.2</v>
      </c>
      <c r="P122" s="58">
        <f t="shared" si="37"/>
        <v>0</v>
      </c>
      <c r="Q122" s="58">
        <f t="shared" si="37"/>
        <v>200</v>
      </c>
      <c r="R122" s="58">
        <f t="shared" si="37"/>
        <v>0</v>
      </c>
      <c r="S122" s="58">
        <f t="shared" si="37"/>
        <v>0</v>
      </c>
      <c r="T122" s="58">
        <f t="shared" si="37"/>
        <v>0</v>
      </c>
      <c r="U122" s="58">
        <f t="shared" si="37"/>
        <v>0</v>
      </c>
      <c r="V122" s="58">
        <f t="shared" si="37"/>
        <v>0</v>
      </c>
      <c r="W122" s="58">
        <f t="shared" si="37"/>
        <v>0</v>
      </c>
      <c r="X122" s="58">
        <f t="shared" si="37"/>
        <v>0</v>
      </c>
      <c r="Y122" s="58">
        <f t="shared" si="37"/>
        <v>0</v>
      </c>
      <c r="Z122" s="58">
        <f t="shared" si="37"/>
        <v>228.2</v>
      </c>
      <c r="AA122" s="58">
        <f t="shared" si="37"/>
        <v>0</v>
      </c>
      <c r="AB122" s="58">
        <f t="shared" si="37"/>
        <v>0</v>
      </c>
      <c r="AC122" s="58">
        <f t="shared" si="37"/>
        <v>0</v>
      </c>
      <c r="AD122" s="58">
        <f t="shared" si="37"/>
        <v>0</v>
      </c>
      <c r="AE122" s="58">
        <f t="shared" si="37"/>
        <v>0</v>
      </c>
      <c r="AF122" s="90"/>
    </row>
    <row r="123" spans="1:32" ht="18.75" x14ac:dyDescent="0.3">
      <c r="B123" s="61"/>
    </row>
    <row r="124" spans="1:32" x14ac:dyDescent="0.25">
      <c r="B124" s="76"/>
      <c r="F124" s="71">
        <f>L117+P117+Z117+AB117</f>
        <v>1335.6</v>
      </c>
    </row>
    <row r="125" spans="1:32" x14ac:dyDescent="0.25">
      <c r="B125" s="76"/>
    </row>
    <row r="126" spans="1:32" ht="37.5" x14ac:dyDescent="0.3">
      <c r="A126" s="9" t="s">
        <v>71</v>
      </c>
      <c r="B126" s="26"/>
      <c r="C126" s="26"/>
      <c r="D126" s="23" t="s">
        <v>70</v>
      </c>
    </row>
    <row r="127" spans="1:32" ht="18.75" x14ac:dyDescent="0.3">
      <c r="A127" s="9"/>
      <c r="B127" s="20" t="s">
        <v>68</v>
      </c>
      <c r="C127" s="20"/>
      <c r="D127" s="22"/>
    </row>
    <row r="128" spans="1:32" ht="37.5" x14ac:dyDescent="0.3">
      <c r="A128" s="25" t="s">
        <v>69</v>
      </c>
      <c r="B128" s="25"/>
      <c r="C128" s="25"/>
      <c r="D128" s="9"/>
    </row>
  </sheetData>
  <customSheetViews>
    <customSheetView guid="{7C130984-112A-4861-AA43-E2940708E3DC}" scale="70" hiddenRows="1" state="hidden">
      <pane xSplit="1" ySplit="6" topLeftCell="P7" activePane="bottomRight" state="frozen"/>
      <selection pane="bottomRight" activeCell="T113" sqref="T113"/>
      <pageMargins left="0.7" right="0.7" top="0.75" bottom="0.75" header="0.3" footer="0.3"/>
      <pageSetup paperSize="9" orientation="portrait" r:id="rId1"/>
    </customSheetView>
    <customSheetView guid="{3C3F523F-5F34-4CF7-831E-F1ABC4278CEB}" scale="70" hiddenRows="1">
      <pane xSplit="1" ySplit="6" topLeftCell="P7" activePane="bottomRight" state="frozen"/>
      <selection pane="bottomRight" activeCell="T113" sqref="T113"/>
      <pageMargins left="0.7" right="0.7" top="0.75" bottom="0.75" header="0.3" footer="0.3"/>
      <pageSetup paperSize="9" orientation="portrait" r:id="rId2"/>
    </customSheetView>
    <customSheetView guid="{D01FA037-9AEC-4167-ADB8-2F327C01ECE6}" scale="70" hiddenRows="1">
      <pane xSplit="1" ySplit="6" topLeftCell="P7" activePane="bottomRight" state="frozen"/>
      <selection pane="bottomRight" activeCell="T113" sqref="T113"/>
      <pageMargins left="0.7" right="0.7" top="0.75" bottom="0.75" header="0.3" footer="0.3"/>
      <pageSetup paperSize="9" orientation="portrait" r:id="rId3"/>
    </customSheetView>
    <customSheetView guid="{602C8EDB-B9EF-4C85-B0D5-0558C3A0ABAB}" scale="70" hiddenRows="1">
      <pane xSplit="1" ySplit="6" topLeftCell="P7" activePane="bottomRight" state="frozen"/>
      <selection pane="bottomRight" activeCell="T113" sqref="T113"/>
      <pageMargins left="0.7" right="0.7" top="0.75" bottom="0.75" header="0.3" footer="0.3"/>
      <pageSetup paperSize="9" orientation="portrait" r:id="rId4"/>
    </customSheetView>
    <customSheetView guid="{69DABE6F-6182-4403-A4A2-969F10F1C13A}" scale="70" hiddenRows="1">
      <pane xSplit="1" ySplit="6" topLeftCell="P7" activePane="bottomRight" state="frozen"/>
      <selection pane="bottomRight" activeCell="T113" sqref="T113"/>
      <pageMargins left="0.7" right="0.7" top="0.75" bottom="0.75" header="0.3" footer="0.3"/>
      <pageSetup paperSize="9" orientation="portrait" r:id="rId5"/>
    </customSheetView>
    <customSheetView guid="{E508E171-4ED9-4B07-84DF-DA28C60E1969}" scale="70" hiddenRows="1">
      <pane xSplit="1" ySplit="6" topLeftCell="P7" activePane="bottomRight" state="frozen"/>
      <selection pane="bottomRight" activeCell="T113" sqref="T113"/>
      <pageMargins left="0.7" right="0.7" top="0.75" bottom="0.75" header="0.3" footer="0.3"/>
      <pageSetup paperSize="9" orientation="portrait" r:id="rId6"/>
    </customSheetView>
    <customSheetView guid="{AC2D5927-4079-4C74-AF69-1BFAC505648F}" scale="70" hiddenRows="1">
      <pane xSplit="1" ySplit="6" topLeftCell="B7" activePane="bottomRight" state="frozen"/>
      <selection pane="bottomRight" activeCell="L115" sqref="L115"/>
      <pageMargins left="0.7" right="0.7" top="0.75" bottom="0.75" header="0.3" footer="0.3"/>
      <pageSetup paperSize="9" orientation="portrait" r:id="rId7"/>
    </customSheetView>
    <customSheetView guid="{442F2C94-DD1B-4A01-8694-513D4D6F3BD9}" scale="70" hiddenRows="1">
      <pane xSplit="1" ySplit="6" topLeftCell="B7" activePane="bottomRight" state="frozen"/>
      <selection pane="bottomRight" activeCell="L115" sqref="L115"/>
      <pageMargins left="0.7" right="0.7" top="0.75" bottom="0.75" header="0.3" footer="0.3"/>
      <pageSetup paperSize="9" orientation="portrait" r:id="rId8"/>
    </customSheetView>
    <customSheetView guid="{CE1CCA00-200D-4EAA-9FBE-F8EE7C5F82FE}" scale="70" hiddenRows="1">
      <pane xSplit="1" ySplit="6" topLeftCell="B7" activePane="bottomRight" state="frozen"/>
      <selection pane="bottomRight" activeCell="L115" sqref="L115"/>
      <pageMargins left="0.7" right="0.7" top="0.75" bottom="0.75" header="0.3" footer="0.3"/>
      <pageSetup paperSize="9" orientation="portrait" r:id="rId9"/>
    </customSheetView>
    <customSheetView guid="{4D0DFB57-2CBA-42F2-9A97-C453A6851FBA}" scale="70" hiddenRows="1">
      <pane xSplit="1" ySplit="6" topLeftCell="B7" activePane="bottomRight" state="frozen"/>
      <selection pane="bottomRight" activeCell="AD115" sqref="AD115"/>
      <pageMargins left="0.7" right="0.7" top="0.75" bottom="0.75" header="0.3" footer="0.3"/>
      <pageSetup paperSize="9" orientation="portrait" r:id="rId10"/>
    </customSheetView>
    <customSheetView guid="{85F4575B-DBC5-482A-9916-255D8F0BC94E}" scale="50" hiddenRows="1">
      <pane xSplit="1" ySplit="6" topLeftCell="T7" activePane="bottomRight" state="frozen"/>
      <selection pane="bottomRight" activeCell="AF39" sqref="AF39"/>
      <pageMargins left="0.7" right="0.7" top="0.75" bottom="0.75" header="0.3" footer="0.3"/>
      <pageSetup paperSize="9" orientation="portrait" r:id="rId11"/>
    </customSheetView>
    <customSheetView guid="{B1BF08D1-D416-4B47-ADD0-4F59132DC9E8}" scale="50" hiddenRows="1">
      <pane xSplit="1" ySplit="6" topLeftCell="T7" activePane="bottomRight" state="frozen"/>
      <selection pane="bottomRight" activeCell="AF39" sqref="AF39"/>
      <pageMargins left="0.7" right="0.7" top="0.75" bottom="0.75" header="0.3" footer="0.3"/>
      <pageSetup paperSize="9" orientation="portrait" r:id="rId12"/>
    </customSheetView>
    <customSheetView guid="{BCD82A82-B724-4763-8580-D765356E09BA}" scale="60">
      <pane xSplit="1" ySplit="6" topLeftCell="H7" activePane="bottomRight" state="frozen"/>
      <selection pane="bottomRight" activeCell="A2" sqref="A2:AE2"/>
      <pageMargins left="0.7" right="0.7" top="0.75" bottom="0.75" header="0.3" footer="0.3"/>
      <pageSetup paperSize="9" orientation="portrait" r:id="rId13"/>
    </customSheetView>
    <customSheetView guid="{C236B307-BD63-48C4-A75F-B3F3717BF55C}" scale="60">
      <pane xSplit="1" ySplit="6" topLeftCell="B22" activePane="bottomRight" state="frozen"/>
      <selection pane="bottomRight" activeCell="B80" sqref="B80"/>
      <pageMargins left="0.7" right="0.7" top="0.75" bottom="0.75" header="0.3" footer="0.3"/>
      <pageSetup paperSize="9" orientation="portrait" r:id="rId14"/>
    </customSheetView>
    <customSheetView guid="{874882D1-E741-4CCA-BF0D-E72FA60B771D}" scale="60">
      <pane xSplit="1" ySplit="6" topLeftCell="B22" activePane="bottomRight" state="frozen"/>
      <selection pane="bottomRight" activeCell="B80" sqref="B80"/>
      <pageMargins left="0.7" right="0.7" top="0.75" bottom="0.75" header="0.3" footer="0.3"/>
      <pageSetup paperSize="9" orientation="portrait" r:id="rId15"/>
    </customSheetView>
    <customSheetView guid="{B82BA08A-1A30-4F4D-A478-74A6BD09EA97}" scale="50" hiddenRows="1">
      <pane xSplit="1" ySplit="6" topLeftCell="B104" activePane="bottomRight" state="frozen"/>
      <selection pane="bottomRight" activeCell="P107" sqref="P107"/>
      <pageMargins left="0.7" right="0.7" top="0.75" bottom="0.75" header="0.3" footer="0.3"/>
      <pageSetup paperSize="9" orientation="portrait" r:id="rId16"/>
    </customSheetView>
    <customSheetView guid="{770624BF-07F3-44B6-94C3-4CC447CDD45C}" scale="50" hiddenRows="1">
      <pane xSplit="1" ySplit="6" topLeftCell="B101" activePane="bottomRight" state="frozen"/>
      <selection pane="bottomRight" activeCell="H129" sqref="H129"/>
      <pageMargins left="0.7" right="0.7" top="0.75" bottom="0.75" header="0.3" footer="0.3"/>
      <pageSetup paperSize="9" orientation="portrait" r:id="rId17"/>
    </customSheetView>
    <customSheetView guid="{009B3074-D8EC-4952-BF50-43CD64449612}" scale="50" hiddenRows="1">
      <pane xSplit="1" ySplit="6" topLeftCell="B64" activePane="bottomRight" state="frozen"/>
      <selection pane="bottomRight" activeCell="AF77" sqref="AF77"/>
      <pageMargins left="0.7" right="0.7" top="0.75" bottom="0.75" header="0.3" footer="0.3"/>
      <pageSetup paperSize="9" orientation="portrait" r:id="rId18"/>
    </customSheetView>
    <customSheetView guid="{F679EF4A-C5FD-4B86-B87B-D85968E0F2CA}" scale="50" hiddenRows="1">
      <pane xSplit="1" ySplit="6" topLeftCell="T7" activePane="bottomRight" state="frozen"/>
      <selection pane="bottomRight" activeCell="AF39" sqref="AF39"/>
      <pageMargins left="0.7" right="0.7" top="0.75" bottom="0.75" header="0.3" footer="0.3"/>
      <pageSetup paperSize="9" orientation="portrait" r:id="rId19"/>
    </customSheetView>
    <customSheetView guid="{959E901C-5DDE-42EE-AE94-AB8976B5E00B}" scale="50" hiddenRows="1">
      <pane xSplit="1" ySplit="6" topLeftCell="T7" activePane="bottomRight" state="frozen"/>
      <selection pane="bottomRight" activeCell="AF39" sqref="AF39"/>
      <pageMargins left="0.7" right="0.7" top="0.75" bottom="0.75" header="0.3" footer="0.3"/>
      <pageSetup paperSize="9" orientation="portrait" r:id="rId20"/>
    </customSheetView>
    <customSheetView guid="{533DC55B-6AD4-4674-9488-685EF2039F3E}" scale="60" hiddenRows="1">
      <pane xSplit="1" ySplit="6" topLeftCell="B107" activePane="bottomRight" state="frozen"/>
      <selection pane="bottomRight" activeCell="A119" sqref="A119"/>
      <pageMargins left="0.7" right="0.7" top="0.75" bottom="0.75" header="0.3" footer="0.3"/>
      <pageSetup paperSize="9" orientation="portrait" r:id="rId21"/>
    </customSheetView>
    <customSheetView guid="{87218168-6C8E-4D5B-A5E5-DCCC26803AA3}" scale="70" hiddenRows="1">
      <pane xSplit="1" ySplit="6" topLeftCell="B7" activePane="bottomRight" state="frozen"/>
      <selection pane="bottomRight" activeCell="AD115" sqref="AD115"/>
      <pageMargins left="0.7" right="0.7" top="0.75" bottom="0.75" header="0.3" footer="0.3"/>
      <pageSetup paperSize="9" orientation="portrait" r:id="rId22"/>
    </customSheetView>
    <customSheetView guid="{DAA8A688-7558-4B5B-8DBD-E2629BD9E9A8}" scale="70" hiddenRows="1">
      <pane xSplit="1" ySplit="6" topLeftCell="B7" activePane="bottomRight" state="frozen"/>
      <selection pane="bottomRight" activeCell="L115" sqref="L115"/>
      <pageMargins left="0.7" right="0.7" top="0.75" bottom="0.75" header="0.3" footer="0.3"/>
      <pageSetup paperSize="9" orientation="portrait" r:id="rId23"/>
    </customSheetView>
    <customSheetView guid="{391AB76E-B386-49C1-800F-016A48AA1A46}" scale="70" hiddenRows="1">
      <pane xSplit="1" ySplit="6" topLeftCell="B7" activePane="bottomRight" state="frozen"/>
      <selection pane="bottomRight" activeCell="L115" sqref="L115"/>
      <pageMargins left="0.7" right="0.7" top="0.75" bottom="0.75" header="0.3" footer="0.3"/>
      <pageSetup paperSize="9" orientation="portrait" r:id="rId24"/>
    </customSheetView>
    <customSheetView guid="{09C3E205-981E-4A4E-BE89-8B7044192060}" scale="70" hiddenRows="1">
      <pane xSplit="1" ySplit="6" topLeftCell="Y42" activePane="bottomRight" state="frozen"/>
      <selection pane="bottomRight" activeCell="AF43" sqref="AF43"/>
      <pageMargins left="0.7" right="0.7" top="0.75" bottom="0.75" header="0.3" footer="0.3"/>
      <pageSetup paperSize="9" orientation="portrait" r:id="rId25"/>
    </customSheetView>
    <customSheetView guid="{84867370-1F3E-4368-AF79-FBCE46FFFE92}" scale="70" hiddenRows="1">
      <pane xSplit="1" ySplit="6" topLeftCell="Y42" activePane="bottomRight" state="frozen"/>
      <selection pane="bottomRight" activeCell="AF43" sqref="AF43"/>
      <pageMargins left="0.7" right="0.7" top="0.75" bottom="0.75" header="0.3" footer="0.3"/>
      <pageSetup paperSize="9" orientation="portrait" r:id="rId26"/>
    </customSheetView>
    <customSheetView guid="{0C2B9C2A-7B94-41EF-A2E6-F8AC9A67DE25}" scale="70" hiddenRows="1">
      <pane xSplit="1" ySplit="6" topLeftCell="P7" activePane="bottomRight" state="frozen"/>
      <selection pane="bottomRight" activeCell="T113" sqref="T113"/>
      <pageMargins left="0.7" right="0.7" top="0.75" bottom="0.75" header="0.3" footer="0.3"/>
      <pageSetup paperSize="9" orientation="portrait" r:id="rId27"/>
    </customSheetView>
    <customSheetView guid="{CB4792DB-A624-4844-AEB6-A6ADA80946BB}" scale="70" hiddenRows="1">
      <pane xSplit="1" ySplit="6" topLeftCell="P7" activePane="bottomRight" state="frozen"/>
      <selection pane="bottomRight" activeCell="T113" sqref="T113"/>
      <pageMargins left="0.7" right="0.7" top="0.75" bottom="0.75" header="0.3" footer="0.3"/>
      <pageSetup paperSize="9" orientation="portrait" r:id="rId28"/>
    </customSheetView>
    <customSheetView guid="{74870EE6-26B9-40F7-9DC9-260EF16D8959}" scale="70" hiddenRows="1">
      <pane xSplit="1" ySplit="6" topLeftCell="P7" activePane="bottomRight" state="frozen"/>
      <selection pane="bottomRight" activeCell="T113" sqref="T113"/>
      <pageMargins left="0.7" right="0.7" top="0.75" bottom="0.75" header="0.3" footer="0.3"/>
      <pageSetup paperSize="9" orientation="portrait" r:id="rId29"/>
    </customSheetView>
    <customSheetView guid="{6A602CB8-B24C-4ED4-B378-B27354BE0A1A}" scale="70" hiddenRows="1">
      <pane xSplit="1" ySplit="6" topLeftCell="P7" activePane="bottomRight" state="frozen"/>
      <selection pane="bottomRight" activeCell="T113" sqref="T113"/>
      <pageMargins left="0.7" right="0.7" top="0.75" bottom="0.75" header="0.3" footer="0.3"/>
      <pageSetup paperSize="9" orientation="portrait" r:id="rId30"/>
    </customSheetView>
    <customSheetView guid="{4F41B9CC-959D-442C-80B0-1F0DB2C76D27}" scale="70" hiddenRows="1">
      <pane xSplit="1" ySplit="5" topLeftCell="P7" activePane="bottomRight" state="frozen"/>
      <selection pane="bottomRight" activeCell="T113" sqref="T113"/>
      <pageMargins left="0.7" right="0.7" top="0.75" bottom="0.75" header="0.3" footer="0.3"/>
      <pageSetup paperSize="9" orientation="portrait" r:id="rId31"/>
    </customSheetView>
    <customSheetView guid="{47B983AB-FE5F-4725-860C-A2F29420596D}" scale="70" hiddenRows="1">
      <pane xSplit="1" ySplit="6" topLeftCell="P7" activePane="bottomRight" state="frozen"/>
      <selection pane="bottomRight" activeCell="T113" sqref="T113"/>
      <pageMargins left="0.7" right="0.7" top="0.75" bottom="0.75" header="0.3" footer="0.3"/>
      <pageSetup paperSize="9" orientation="portrait" r:id="rId32"/>
    </customSheetView>
  </customSheetViews>
  <mergeCells count="21">
    <mergeCell ref="X3:Y4"/>
    <mergeCell ref="Z3:AA4"/>
    <mergeCell ref="AB3:AC4"/>
    <mergeCell ref="AD3:AE4"/>
    <mergeCell ref="AF3:AF5"/>
    <mergeCell ref="V3:W4"/>
    <mergeCell ref="A1:AF1"/>
    <mergeCell ref="A2:AE2"/>
    <mergeCell ref="A3:A4"/>
    <mergeCell ref="B3:B4"/>
    <mergeCell ref="C3:C4"/>
    <mergeCell ref="D3:D4"/>
    <mergeCell ref="E3:E4"/>
    <mergeCell ref="F3:G4"/>
    <mergeCell ref="H3:I4"/>
    <mergeCell ref="J3:K4"/>
    <mergeCell ref="L3:M4"/>
    <mergeCell ref="N3:O4"/>
    <mergeCell ref="P3:Q4"/>
    <mergeCell ref="R3:S4"/>
    <mergeCell ref="T3:U4"/>
  </mergeCells>
  <hyperlinks>
    <hyperlink ref="A2:AE2" location="Оглавление!A1" display="Оглавление!A1"/>
  </hyperlinks>
  <pageMargins left="0.7" right="0.7" top="0.75" bottom="0.75" header="0.3" footer="0.3"/>
  <pageSetup paperSize="9" orientation="portrait" r:id="rId33"/>
  <legacyDrawing r:id="rId3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G304"/>
  <sheetViews>
    <sheetView tabSelected="1" zoomScale="70" zoomScaleNormal="70" workbookViewId="0">
      <pane xSplit="2" ySplit="11" topLeftCell="K12" activePane="bottomRight" state="frozen"/>
      <selection activeCell="F284" sqref="F284:G284"/>
      <selection pane="topRight" activeCell="F284" sqref="F284:G284"/>
      <selection pane="bottomLeft" activeCell="F284" sqref="F284:G284"/>
      <selection pane="bottomRight" activeCell="AF30" sqref="AF30"/>
    </sheetView>
  </sheetViews>
  <sheetFormatPr defaultColWidth="9.140625" defaultRowHeight="18.75" x14ac:dyDescent="0.3"/>
  <cols>
    <col min="1" max="1" width="55" style="33" customWidth="1"/>
    <col min="2" max="5" width="16.7109375" style="33" customWidth="1"/>
    <col min="6" max="7" width="16.42578125" style="33" customWidth="1"/>
    <col min="8" max="31" width="13.42578125" style="33" customWidth="1"/>
    <col min="32" max="32" width="17.7109375" style="33" customWidth="1"/>
    <col min="33" max="33" width="10.7109375" style="33" customWidth="1"/>
    <col min="34" max="16384" width="9.140625" style="33"/>
  </cols>
  <sheetData>
    <row r="4" spans="1:33" x14ac:dyDescent="0.3">
      <c r="A4" s="1061" t="s">
        <v>162</v>
      </c>
      <c r="B4" s="1061"/>
      <c r="C4" s="1061"/>
      <c r="D4" s="1061"/>
      <c r="E4" s="1061"/>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row>
    <row r="6" spans="1:33" ht="50.25" customHeight="1" x14ac:dyDescent="0.3">
      <c r="A6" s="1062" t="s">
        <v>163</v>
      </c>
      <c r="B6" s="95" t="s">
        <v>3</v>
      </c>
      <c r="C6" s="95" t="s">
        <v>3</v>
      </c>
      <c r="D6" s="95" t="s">
        <v>4</v>
      </c>
      <c r="E6" s="95" t="s">
        <v>5</v>
      </c>
      <c r="F6" s="1063" t="s">
        <v>6</v>
      </c>
      <c r="G6" s="1064"/>
      <c r="H6" s="1063" t="s">
        <v>7</v>
      </c>
      <c r="I6" s="1065"/>
      <c r="J6" s="1063" t="s">
        <v>8</v>
      </c>
      <c r="K6" s="1065"/>
      <c r="L6" s="1063" t="s">
        <v>9</v>
      </c>
      <c r="M6" s="1065"/>
      <c r="N6" s="1063" t="s">
        <v>10</v>
      </c>
      <c r="O6" s="1065"/>
      <c r="P6" s="1063" t="s">
        <v>11</v>
      </c>
      <c r="Q6" s="1065"/>
      <c r="R6" s="1063" t="s">
        <v>12</v>
      </c>
      <c r="S6" s="1065"/>
      <c r="T6" s="1063" t="s">
        <v>13</v>
      </c>
      <c r="U6" s="1065"/>
      <c r="V6" s="1063" t="s">
        <v>14</v>
      </c>
      <c r="W6" s="1065"/>
      <c r="X6" s="1063" t="s">
        <v>15</v>
      </c>
      <c r="Y6" s="1065"/>
      <c r="Z6" s="1063" t="s">
        <v>16</v>
      </c>
      <c r="AA6" s="1065"/>
      <c r="AB6" s="1063" t="s">
        <v>17</v>
      </c>
      <c r="AC6" s="1065"/>
      <c r="AD6" s="1066" t="s">
        <v>18</v>
      </c>
      <c r="AE6" s="1066"/>
      <c r="AF6" s="1052" t="s">
        <v>19</v>
      </c>
    </row>
    <row r="7" spans="1:33" ht="56.25" x14ac:dyDescent="0.3">
      <c r="A7" s="1062"/>
      <c r="B7" s="3">
        <v>2024</v>
      </c>
      <c r="C7" s="4">
        <v>45413</v>
      </c>
      <c r="D7" s="4">
        <v>45413</v>
      </c>
      <c r="E7" s="4">
        <v>45413</v>
      </c>
      <c r="F7" s="5" t="s">
        <v>20</v>
      </c>
      <c r="G7" s="5" t="s">
        <v>21</v>
      </c>
      <c r="H7" s="96" t="s">
        <v>22</v>
      </c>
      <c r="I7" s="96" t="s">
        <v>164</v>
      </c>
      <c r="J7" s="96" t="s">
        <v>22</v>
      </c>
      <c r="K7" s="96" t="s">
        <v>164</v>
      </c>
      <c r="L7" s="96" t="s">
        <v>22</v>
      </c>
      <c r="M7" s="96" t="s">
        <v>164</v>
      </c>
      <c r="N7" s="96" t="s">
        <v>22</v>
      </c>
      <c r="O7" s="96" t="s">
        <v>164</v>
      </c>
      <c r="P7" s="96" t="s">
        <v>22</v>
      </c>
      <c r="Q7" s="96" t="s">
        <v>164</v>
      </c>
      <c r="R7" s="96" t="s">
        <v>22</v>
      </c>
      <c r="S7" s="96" t="s">
        <v>164</v>
      </c>
      <c r="T7" s="96" t="s">
        <v>22</v>
      </c>
      <c r="U7" s="96" t="s">
        <v>164</v>
      </c>
      <c r="V7" s="96" t="s">
        <v>22</v>
      </c>
      <c r="W7" s="96" t="s">
        <v>164</v>
      </c>
      <c r="X7" s="96" t="s">
        <v>22</v>
      </c>
      <c r="Y7" s="96" t="s">
        <v>164</v>
      </c>
      <c r="Z7" s="96" t="s">
        <v>22</v>
      </c>
      <c r="AA7" s="96" t="s">
        <v>164</v>
      </c>
      <c r="AB7" s="96" t="s">
        <v>22</v>
      </c>
      <c r="AC7" s="96" t="s">
        <v>164</v>
      </c>
      <c r="AD7" s="96" t="s">
        <v>165</v>
      </c>
      <c r="AE7" s="96" t="s">
        <v>164</v>
      </c>
      <c r="AF7" s="1053"/>
    </row>
    <row r="8" spans="1:33" x14ac:dyDescent="0.3">
      <c r="A8" s="6">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97" customFormat="1" x14ac:dyDescent="0.3">
      <c r="A9" s="1058" t="s">
        <v>166</v>
      </c>
      <c r="B9" s="1059"/>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59"/>
      <c r="AF9" s="1060"/>
    </row>
    <row r="10" spans="1:33" s="97" customFormat="1" x14ac:dyDescent="0.3">
      <c r="A10" s="1058" t="s">
        <v>167</v>
      </c>
      <c r="B10" s="1059"/>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60"/>
    </row>
    <row r="11" spans="1:33" ht="39" customHeight="1" x14ac:dyDescent="0.3">
      <c r="A11" s="98" t="s">
        <v>168</v>
      </c>
      <c r="B11" s="99"/>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1"/>
      <c r="AG11" s="102"/>
    </row>
    <row r="12" spans="1:33" x14ac:dyDescent="0.3">
      <c r="A12" s="103" t="s">
        <v>31</v>
      </c>
      <c r="B12" s="104">
        <f>B13+B14+B15+B16</f>
        <v>0</v>
      </c>
      <c r="C12" s="104">
        <f>C13+C14+C15+C16</f>
        <v>0</v>
      </c>
      <c r="D12" s="104">
        <f>D13+D14+D15+D16</f>
        <v>0</v>
      </c>
      <c r="E12" s="104">
        <f>E13+E14+E15+E16</f>
        <v>0</v>
      </c>
      <c r="F12" s="105">
        <f>IFERROR(E12/B12*100,0)</f>
        <v>0</v>
      </c>
      <c r="G12" s="105">
        <f>IFERROR(E12/C12*100,0)</f>
        <v>0</v>
      </c>
      <c r="H12" s="104">
        <f>H13+H14+H15+H16</f>
        <v>0</v>
      </c>
      <c r="I12" s="104">
        <f t="shared" ref="I12:AE12" si="0">I13+I14+I15+I16</f>
        <v>0</v>
      </c>
      <c r="J12" s="104">
        <f t="shared" si="0"/>
        <v>0</v>
      </c>
      <c r="K12" s="104">
        <f t="shared" si="0"/>
        <v>0</v>
      </c>
      <c r="L12" s="104">
        <f t="shared" si="0"/>
        <v>0</v>
      </c>
      <c r="M12" s="104">
        <f t="shared" si="0"/>
        <v>0</v>
      </c>
      <c r="N12" s="104">
        <f t="shared" si="0"/>
        <v>0</v>
      </c>
      <c r="O12" s="104">
        <f t="shared" si="0"/>
        <v>0</v>
      </c>
      <c r="P12" s="104">
        <f t="shared" si="0"/>
        <v>0</v>
      </c>
      <c r="Q12" s="104">
        <f t="shared" si="0"/>
        <v>0</v>
      </c>
      <c r="R12" s="104">
        <f t="shared" si="0"/>
        <v>0</v>
      </c>
      <c r="S12" s="104">
        <f t="shared" si="0"/>
        <v>0</v>
      </c>
      <c r="T12" s="104">
        <f t="shared" si="0"/>
        <v>0</v>
      </c>
      <c r="U12" s="104">
        <f t="shared" si="0"/>
        <v>0</v>
      </c>
      <c r="V12" s="104">
        <f t="shared" si="0"/>
        <v>0</v>
      </c>
      <c r="W12" s="104">
        <f t="shared" si="0"/>
        <v>0</v>
      </c>
      <c r="X12" s="104">
        <f t="shared" si="0"/>
        <v>0</v>
      </c>
      <c r="Y12" s="104">
        <f t="shared" si="0"/>
        <v>0</v>
      </c>
      <c r="Z12" s="104">
        <f t="shared" si="0"/>
        <v>0</v>
      </c>
      <c r="AA12" s="104">
        <f t="shared" si="0"/>
        <v>0</v>
      </c>
      <c r="AB12" s="104">
        <f t="shared" si="0"/>
        <v>0</v>
      </c>
      <c r="AC12" s="104">
        <f t="shared" si="0"/>
        <v>0</v>
      </c>
      <c r="AD12" s="104">
        <f t="shared" si="0"/>
        <v>0</v>
      </c>
      <c r="AE12" s="104">
        <f t="shared" si="0"/>
        <v>0</v>
      </c>
      <c r="AF12" s="101"/>
      <c r="AG12" s="102"/>
    </row>
    <row r="13" spans="1:33" x14ac:dyDescent="0.3">
      <c r="A13" s="106" t="s">
        <v>169</v>
      </c>
      <c r="B13" s="107">
        <f>J13+L13+N13+P13+R13+T13+V13+X13+Z13+AB13+AD13+H13</f>
        <v>0</v>
      </c>
      <c r="C13" s="107">
        <f>SUM(H13)</f>
        <v>0</v>
      </c>
      <c r="D13" s="107">
        <f>E13</f>
        <v>0</v>
      </c>
      <c r="E13" s="107">
        <f>SUM(I13,K13,M13,O13,Q13,S13,U13,W13,Y13,AA13,AC13,AE13)</f>
        <v>0</v>
      </c>
      <c r="F13" s="107">
        <f>IFERROR(E13/B13*100,0)</f>
        <v>0</v>
      </c>
      <c r="G13" s="107">
        <f>IFERROR(E13/C13*100,0)</f>
        <v>0</v>
      </c>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1"/>
      <c r="AG13" s="102"/>
    </row>
    <row r="14" spans="1:33" x14ac:dyDescent="0.3">
      <c r="A14" s="106" t="s">
        <v>32</v>
      </c>
      <c r="B14" s="107">
        <f>J14+L14+N14+P14+R14+T14+V14+X14+Z14+AB14+AD14+H14</f>
        <v>0</v>
      </c>
      <c r="C14" s="107">
        <f>SUM(H14)</f>
        <v>0</v>
      </c>
      <c r="D14" s="107">
        <f>E14</f>
        <v>0</v>
      </c>
      <c r="E14" s="107">
        <f>SUM(I14,K14,M14,O14,Q14,S14,U14,W14,Y14,AA14,AC14,AE14)</f>
        <v>0</v>
      </c>
      <c r="F14" s="107">
        <f>IFERROR(E14/B14*100,0)</f>
        <v>0</v>
      </c>
      <c r="G14" s="107">
        <f>IFERROR(E14/C14*100,0)</f>
        <v>0</v>
      </c>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1"/>
      <c r="AG14" s="102"/>
    </row>
    <row r="15" spans="1:33" x14ac:dyDescent="0.3">
      <c r="A15" s="106" t="s">
        <v>33</v>
      </c>
      <c r="B15" s="107">
        <f>J15+L15+N15+P15+R15+T15+V15+X15+Z15+AB15+AD15+H15</f>
        <v>0</v>
      </c>
      <c r="C15" s="107">
        <f>SUM(H15)</f>
        <v>0</v>
      </c>
      <c r="D15" s="107">
        <f>E15</f>
        <v>0</v>
      </c>
      <c r="E15" s="107">
        <f>SUM(I15,K15,M15,O15,Q15,S15,U15,W15,Y15,AA15,AC15,AE15)</f>
        <v>0</v>
      </c>
      <c r="F15" s="107">
        <f>IFERROR(E15/B15*100,0)</f>
        <v>0</v>
      </c>
      <c r="G15" s="107">
        <f>IFERROR(E15/C15*100,0)</f>
        <v>0</v>
      </c>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1"/>
      <c r="AG15" s="102"/>
    </row>
    <row r="16" spans="1:33" x14ac:dyDescent="0.3">
      <c r="A16" s="106" t="s">
        <v>170</v>
      </c>
      <c r="B16" s="107">
        <f>J16+L16+N16+P16+R16+T16+V16+X16+Z16+AB16+AD16+H16</f>
        <v>0</v>
      </c>
      <c r="C16" s="107">
        <f>SUM(H16)</f>
        <v>0</v>
      </c>
      <c r="D16" s="107">
        <f>E16</f>
        <v>0</v>
      </c>
      <c r="E16" s="107">
        <f>SUM(I16,K16,M16,O16,Q16,S16,U16,W16,Y16,AA16,AC16,AE16)</f>
        <v>0</v>
      </c>
      <c r="F16" s="107">
        <f>IFERROR(E16/B16*100,0)</f>
        <v>0</v>
      </c>
      <c r="G16" s="107">
        <f>IFERROR(E16/C16*100,0)</f>
        <v>0</v>
      </c>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1"/>
      <c r="AG16" s="102"/>
    </row>
    <row r="17" spans="1:33" ht="64.5" customHeight="1" x14ac:dyDescent="0.3">
      <c r="A17" s="98" t="s">
        <v>171</v>
      </c>
      <c r="B17" s="99"/>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1"/>
      <c r="AG17" s="102"/>
    </row>
    <row r="18" spans="1:33" x14ac:dyDescent="0.3">
      <c r="A18" s="103" t="s">
        <v>31</v>
      </c>
      <c r="B18" s="104">
        <f>B19+B20+B21+B22</f>
        <v>100</v>
      </c>
      <c r="C18" s="104">
        <f>C19+C20+C21+C22</f>
        <v>100</v>
      </c>
      <c r="D18" s="104">
        <f>D19+D20+D21+D22</f>
        <v>99.999999999999986</v>
      </c>
      <c r="E18" s="104">
        <f>E19+E20+E21+E22</f>
        <v>99.999999999999986</v>
      </c>
      <c r="F18" s="105">
        <f>IFERROR(E18/B18*100,0)</f>
        <v>99.999999999999986</v>
      </c>
      <c r="G18" s="105">
        <f>IFERROR(E18/C18*100,0)</f>
        <v>99.999999999999986</v>
      </c>
      <c r="H18" s="104">
        <f>H19+H20+H21+H22</f>
        <v>0</v>
      </c>
      <c r="I18" s="104">
        <f t="shared" ref="I18:AE18" si="1">I19+I20+I21+I22</f>
        <v>0</v>
      </c>
      <c r="J18" s="104">
        <f t="shared" si="1"/>
        <v>0</v>
      </c>
      <c r="K18" s="104">
        <f t="shared" si="1"/>
        <v>0</v>
      </c>
      <c r="L18" s="104">
        <f t="shared" si="1"/>
        <v>100</v>
      </c>
      <c r="M18" s="104">
        <f t="shared" si="1"/>
        <v>68.11</v>
      </c>
      <c r="N18" s="104">
        <f t="shared" si="1"/>
        <v>0</v>
      </c>
      <c r="O18" s="104">
        <f t="shared" si="1"/>
        <v>17.399999999999999</v>
      </c>
      <c r="P18" s="104">
        <f t="shared" si="1"/>
        <v>0</v>
      </c>
      <c r="Q18" s="104">
        <f t="shared" si="1"/>
        <v>14.49</v>
      </c>
      <c r="R18" s="104">
        <f t="shared" si="1"/>
        <v>0</v>
      </c>
      <c r="S18" s="104">
        <f t="shared" si="1"/>
        <v>0</v>
      </c>
      <c r="T18" s="104">
        <f t="shared" si="1"/>
        <v>0</v>
      </c>
      <c r="U18" s="104">
        <f t="shared" si="1"/>
        <v>0</v>
      </c>
      <c r="V18" s="104">
        <f t="shared" si="1"/>
        <v>0</v>
      </c>
      <c r="W18" s="104">
        <f t="shared" si="1"/>
        <v>0</v>
      </c>
      <c r="X18" s="104">
        <f t="shared" si="1"/>
        <v>0</v>
      </c>
      <c r="Y18" s="104">
        <f t="shared" si="1"/>
        <v>0</v>
      </c>
      <c r="Z18" s="104">
        <f t="shared" si="1"/>
        <v>0</v>
      </c>
      <c r="AA18" s="104">
        <f t="shared" si="1"/>
        <v>0</v>
      </c>
      <c r="AB18" s="104">
        <f t="shared" si="1"/>
        <v>0</v>
      </c>
      <c r="AC18" s="104">
        <f t="shared" si="1"/>
        <v>0</v>
      </c>
      <c r="AD18" s="104">
        <f t="shared" si="1"/>
        <v>0</v>
      </c>
      <c r="AE18" s="104">
        <f t="shared" si="1"/>
        <v>0</v>
      </c>
      <c r="AF18" s="101"/>
      <c r="AG18" s="102"/>
    </row>
    <row r="19" spans="1:33" x14ac:dyDescent="0.3">
      <c r="A19" s="106" t="s">
        <v>169</v>
      </c>
      <c r="B19" s="107">
        <f>J19+L19+N19+P19+R19+T19+V19+X19+Z19+AB19+AD19+H19</f>
        <v>0</v>
      </c>
      <c r="C19" s="107">
        <f>N19</f>
        <v>0</v>
      </c>
      <c r="D19" s="107">
        <f>E19</f>
        <v>0</v>
      </c>
      <c r="E19" s="107">
        <f>SUM(I19,K19,M19,O19,Q19,S19,U19,W19,Y19,AA19,AC19,AE19)</f>
        <v>0</v>
      </c>
      <c r="F19" s="107">
        <f>IFERROR(E19/B19*100,0)</f>
        <v>0</v>
      </c>
      <c r="G19" s="107">
        <f>IFERROR(E19/C19*100,0)</f>
        <v>0</v>
      </c>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1"/>
      <c r="AG19" s="102"/>
    </row>
    <row r="20" spans="1:33" x14ac:dyDescent="0.3">
      <c r="A20" s="106" t="s">
        <v>32</v>
      </c>
      <c r="B20" s="107">
        <f>J20+L20+N20+P20+R20+T20+V20+X20+Z20+AB20+AD20+H20</f>
        <v>0</v>
      </c>
      <c r="C20" s="107">
        <f>N20</f>
        <v>0</v>
      </c>
      <c r="D20" s="107">
        <f>E20</f>
        <v>0</v>
      </c>
      <c r="E20" s="107">
        <f>SUM(I20,K20,M20,O20,Q20,S20,U20,W20,Y20,AA20,AC20,AE20)</f>
        <v>0</v>
      </c>
      <c r="F20" s="107">
        <f>IFERROR(E20/B20*100,0)</f>
        <v>0</v>
      </c>
      <c r="G20" s="107">
        <f>IFERROR(E20/C20*100,0)</f>
        <v>0</v>
      </c>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1"/>
      <c r="AG20" s="102"/>
    </row>
    <row r="21" spans="1:33" x14ac:dyDescent="0.3">
      <c r="A21" s="106" t="s">
        <v>33</v>
      </c>
      <c r="B21" s="107">
        <f>J21+L21+N21+P21+R21+T21+V21+X21+Z21+AB21+AD21+H21</f>
        <v>100</v>
      </c>
      <c r="C21" s="107">
        <f>N21+L21</f>
        <v>100</v>
      </c>
      <c r="D21" s="107">
        <f>E21</f>
        <v>99.999999999999986</v>
      </c>
      <c r="E21" s="107">
        <f>SUM(I21,K21,M21,O21,Q21,S21,U21,W21,Y21,AA21,AC21,AE21)</f>
        <v>99.999999999999986</v>
      </c>
      <c r="F21" s="107">
        <f>IFERROR(E21/B21*100,0)</f>
        <v>99.999999999999986</v>
      </c>
      <c r="G21" s="107">
        <f>IFERROR(E21/C21*100,0)</f>
        <v>99.999999999999986</v>
      </c>
      <c r="H21" s="107"/>
      <c r="I21" s="107"/>
      <c r="J21" s="107"/>
      <c r="K21" s="107"/>
      <c r="L21" s="107">
        <v>100</v>
      </c>
      <c r="M21" s="107">
        <v>68.11</v>
      </c>
      <c r="N21" s="107">
        <v>0</v>
      </c>
      <c r="O21" s="107">
        <v>17.399999999999999</v>
      </c>
      <c r="P21" s="107">
        <v>0</v>
      </c>
      <c r="Q21" s="107">
        <v>14.49</v>
      </c>
      <c r="R21" s="107">
        <v>0</v>
      </c>
      <c r="S21" s="107">
        <v>0</v>
      </c>
      <c r="T21" s="107">
        <v>0</v>
      </c>
      <c r="U21" s="107">
        <v>0</v>
      </c>
      <c r="V21" s="107"/>
      <c r="W21" s="107"/>
      <c r="X21" s="107"/>
      <c r="Y21" s="107"/>
      <c r="Z21" s="107"/>
      <c r="AA21" s="107"/>
      <c r="AB21" s="107"/>
      <c r="AC21" s="107"/>
      <c r="AD21" s="107"/>
      <c r="AE21" s="107"/>
      <c r="AF21" s="101"/>
      <c r="AG21" s="102"/>
    </row>
    <row r="22" spans="1:33" x14ac:dyDescent="0.3">
      <c r="A22" s="106" t="s">
        <v>170</v>
      </c>
      <c r="B22" s="107">
        <f>J22+L22+N22+P22+R22+T22+V22+X22+Z22+AB22+AD22+H22</f>
        <v>0</v>
      </c>
      <c r="C22" s="107">
        <f>N22</f>
        <v>0</v>
      </c>
      <c r="D22" s="107">
        <f>E22</f>
        <v>0</v>
      </c>
      <c r="E22" s="107">
        <f>SUM(I22,K22,M22,O22,Q22,S22,U22,W22,Y22,AA22,AC22,AE22)</f>
        <v>0</v>
      </c>
      <c r="F22" s="107">
        <f>IFERROR(E22/B22*100,0)</f>
        <v>0</v>
      </c>
      <c r="G22" s="107">
        <f>IFERROR(E22/C22*100,0)</f>
        <v>0</v>
      </c>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1"/>
      <c r="AG22" s="102"/>
    </row>
    <row r="23" spans="1:33" s="97" customFormat="1" x14ac:dyDescent="0.3">
      <c r="A23" s="1058" t="s">
        <v>54</v>
      </c>
      <c r="B23" s="1059"/>
      <c r="C23" s="1059"/>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59"/>
      <c r="Z23" s="1059"/>
      <c r="AA23" s="1059"/>
      <c r="AB23" s="1059"/>
      <c r="AC23" s="1059"/>
      <c r="AD23" s="1059"/>
      <c r="AE23" s="1059"/>
      <c r="AF23" s="1060"/>
      <c r="AG23" s="102"/>
    </row>
    <row r="24" spans="1:33" x14ac:dyDescent="0.3">
      <c r="A24" s="98" t="s">
        <v>172</v>
      </c>
      <c r="B24" s="99"/>
      <c r="C24" s="100"/>
      <c r="D24" s="100"/>
      <c r="E24" s="100"/>
      <c r="F24" s="100"/>
      <c r="G24" s="100"/>
      <c r="H24" s="99"/>
      <c r="I24" s="99"/>
      <c r="J24" s="99"/>
      <c r="K24" s="99"/>
      <c r="L24" s="99"/>
      <c r="M24" s="99"/>
      <c r="N24" s="99"/>
      <c r="O24" s="99"/>
      <c r="P24" s="99"/>
      <c r="Q24" s="99"/>
      <c r="R24" s="99"/>
      <c r="S24" s="99"/>
      <c r="T24" s="99"/>
      <c r="U24" s="99"/>
      <c r="V24" s="99"/>
      <c r="W24" s="99"/>
      <c r="X24" s="99"/>
      <c r="Y24" s="99"/>
      <c r="Z24" s="99"/>
      <c r="AA24" s="99"/>
      <c r="AB24" s="99"/>
      <c r="AC24" s="99"/>
      <c r="AD24" s="99"/>
      <c r="AE24" s="99"/>
      <c r="AF24" s="101"/>
      <c r="AG24" s="102"/>
    </row>
    <row r="25" spans="1:33" x14ac:dyDescent="0.3">
      <c r="A25" s="103" t="s">
        <v>31</v>
      </c>
      <c r="B25" s="104">
        <f>B26+B27+B28+B29</f>
        <v>71009.099999999977</v>
      </c>
      <c r="C25" s="104">
        <f>C26+C27+C28+C29</f>
        <v>20922.649999999994</v>
      </c>
      <c r="D25" s="104">
        <f>D26+D27+D28+D29</f>
        <v>37903.996160000002</v>
      </c>
      <c r="E25" s="104">
        <f>E26+E27+E28+E29</f>
        <v>37903.996160000002</v>
      </c>
      <c r="F25" s="105">
        <f>E25/B25*100</f>
        <v>53.379068541919295</v>
      </c>
      <c r="G25" s="105">
        <f>E25/C25*100</f>
        <v>181.16250169075147</v>
      </c>
      <c r="H25" s="104">
        <f>H26+H27+H28+H29</f>
        <v>2224.6999999999998</v>
      </c>
      <c r="I25" s="104">
        <f t="shared" ref="I25:AE25" si="2">I26+I27+I28+I29</f>
        <v>1357.8</v>
      </c>
      <c r="J25" s="104">
        <f t="shared" si="2"/>
        <v>6477.4999999999991</v>
      </c>
      <c r="K25" s="104">
        <f t="shared" si="2"/>
        <v>4365.0499999999993</v>
      </c>
      <c r="L25" s="104">
        <f t="shared" si="2"/>
        <v>6141.2</v>
      </c>
      <c r="M25" s="104">
        <f t="shared" si="2"/>
        <v>4589.01</v>
      </c>
      <c r="N25" s="104">
        <f t="shared" si="2"/>
        <v>6088.35</v>
      </c>
      <c r="O25" s="104">
        <f t="shared" si="2"/>
        <v>4422.43</v>
      </c>
      <c r="P25" s="104">
        <f t="shared" si="2"/>
        <v>7497.8499999999995</v>
      </c>
      <c r="Q25" s="104">
        <f t="shared" si="2"/>
        <v>7667.4161599999989</v>
      </c>
      <c r="R25" s="104">
        <f t="shared" si="2"/>
        <v>7146.4500000000007</v>
      </c>
      <c r="S25" s="104">
        <f t="shared" si="2"/>
        <v>8183.8000000000011</v>
      </c>
      <c r="T25" s="104">
        <f t="shared" si="2"/>
        <v>8070.05</v>
      </c>
      <c r="U25" s="104">
        <f t="shared" si="2"/>
        <v>7372.39</v>
      </c>
      <c r="V25" s="104">
        <f t="shared" si="2"/>
        <v>4985.8500000000004</v>
      </c>
      <c r="W25" s="104">
        <f t="shared" si="2"/>
        <v>0</v>
      </c>
      <c r="X25" s="104">
        <f t="shared" si="2"/>
        <v>5439.85</v>
      </c>
      <c r="Y25" s="104">
        <f t="shared" si="2"/>
        <v>0</v>
      </c>
      <c r="Z25" s="104">
        <f t="shared" si="2"/>
        <v>4379.9500000000007</v>
      </c>
      <c r="AA25" s="104">
        <f t="shared" si="2"/>
        <v>0</v>
      </c>
      <c r="AB25" s="104">
        <f t="shared" si="2"/>
        <v>4301.79</v>
      </c>
      <c r="AC25" s="104">
        <f t="shared" si="2"/>
        <v>0</v>
      </c>
      <c r="AD25" s="104">
        <f t="shared" si="2"/>
        <v>8255.56</v>
      </c>
      <c r="AE25" s="104">
        <f t="shared" si="2"/>
        <v>0</v>
      </c>
      <c r="AF25" s="101"/>
      <c r="AG25" s="102"/>
    </row>
    <row r="26" spans="1:33" x14ac:dyDescent="0.3">
      <c r="A26" s="106" t="s">
        <v>169</v>
      </c>
      <c r="B26" s="107">
        <f>B32+B39+B45+B51+B58</f>
        <v>105.21</v>
      </c>
      <c r="C26" s="107">
        <f>C32+C39+C45+C51+C58</f>
        <v>0</v>
      </c>
      <c r="D26" s="107">
        <f>D32+D39+D45+D51+D58</f>
        <v>105.21</v>
      </c>
      <c r="E26" s="107">
        <f>E32+E39+E45+E51+E58</f>
        <v>105.21</v>
      </c>
      <c r="F26" s="107">
        <f>E26/B26*100</f>
        <v>100</v>
      </c>
      <c r="G26" s="107">
        <f>IFERROR(E26/C26*100,0)</f>
        <v>0</v>
      </c>
      <c r="H26" s="107">
        <f t="shared" ref="H26:AE29" si="3">H32+H39+H45+H51+H58</f>
        <v>0</v>
      </c>
      <c r="I26" s="107">
        <f t="shared" si="3"/>
        <v>0</v>
      </c>
      <c r="J26" s="107">
        <f t="shared" si="3"/>
        <v>0</v>
      </c>
      <c r="K26" s="107">
        <f t="shared" si="3"/>
        <v>0</v>
      </c>
      <c r="L26" s="107">
        <f t="shared" si="3"/>
        <v>0</v>
      </c>
      <c r="M26" s="107">
        <f t="shared" si="3"/>
        <v>0</v>
      </c>
      <c r="N26" s="107">
        <f t="shared" si="3"/>
        <v>0</v>
      </c>
      <c r="O26" s="107">
        <f t="shared" si="3"/>
        <v>0</v>
      </c>
      <c r="P26" s="107">
        <f t="shared" si="3"/>
        <v>0</v>
      </c>
      <c r="Q26" s="107">
        <f t="shared" si="3"/>
        <v>0</v>
      </c>
      <c r="R26" s="107">
        <f t="shared" si="3"/>
        <v>105.21</v>
      </c>
      <c r="S26" s="107">
        <f t="shared" si="3"/>
        <v>105.21</v>
      </c>
      <c r="T26" s="107">
        <f t="shared" si="3"/>
        <v>0</v>
      </c>
      <c r="U26" s="107">
        <f t="shared" si="3"/>
        <v>0</v>
      </c>
      <c r="V26" s="107">
        <f t="shared" si="3"/>
        <v>0</v>
      </c>
      <c r="W26" s="107">
        <f t="shared" si="3"/>
        <v>0</v>
      </c>
      <c r="X26" s="107">
        <f t="shared" si="3"/>
        <v>0</v>
      </c>
      <c r="Y26" s="107">
        <f t="shared" si="3"/>
        <v>0</v>
      </c>
      <c r="Z26" s="107">
        <f t="shared" si="3"/>
        <v>0</v>
      </c>
      <c r="AA26" s="107">
        <f t="shared" si="3"/>
        <v>0</v>
      </c>
      <c r="AB26" s="107">
        <f t="shared" si="3"/>
        <v>0</v>
      </c>
      <c r="AC26" s="107">
        <f t="shared" si="3"/>
        <v>0</v>
      </c>
      <c r="AD26" s="107">
        <f t="shared" si="3"/>
        <v>0</v>
      </c>
      <c r="AE26" s="107">
        <f t="shared" si="3"/>
        <v>0</v>
      </c>
      <c r="AF26" s="101"/>
      <c r="AG26" s="102"/>
    </row>
    <row r="27" spans="1:33" x14ac:dyDescent="0.3">
      <c r="A27" s="106" t="s">
        <v>32</v>
      </c>
      <c r="B27" s="107">
        <f t="shared" ref="B27:E28" si="4">B33+B40+B46+B52+B59</f>
        <v>519.69000000000005</v>
      </c>
      <c r="C27" s="107">
        <f t="shared" si="4"/>
        <v>21.6</v>
      </c>
      <c r="D27" s="107">
        <f t="shared" si="4"/>
        <v>323.45999999999998</v>
      </c>
      <c r="E27" s="107">
        <f t="shared" si="4"/>
        <v>323.45999999999998</v>
      </c>
      <c r="F27" s="107">
        <f>E27/B27*100</f>
        <v>62.240951336373598</v>
      </c>
      <c r="G27" s="107">
        <f>IFERROR(E27/C27*100,0)</f>
        <v>1497.4999999999998</v>
      </c>
      <c r="H27" s="107">
        <f t="shared" si="3"/>
        <v>0</v>
      </c>
      <c r="I27" s="107">
        <f t="shared" si="3"/>
        <v>0</v>
      </c>
      <c r="J27" s="107">
        <f t="shared" si="3"/>
        <v>0</v>
      </c>
      <c r="K27" s="107">
        <f t="shared" si="3"/>
        <v>0</v>
      </c>
      <c r="L27" s="107">
        <f t="shared" si="3"/>
        <v>10.8</v>
      </c>
      <c r="M27" s="107">
        <f t="shared" si="3"/>
        <v>10.8</v>
      </c>
      <c r="N27" s="107">
        <f t="shared" si="3"/>
        <v>19.899999999999999</v>
      </c>
      <c r="O27" s="107">
        <f t="shared" si="3"/>
        <v>19.899999999999999</v>
      </c>
      <c r="P27" s="107">
        <f t="shared" si="3"/>
        <v>118.57</v>
      </c>
      <c r="Q27" s="107">
        <f t="shared" si="3"/>
        <v>118.57</v>
      </c>
      <c r="R27" s="107">
        <f t="shared" si="3"/>
        <v>151.39000000000001</v>
      </c>
      <c r="S27" s="107">
        <f t="shared" si="3"/>
        <v>151.39000000000001</v>
      </c>
      <c r="T27" s="107">
        <f t="shared" si="3"/>
        <v>22.8</v>
      </c>
      <c r="U27" s="107">
        <f t="shared" si="3"/>
        <v>22.8</v>
      </c>
      <c r="V27" s="107">
        <f t="shared" si="3"/>
        <v>22.8</v>
      </c>
      <c r="W27" s="107">
        <f t="shared" si="3"/>
        <v>0</v>
      </c>
      <c r="X27" s="107">
        <f t="shared" si="3"/>
        <v>94.2</v>
      </c>
      <c r="Y27" s="107">
        <f t="shared" si="3"/>
        <v>0</v>
      </c>
      <c r="Z27" s="107">
        <f t="shared" si="3"/>
        <v>22.8</v>
      </c>
      <c r="AA27" s="107">
        <f t="shared" si="3"/>
        <v>0</v>
      </c>
      <c r="AB27" s="107">
        <f t="shared" si="3"/>
        <v>22.8</v>
      </c>
      <c r="AC27" s="107">
        <f t="shared" si="3"/>
        <v>0</v>
      </c>
      <c r="AD27" s="107">
        <f t="shared" si="3"/>
        <v>33.629999999999995</v>
      </c>
      <c r="AE27" s="107">
        <f t="shared" si="3"/>
        <v>0</v>
      </c>
      <c r="AF27" s="101"/>
      <c r="AG27" s="102"/>
    </row>
    <row r="28" spans="1:33" x14ac:dyDescent="0.3">
      <c r="A28" s="106" t="s">
        <v>33</v>
      </c>
      <c r="B28" s="107">
        <f>B34+B41+B47+B53+B60</f>
        <v>70384.199999999983</v>
      </c>
      <c r="C28" s="107">
        <f>C34+C41+C47+C53+C60</f>
        <v>20901.049999999996</v>
      </c>
      <c r="D28" s="107">
        <f t="shared" si="4"/>
        <v>37475.326160000004</v>
      </c>
      <c r="E28" s="107">
        <f t="shared" si="4"/>
        <v>37475.326160000004</v>
      </c>
      <c r="F28" s="107">
        <f>E28/B28*100</f>
        <v>53.24394702220102</v>
      </c>
      <c r="G28" s="107">
        <f>IFERROR(E28/C28*100,0)</f>
        <v>179.29877283677143</v>
      </c>
      <c r="H28" s="107">
        <f t="shared" si="3"/>
        <v>2224.6999999999998</v>
      </c>
      <c r="I28" s="107">
        <f t="shared" si="3"/>
        <v>1357.8</v>
      </c>
      <c r="J28" s="107">
        <f>J34+J41+J47+J53+J60</f>
        <v>6477.4999999999991</v>
      </c>
      <c r="K28" s="107">
        <f t="shared" si="3"/>
        <v>4365.0499999999993</v>
      </c>
      <c r="L28" s="107">
        <f t="shared" si="3"/>
        <v>6130.4</v>
      </c>
      <c r="M28" s="107">
        <f t="shared" si="3"/>
        <v>4578.21</v>
      </c>
      <c r="N28" s="107">
        <f t="shared" si="3"/>
        <v>6068.4500000000007</v>
      </c>
      <c r="O28" s="107">
        <f t="shared" si="3"/>
        <v>4402.5300000000007</v>
      </c>
      <c r="P28" s="107">
        <f t="shared" si="3"/>
        <v>7379.28</v>
      </c>
      <c r="Q28" s="107">
        <f t="shared" si="3"/>
        <v>7537.6461599999993</v>
      </c>
      <c r="R28" s="107">
        <f t="shared" si="3"/>
        <v>6889.85</v>
      </c>
      <c r="S28" s="107">
        <f t="shared" si="3"/>
        <v>7885.2000000000007</v>
      </c>
      <c r="T28" s="107">
        <f t="shared" si="3"/>
        <v>8047.25</v>
      </c>
      <c r="U28" s="107">
        <f t="shared" si="3"/>
        <v>7348.89</v>
      </c>
      <c r="V28" s="107">
        <f t="shared" si="3"/>
        <v>4963.05</v>
      </c>
      <c r="W28" s="107">
        <f t="shared" si="3"/>
        <v>0</v>
      </c>
      <c r="X28" s="107">
        <f t="shared" si="3"/>
        <v>5345.6500000000005</v>
      </c>
      <c r="Y28" s="107">
        <f t="shared" si="3"/>
        <v>0</v>
      </c>
      <c r="Z28" s="107">
        <f t="shared" si="3"/>
        <v>4357.1500000000005</v>
      </c>
      <c r="AA28" s="107">
        <f t="shared" si="3"/>
        <v>0</v>
      </c>
      <c r="AB28" s="107">
        <f t="shared" si="3"/>
        <v>4278.99</v>
      </c>
      <c r="AC28" s="107">
        <f t="shared" si="3"/>
        <v>0</v>
      </c>
      <c r="AD28" s="107">
        <f t="shared" si="3"/>
        <v>8221.93</v>
      </c>
      <c r="AE28" s="107">
        <f t="shared" si="3"/>
        <v>0</v>
      </c>
      <c r="AF28" s="101"/>
      <c r="AG28" s="102"/>
    </row>
    <row r="29" spans="1:33" x14ac:dyDescent="0.3">
      <c r="A29" s="106" t="s">
        <v>170</v>
      </c>
      <c r="B29" s="107">
        <f>B36+B42+B48+B61+B55</f>
        <v>0</v>
      </c>
      <c r="C29" s="107">
        <f>C36+C42+C48+C55+C61</f>
        <v>0</v>
      </c>
      <c r="D29" s="107">
        <f>D36+D42+D48+D55+D61</f>
        <v>0</v>
      </c>
      <c r="E29" s="107">
        <f>E36+E42+E48+E55+E61</f>
        <v>0</v>
      </c>
      <c r="F29" s="107">
        <f>IFERROR(E29/B29*100,0)</f>
        <v>0</v>
      </c>
      <c r="G29" s="107">
        <f>IFERROR(E29/C29*100,0)</f>
        <v>0</v>
      </c>
      <c r="H29" s="107">
        <f t="shared" si="3"/>
        <v>0</v>
      </c>
      <c r="I29" s="107">
        <f t="shared" si="3"/>
        <v>0</v>
      </c>
      <c r="J29" s="107">
        <f t="shared" si="3"/>
        <v>0</v>
      </c>
      <c r="K29" s="107">
        <f t="shared" si="3"/>
        <v>0</v>
      </c>
      <c r="L29" s="107">
        <f>L36+L42+L48+L61+L55</f>
        <v>0</v>
      </c>
      <c r="M29" s="107">
        <f>M36+M42+M48+M61+M55</f>
        <v>0</v>
      </c>
      <c r="N29" s="107">
        <f>N36+N42+N48+N61+N55</f>
        <v>0</v>
      </c>
      <c r="O29" s="107">
        <f>O36+O42+O48+O61+O55</f>
        <v>0</v>
      </c>
      <c r="P29" s="107">
        <f>P36+P42+P48+P61+P55</f>
        <v>0</v>
      </c>
      <c r="Q29" s="107">
        <f t="shared" si="3"/>
        <v>11.2</v>
      </c>
      <c r="R29" s="107">
        <f>R36+R42+R48+R61+R55</f>
        <v>0</v>
      </c>
      <c r="S29" s="107">
        <f t="shared" si="3"/>
        <v>42</v>
      </c>
      <c r="T29" s="107">
        <f>T36+T42+T48+T61+T55</f>
        <v>0</v>
      </c>
      <c r="U29" s="107">
        <f t="shared" si="3"/>
        <v>0.7</v>
      </c>
      <c r="V29" s="107">
        <f>V36+V42+V48+V61+V55</f>
        <v>0</v>
      </c>
      <c r="W29" s="107">
        <f t="shared" si="3"/>
        <v>0</v>
      </c>
      <c r="X29" s="107">
        <f>X36+X42+X48+X61+X55</f>
        <v>0</v>
      </c>
      <c r="Y29" s="107">
        <f t="shared" si="3"/>
        <v>0</v>
      </c>
      <c r="Z29" s="107">
        <f>Z36+Z42+Z48+Z61+Z55</f>
        <v>0</v>
      </c>
      <c r="AA29" s="107">
        <f t="shared" si="3"/>
        <v>0</v>
      </c>
      <c r="AB29" s="107">
        <f>AB36+AB42+AB48+AB55+AB61</f>
        <v>0</v>
      </c>
      <c r="AC29" s="107">
        <f t="shared" si="3"/>
        <v>0</v>
      </c>
      <c r="AD29" s="107">
        <f>AD36+AD42+AD48+AD55+AD61</f>
        <v>0</v>
      </c>
      <c r="AE29" s="107">
        <f t="shared" si="3"/>
        <v>0</v>
      </c>
      <c r="AF29" s="101"/>
      <c r="AG29" s="102"/>
    </row>
    <row r="30" spans="1:33" ht="37.5" x14ac:dyDescent="0.3">
      <c r="A30" s="108" t="s">
        <v>173</v>
      </c>
      <c r="B30" s="109"/>
      <c r="C30" s="110"/>
      <c r="D30" s="110"/>
      <c r="E30" s="110"/>
      <c r="F30" s="110"/>
      <c r="G30" s="110"/>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839"/>
      <c r="AG30" s="102"/>
    </row>
    <row r="31" spans="1:33" x14ac:dyDescent="0.3">
      <c r="A31" s="112" t="s">
        <v>31</v>
      </c>
      <c r="B31" s="796">
        <f>B33+B34+B32+B36</f>
        <v>982.6</v>
      </c>
      <c r="C31" s="796">
        <f>C33+C34+C32+C36</f>
        <v>450</v>
      </c>
      <c r="D31" s="801">
        <f>D33+D34+D32+D36</f>
        <v>982.78000000000009</v>
      </c>
      <c r="E31" s="796">
        <f>E33+E34+E32+E36</f>
        <v>982.78000000000009</v>
      </c>
      <c r="F31" s="113">
        <f>IFERROR(E31/B31*100,0)</f>
        <v>100.01831874618361</v>
      </c>
      <c r="G31" s="113">
        <f>IFERROR(E31/C31*100,0)</f>
        <v>218.39555555555557</v>
      </c>
      <c r="H31" s="113">
        <f t="shared" ref="H31:AE31" si="5">H33+H34+H32+H36</f>
        <v>0</v>
      </c>
      <c r="I31" s="113">
        <f t="shared" si="5"/>
        <v>0</v>
      </c>
      <c r="J31" s="113">
        <f t="shared" si="5"/>
        <v>200</v>
      </c>
      <c r="K31" s="113">
        <f t="shared" si="5"/>
        <v>197.2</v>
      </c>
      <c r="L31" s="113">
        <f t="shared" si="5"/>
        <v>250</v>
      </c>
      <c r="M31" s="113">
        <f t="shared" si="5"/>
        <v>250</v>
      </c>
      <c r="N31" s="113">
        <f t="shared" si="5"/>
        <v>0</v>
      </c>
      <c r="O31" s="113">
        <f t="shared" si="5"/>
        <v>2.98</v>
      </c>
      <c r="P31" s="113">
        <f t="shared" si="5"/>
        <v>0</v>
      </c>
      <c r="Q31" s="113">
        <f t="shared" si="5"/>
        <v>0</v>
      </c>
      <c r="R31" s="113">
        <f t="shared" si="5"/>
        <v>532.6</v>
      </c>
      <c r="S31" s="113">
        <f t="shared" si="5"/>
        <v>532.6</v>
      </c>
      <c r="T31" s="113">
        <f t="shared" si="5"/>
        <v>0</v>
      </c>
      <c r="U31" s="113">
        <f t="shared" si="5"/>
        <v>0</v>
      </c>
      <c r="V31" s="113">
        <f t="shared" si="5"/>
        <v>0</v>
      </c>
      <c r="W31" s="113">
        <f t="shared" si="5"/>
        <v>0</v>
      </c>
      <c r="X31" s="113">
        <f t="shared" si="5"/>
        <v>0</v>
      </c>
      <c r="Y31" s="113">
        <f t="shared" si="5"/>
        <v>0</v>
      </c>
      <c r="Z31" s="113">
        <f t="shared" si="5"/>
        <v>0</v>
      </c>
      <c r="AA31" s="113">
        <f t="shared" si="5"/>
        <v>0</v>
      </c>
      <c r="AB31" s="113">
        <f t="shared" si="5"/>
        <v>0</v>
      </c>
      <c r="AC31" s="113">
        <f t="shared" si="5"/>
        <v>0</v>
      </c>
      <c r="AD31" s="113">
        <f t="shared" si="5"/>
        <v>0</v>
      </c>
      <c r="AE31" s="113">
        <f t="shared" si="5"/>
        <v>0</v>
      </c>
      <c r="AF31" s="29"/>
      <c r="AG31" s="102"/>
    </row>
    <row r="32" spans="1:33" x14ac:dyDescent="0.3">
      <c r="A32" s="115" t="s">
        <v>169</v>
      </c>
      <c r="B32" s="798">
        <f>J32+L32+N32+P32+R32+T32+V32+X32+Z32+AB32+AD32+H32</f>
        <v>105.21</v>
      </c>
      <c r="C32" s="799">
        <f>SUM(H32)</f>
        <v>0</v>
      </c>
      <c r="D32" s="800">
        <f>E32</f>
        <v>105.21</v>
      </c>
      <c r="E32" s="799">
        <f>SUM(I32,K32,M32,O32,Q32,S32,U32,W32,Y32,AA32,AC32,AE32)</f>
        <v>105.21</v>
      </c>
      <c r="F32" s="116">
        <f>IFERROR(E32/B32*100,0)</f>
        <v>100</v>
      </c>
      <c r="G32" s="116">
        <f>IFERROR(E32/C32*100,0)</f>
        <v>0</v>
      </c>
      <c r="H32" s="111"/>
      <c r="I32" s="111"/>
      <c r="J32" s="111"/>
      <c r="K32" s="111"/>
      <c r="L32" s="111"/>
      <c r="M32" s="111"/>
      <c r="N32" s="111"/>
      <c r="O32" s="111"/>
      <c r="P32" s="111"/>
      <c r="Q32" s="111">
        <v>0</v>
      </c>
      <c r="R32" s="111">
        <v>105.21</v>
      </c>
      <c r="S32" s="111">
        <v>105.21</v>
      </c>
      <c r="T32" s="111">
        <v>0</v>
      </c>
      <c r="U32" s="111">
        <v>0</v>
      </c>
      <c r="V32" s="111"/>
      <c r="W32" s="111"/>
      <c r="X32" s="111"/>
      <c r="Y32" s="111"/>
      <c r="Z32" s="111"/>
      <c r="AA32" s="111"/>
      <c r="AB32" s="111"/>
      <c r="AC32" s="111"/>
      <c r="AD32" s="111"/>
      <c r="AE32" s="111"/>
      <c r="AF32" s="29"/>
      <c r="AG32" s="102"/>
    </row>
    <row r="33" spans="1:33" x14ac:dyDescent="0.3">
      <c r="A33" s="621" t="s">
        <v>32</v>
      </c>
      <c r="B33" s="798">
        <f>J33+L33+N33+P33+R33+T33+V33+X33+Z33+AB33+AD33+H33</f>
        <v>128.59</v>
      </c>
      <c r="C33" s="799">
        <f>SUM(H33)</f>
        <v>0</v>
      </c>
      <c r="D33" s="800">
        <f>E33</f>
        <v>128.59</v>
      </c>
      <c r="E33" s="799">
        <f>SUM(I33,K33,M33,O33,Q33,S33,U33,W33,Y33,AA33,AC33,AE33)</f>
        <v>128.59</v>
      </c>
      <c r="F33" s="116">
        <f>IFERROR(E33/B33*100,0)</f>
        <v>100</v>
      </c>
      <c r="G33" s="116">
        <f>IFERROR(E33/C33*100,0)</f>
        <v>0</v>
      </c>
      <c r="H33" s="111"/>
      <c r="I33" s="111"/>
      <c r="J33" s="111"/>
      <c r="K33" s="111"/>
      <c r="L33" s="111"/>
      <c r="M33" s="111"/>
      <c r="N33" s="111"/>
      <c r="O33" s="111"/>
      <c r="P33" s="111"/>
      <c r="Q33" s="111">
        <v>0</v>
      </c>
      <c r="R33" s="111">
        <v>128.59</v>
      </c>
      <c r="S33" s="111">
        <v>128.59</v>
      </c>
      <c r="T33" s="111">
        <v>0</v>
      </c>
      <c r="U33" s="111">
        <v>0</v>
      </c>
      <c r="V33" s="111"/>
      <c r="W33" s="111"/>
      <c r="X33" s="111"/>
      <c r="Y33" s="111"/>
      <c r="Z33" s="111"/>
      <c r="AA33" s="111"/>
      <c r="AB33" s="111"/>
      <c r="AC33" s="111"/>
      <c r="AD33" s="111"/>
      <c r="AE33" s="111"/>
      <c r="AF33" s="29"/>
      <c r="AG33" s="102"/>
    </row>
    <row r="34" spans="1:33" x14ac:dyDescent="0.3">
      <c r="A34" s="115" t="s">
        <v>33</v>
      </c>
      <c r="B34" s="798">
        <f>J34+L34+N34+P34+R34+T34+V34+X34+Z34+AB34+AD34+H34</f>
        <v>748.8</v>
      </c>
      <c r="C34" s="799">
        <f>SUM(H34+J34+L34+N34)</f>
        <v>450</v>
      </c>
      <c r="D34" s="800">
        <f>E34</f>
        <v>748.98</v>
      </c>
      <c r="E34" s="799">
        <f>SUM(I34,K34,M34,O34,Q34,S34,U34,W34,Y34,AA34,AC34,AE34)</f>
        <v>748.98</v>
      </c>
      <c r="F34" s="116">
        <f>IFERROR(E34/B34*100,0)</f>
        <v>100.02403846153847</v>
      </c>
      <c r="G34" s="116">
        <f>IFERROR(E34/C34*100,0)</f>
        <v>166.44</v>
      </c>
      <c r="H34" s="111">
        <v>0</v>
      </c>
      <c r="I34" s="111">
        <v>0</v>
      </c>
      <c r="J34" s="111">
        <v>200</v>
      </c>
      <c r="K34" s="111">
        <v>197.2</v>
      </c>
      <c r="L34" s="111">
        <v>250</v>
      </c>
      <c r="M34" s="111">
        <v>250</v>
      </c>
      <c r="N34" s="111">
        <v>0</v>
      </c>
      <c r="O34" s="111">
        <v>2.98</v>
      </c>
      <c r="P34" s="111"/>
      <c r="Q34" s="111">
        <v>0</v>
      </c>
      <c r="R34" s="111">
        <v>298.8</v>
      </c>
      <c r="S34" s="111">
        <v>298.8</v>
      </c>
      <c r="T34" s="111">
        <v>0</v>
      </c>
      <c r="U34" s="111">
        <v>0</v>
      </c>
      <c r="V34" s="111"/>
      <c r="W34" s="111"/>
      <c r="X34" s="111"/>
      <c r="Y34" s="111"/>
      <c r="Z34" s="111"/>
      <c r="AA34" s="111"/>
      <c r="AB34" s="111"/>
      <c r="AC34" s="111"/>
      <c r="AD34" s="111"/>
      <c r="AE34" s="111"/>
      <c r="AF34" s="29"/>
      <c r="AG34" s="102"/>
    </row>
    <row r="35" spans="1:33" ht="37.5" x14ac:dyDescent="0.3">
      <c r="A35" s="828" t="s">
        <v>174</v>
      </c>
      <c r="B35" s="119">
        <f>P35</f>
        <v>0</v>
      </c>
      <c r="C35" s="119">
        <f>SUM(H35)</f>
        <v>0</v>
      </c>
      <c r="D35" s="119">
        <f>E35</f>
        <v>41.3</v>
      </c>
      <c r="E35" s="119">
        <f>SUM(I35,K35,M35,O35,Q35,S35,U35,W35,Y35,AA35,AC35,AE35)</f>
        <v>41.3</v>
      </c>
      <c r="F35" s="119">
        <f>IFERROR(E35/B35*100,0)</f>
        <v>0</v>
      </c>
      <c r="G35" s="119">
        <f>IFERROR(E35/C35*100,0)</f>
        <v>0</v>
      </c>
      <c r="H35" s="119"/>
      <c r="I35" s="119"/>
      <c r="J35" s="119"/>
      <c r="K35" s="119"/>
      <c r="L35" s="119"/>
      <c r="M35" s="119"/>
      <c r="N35" s="119"/>
      <c r="O35" s="119"/>
      <c r="P35" s="119"/>
      <c r="Q35" s="119">
        <v>0</v>
      </c>
      <c r="R35" s="119">
        <v>41.3</v>
      </c>
      <c r="S35" s="119">
        <v>41.3</v>
      </c>
      <c r="T35" s="119">
        <v>0</v>
      </c>
      <c r="U35" s="119">
        <v>0</v>
      </c>
      <c r="V35" s="119"/>
      <c r="W35" s="119"/>
      <c r="X35" s="119"/>
      <c r="Y35" s="119"/>
      <c r="Z35" s="119"/>
      <c r="AA35" s="119"/>
      <c r="AB35" s="119"/>
      <c r="AC35" s="119"/>
      <c r="AD35" s="119"/>
      <c r="AE35" s="119"/>
      <c r="AF35" s="119"/>
      <c r="AG35" s="102"/>
    </row>
    <row r="36" spans="1:33" x14ac:dyDescent="0.3">
      <c r="A36" s="115" t="s">
        <v>170</v>
      </c>
      <c r="B36" s="116"/>
      <c r="C36" s="117"/>
      <c r="D36" s="118"/>
      <c r="E36" s="117"/>
      <c r="F36" s="116"/>
      <c r="G36" s="116"/>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29"/>
      <c r="AG36" s="102"/>
    </row>
    <row r="37" spans="1:33" ht="56.25" x14ac:dyDescent="0.3">
      <c r="A37" s="120" t="s">
        <v>175</v>
      </c>
      <c r="B37" s="796"/>
      <c r="C37" s="797"/>
      <c r="D37" s="797"/>
      <c r="E37" s="797"/>
      <c r="F37" s="121"/>
      <c r="G37" s="12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884"/>
      <c r="AG37" s="102"/>
    </row>
    <row r="38" spans="1:33" x14ac:dyDescent="0.3">
      <c r="A38" s="112" t="s">
        <v>31</v>
      </c>
      <c r="B38" s="796">
        <f>B40+B41+B39+B42</f>
        <v>144.60000000000002</v>
      </c>
      <c r="C38" s="796">
        <f>C40+C41+C39+C42</f>
        <v>144.60000000000002</v>
      </c>
      <c r="D38" s="796">
        <f>D40+D41+D39+D42</f>
        <v>144.60000000000002</v>
      </c>
      <c r="E38" s="796">
        <f>E40+E41+E39+E42</f>
        <v>144.60000000000002</v>
      </c>
      <c r="F38" s="113">
        <f>IFERROR(E38/B38*100,0)</f>
        <v>100</v>
      </c>
      <c r="G38" s="113">
        <f>IFERROR(E38/C38*100,0)</f>
        <v>100</v>
      </c>
      <c r="H38" s="113">
        <f t="shared" ref="H38:AE38" si="6">H40+H41+H39+H42</f>
        <v>0</v>
      </c>
      <c r="I38" s="113">
        <f t="shared" si="6"/>
        <v>0</v>
      </c>
      <c r="J38" s="113">
        <f t="shared" si="6"/>
        <v>44.45</v>
      </c>
      <c r="K38" s="113">
        <f t="shared" si="6"/>
        <v>44.45</v>
      </c>
      <c r="L38" s="113">
        <f t="shared" si="6"/>
        <v>100.15</v>
      </c>
      <c r="M38" s="113">
        <f t="shared" si="6"/>
        <v>100.15</v>
      </c>
      <c r="N38" s="113">
        <f t="shared" si="6"/>
        <v>0</v>
      </c>
      <c r="O38" s="113">
        <f t="shared" si="6"/>
        <v>0</v>
      </c>
      <c r="P38" s="113">
        <f t="shared" si="6"/>
        <v>0</v>
      </c>
      <c r="Q38" s="113">
        <f t="shared" si="6"/>
        <v>0</v>
      </c>
      <c r="R38" s="113">
        <f t="shared" si="6"/>
        <v>0</v>
      </c>
      <c r="S38" s="113">
        <f t="shared" si="6"/>
        <v>0</v>
      </c>
      <c r="T38" s="113">
        <f t="shared" si="6"/>
        <v>0</v>
      </c>
      <c r="U38" s="113">
        <f t="shared" si="6"/>
        <v>0</v>
      </c>
      <c r="V38" s="113">
        <f t="shared" si="6"/>
        <v>0</v>
      </c>
      <c r="W38" s="113">
        <f t="shared" si="6"/>
        <v>0</v>
      </c>
      <c r="X38" s="113">
        <f t="shared" si="6"/>
        <v>0</v>
      </c>
      <c r="Y38" s="113">
        <f t="shared" si="6"/>
        <v>0</v>
      </c>
      <c r="Z38" s="113">
        <f t="shared" si="6"/>
        <v>0</v>
      </c>
      <c r="AA38" s="113">
        <f t="shared" si="6"/>
        <v>0</v>
      </c>
      <c r="AB38" s="113">
        <f t="shared" si="6"/>
        <v>0</v>
      </c>
      <c r="AC38" s="113">
        <f t="shared" si="6"/>
        <v>0</v>
      </c>
      <c r="AD38" s="113">
        <f t="shared" si="6"/>
        <v>0</v>
      </c>
      <c r="AE38" s="113">
        <f t="shared" si="6"/>
        <v>0</v>
      </c>
      <c r="AF38" s="29"/>
      <c r="AG38" s="102"/>
    </row>
    <row r="39" spans="1:33" x14ac:dyDescent="0.3">
      <c r="A39" s="115" t="s">
        <v>169</v>
      </c>
      <c r="B39" s="798"/>
      <c r="C39" s="799"/>
      <c r="D39" s="800"/>
      <c r="E39" s="799"/>
      <c r="F39" s="116"/>
      <c r="G39" s="116"/>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29"/>
      <c r="AG39" s="102"/>
    </row>
    <row r="40" spans="1:33" x14ac:dyDescent="0.3">
      <c r="A40" s="115" t="s">
        <v>32</v>
      </c>
      <c r="B40" s="798"/>
      <c r="C40" s="799"/>
      <c r="D40" s="800"/>
      <c r="E40" s="799"/>
      <c r="F40" s="116"/>
      <c r="G40" s="116"/>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29"/>
      <c r="AG40" s="102"/>
    </row>
    <row r="41" spans="1:33" x14ac:dyDescent="0.3">
      <c r="A41" s="115" t="s">
        <v>33</v>
      </c>
      <c r="B41" s="798">
        <f>J41+L41+N41+P41+R41+T41+V41+X41+Z41+AB41+AD41+H41</f>
        <v>144.60000000000002</v>
      </c>
      <c r="C41" s="799">
        <f>SUM(H41+N41+J41+L41)</f>
        <v>144.60000000000002</v>
      </c>
      <c r="D41" s="800">
        <f>E41</f>
        <v>144.60000000000002</v>
      </c>
      <c r="E41" s="799">
        <f>SUM(I41,K41,M41,O41,Q41,S41,U41,W41,Y41,AA41,AC41,AE41)</f>
        <v>144.60000000000002</v>
      </c>
      <c r="F41" s="116">
        <f>IFERROR(E41/B41*100,0)</f>
        <v>100</v>
      </c>
      <c r="G41" s="116">
        <f>IFERROR(E41/C41*100,0)</f>
        <v>100</v>
      </c>
      <c r="H41" s="111">
        <v>0</v>
      </c>
      <c r="I41" s="111">
        <v>0</v>
      </c>
      <c r="J41" s="111">
        <v>44.45</v>
      </c>
      <c r="K41" s="111">
        <v>44.45</v>
      </c>
      <c r="L41" s="111">
        <v>100.15</v>
      </c>
      <c r="M41" s="111">
        <v>100.15</v>
      </c>
      <c r="N41" s="111">
        <v>0</v>
      </c>
      <c r="O41" s="111">
        <v>0</v>
      </c>
      <c r="P41" s="111">
        <v>0</v>
      </c>
      <c r="Q41" s="111">
        <v>0</v>
      </c>
      <c r="R41" s="111">
        <v>0</v>
      </c>
      <c r="S41" s="111">
        <v>0</v>
      </c>
      <c r="T41" s="111">
        <v>0</v>
      </c>
      <c r="U41" s="111">
        <v>0</v>
      </c>
      <c r="V41" s="111"/>
      <c r="W41" s="111"/>
      <c r="X41" s="111"/>
      <c r="Y41" s="111"/>
      <c r="Z41" s="111"/>
      <c r="AA41" s="111"/>
      <c r="AB41" s="111"/>
      <c r="AC41" s="111"/>
      <c r="AD41" s="111"/>
      <c r="AE41" s="111"/>
      <c r="AF41" s="29"/>
      <c r="AG41" s="102"/>
    </row>
    <row r="42" spans="1:33" x14ac:dyDescent="0.3">
      <c r="A42" s="115" t="s">
        <v>170</v>
      </c>
      <c r="B42" s="798"/>
      <c r="C42" s="799"/>
      <c r="D42" s="800"/>
      <c r="E42" s="799"/>
      <c r="F42" s="116"/>
      <c r="G42" s="116"/>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29"/>
      <c r="AG42" s="102"/>
    </row>
    <row r="43" spans="1:33" ht="56.25" x14ac:dyDescent="0.3">
      <c r="A43" s="122" t="s">
        <v>176</v>
      </c>
      <c r="B43" s="796"/>
      <c r="C43" s="797"/>
      <c r="D43" s="797"/>
      <c r="E43" s="797"/>
      <c r="F43" s="121"/>
      <c r="G43" s="12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030"/>
      <c r="AG43" s="102"/>
    </row>
    <row r="44" spans="1:33" x14ac:dyDescent="0.3">
      <c r="A44" s="112" t="s">
        <v>31</v>
      </c>
      <c r="B44" s="796">
        <f>B46+B47+B45+B48</f>
        <v>69421.7</v>
      </c>
      <c r="C44" s="796">
        <f>C46+C47+C45+C48</f>
        <v>20280.099999999999</v>
      </c>
      <c r="D44" s="113">
        <f>D46+D47+D45+D48</f>
        <v>36533.816160000002</v>
      </c>
      <c r="E44" s="113">
        <f>E46+E47+E45+E48</f>
        <v>36533.816160000002</v>
      </c>
      <c r="F44" s="113">
        <f>IFERROR(E44/B44*100,0)</f>
        <v>52.625931315424438</v>
      </c>
      <c r="G44" s="113">
        <f>IFERROR(E44/C44*100,0)</f>
        <v>180.14613419065984</v>
      </c>
      <c r="H44" s="796">
        <f t="shared" ref="H44:AE44" si="7">H46+H47+H45+H48</f>
        <v>2224.6999999999998</v>
      </c>
      <c r="I44" s="796">
        <f t="shared" si="7"/>
        <v>1357.8</v>
      </c>
      <c r="J44" s="796">
        <f t="shared" si="7"/>
        <v>6221.4</v>
      </c>
      <c r="K44" s="796">
        <f t="shared" si="7"/>
        <v>4111.75</v>
      </c>
      <c r="L44" s="796">
        <f t="shared" si="7"/>
        <v>5770</v>
      </c>
      <c r="M44" s="113">
        <f t="shared" si="7"/>
        <v>4217.8100000000004</v>
      </c>
      <c r="N44" s="113">
        <f t="shared" si="7"/>
        <v>6064</v>
      </c>
      <c r="O44" s="113">
        <f t="shared" si="7"/>
        <v>4395.1000000000004</v>
      </c>
      <c r="P44" s="113">
        <f t="shared" si="7"/>
        <v>7360.8</v>
      </c>
      <c r="Q44" s="113">
        <f t="shared" si="7"/>
        <v>7519.1661599999998</v>
      </c>
      <c r="R44" s="113">
        <f t="shared" si="7"/>
        <v>6589.5</v>
      </c>
      <c r="S44" s="113">
        <f t="shared" si="7"/>
        <v>7584.85</v>
      </c>
      <c r="T44" s="113">
        <f t="shared" si="7"/>
        <v>8045.7</v>
      </c>
      <c r="U44" s="113">
        <f t="shared" si="7"/>
        <v>7347.34</v>
      </c>
      <c r="V44" s="113">
        <f t="shared" si="7"/>
        <v>4961.5</v>
      </c>
      <c r="W44" s="113">
        <f t="shared" si="7"/>
        <v>0</v>
      </c>
      <c r="X44" s="113">
        <f t="shared" si="7"/>
        <v>5331.5</v>
      </c>
      <c r="Y44" s="113">
        <f t="shared" si="7"/>
        <v>0</v>
      </c>
      <c r="Z44" s="113">
        <f t="shared" si="7"/>
        <v>4355.6000000000004</v>
      </c>
      <c r="AA44" s="113">
        <f t="shared" si="7"/>
        <v>0</v>
      </c>
      <c r="AB44" s="113">
        <f t="shared" si="7"/>
        <v>4277.4399999999996</v>
      </c>
      <c r="AC44" s="113">
        <f t="shared" si="7"/>
        <v>0</v>
      </c>
      <c r="AD44" s="113">
        <f t="shared" si="7"/>
        <v>8219.56</v>
      </c>
      <c r="AE44" s="113">
        <f t="shared" si="7"/>
        <v>0</v>
      </c>
      <c r="AF44" s="29"/>
      <c r="AG44" s="102"/>
    </row>
    <row r="45" spans="1:33" x14ac:dyDescent="0.3">
      <c r="A45" s="115" t="s">
        <v>169</v>
      </c>
      <c r="B45" s="798"/>
      <c r="C45" s="799"/>
      <c r="D45" s="118"/>
      <c r="E45" s="117"/>
      <c r="F45" s="116"/>
      <c r="G45" s="116"/>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29"/>
      <c r="AG45" s="102"/>
    </row>
    <row r="46" spans="1:33" x14ac:dyDescent="0.3">
      <c r="A46" s="115" t="s">
        <v>32</v>
      </c>
      <c r="B46" s="798"/>
      <c r="C46" s="799"/>
      <c r="D46" s="118"/>
      <c r="E46" s="117"/>
      <c r="F46" s="116"/>
      <c r="G46" s="116"/>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29"/>
      <c r="AG46" s="102"/>
    </row>
    <row r="47" spans="1:33" x14ac:dyDescent="0.3">
      <c r="A47" s="115" t="s">
        <v>33</v>
      </c>
      <c r="B47" s="798">
        <f>J47+L47+N47+P47+R47+T47+V47+X47+Z47+AB47+AD47+H47</f>
        <v>69421.7</v>
      </c>
      <c r="C47" s="799">
        <f>SUM(H47+J47+L47+N47)</f>
        <v>20280.099999999999</v>
      </c>
      <c r="D47" s="118">
        <f>E47</f>
        <v>36533.816160000002</v>
      </c>
      <c r="E47" s="117">
        <f>SUM(I47,K47,M47,O47,Q47,S47,U47,W47,Y47,AA47,AC47,AE47)</f>
        <v>36533.816160000002</v>
      </c>
      <c r="F47" s="116">
        <f>IFERROR(E47/B47*100,0)</f>
        <v>52.625931315424438</v>
      </c>
      <c r="G47" s="116">
        <f>IFERROR(E47/C47*100,0)</f>
        <v>180.14613419065984</v>
      </c>
      <c r="H47" s="111">
        <v>2224.6999999999998</v>
      </c>
      <c r="I47" s="111">
        <v>1357.8</v>
      </c>
      <c r="J47" s="111">
        <v>6221.4</v>
      </c>
      <c r="K47" s="111">
        <v>4111.75</v>
      </c>
      <c r="L47" s="111">
        <v>5770</v>
      </c>
      <c r="M47" s="111">
        <v>4217.8100000000004</v>
      </c>
      <c r="N47" s="111">
        <v>6064</v>
      </c>
      <c r="O47" s="111">
        <v>4395.1000000000004</v>
      </c>
      <c r="P47" s="519">
        <f>6884+476.8</f>
        <v>7360.8</v>
      </c>
      <c r="Q47" s="111">
        <v>7519.1661599999998</v>
      </c>
      <c r="R47" s="111">
        <v>6589.5</v>
      </c>
      <c r="S47" s="111">
        <v>7584.85</v>
      </c>
      <c r="T47" s="111">
        <v>8045.7</v>
      </c>
      <c r="U47" s="111">
        <v>7347.34</v>
      </c>
      <c r="V47" s="111">
        <v>4961.5</v>
      </c>
      <c r="W47" s="111"/>
      <c r="X47" s="111">
        <v>5331.5</v>
      </c>
      <c r="Y47" s="111"/>
      <c r="Z47" s="111">
        <v>4355.6000000000004</v>
      </c>
      <c r="AA47" s="111"/>
      <c r="AB47" s="111">
        <v>4277.4399999999996</v>
      </c>
      <c r="AC47" s="111"/>
      <c r="AD47" s="111">
        <v>8219.56</v>
      </c>
      <c r="AE47" s="111"/>
      <c r="AF47" s="29"/>
      <c r="AG47" s="102"/>
    </row>
    <row r="48" spans="1:33" x14ac:dyDescent="0.3">
      <c r="A48" s="115" t="s">
        <v>170</v>
      </c>
      <c r="B48" s="116"/>
      <c r="C48" s="117"/>
      <c r="D48" s="118"/>
      <c r="E48" s="117"/>
      <c r="F48" s="116"/>
      <c r="G48" s="116"/>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29"/>
      <c r="AG48" s="102"/>
    </row>
    <row r="49" spans="1:33" ht="112.5" x14ac:dyDescent="0.3">
      <c r="A49" s="88" t="s">
        <v>177</v>
      </c>
      <c r="B49" s="116"/>
      <c r="C49" s="123"/>
      <c r="D49" s="123"/>
      <c r="E49" s="123"/>
      <c r="F49" s="123"/>
      <c r="G49" s="123"/>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031"/>
      <c r="AG49" s="102"/>
    </row>
    <row r="50" spans="1:33" x14ac:dyDescent="0.3">
      <c r="A50" s="11" t="s">
        <v>31</v>
      </c>
      <c r="B50" s="796">
        <f>B52+B53+B51+B55</f>
        <v>277.7</v>
      </c>
      <c r="C50" s="796">
        <f>C52+C53+C51+C55</f>
        <v>13</v>
      </c>
      <c r="D50" s="801">
        <f>D52+D53+D51+D55</f>
        <v>130.19999999999999</v>
      </c>
      <c r="E50" s="113">
        <f>E52+E53+E51+E55</f>
        <v>130.19999999999999</v>
      </c>
      <c r="F50" s="113">
        <f>IFERROR(E50/B50*100,0)</f>
        <v>46.885127835794023</v>
      </c>
      <c r="G50" s="113">
        <f>IFERROR(E50/C50*100,0)</f>
        <v>1001.5384615384615</v>
      </c>
      <c r="H50" s="113">
        <f t="shared" ref="H50:AE50" si="8">H52+H53+H51+H55</f>
        <v>0</v>
      </c>
      <c r="I50" s="113">
        <f t="shared" si="8"/>
        <v>0</v>
      </c>
      <c r="J50" s="113">
        <f t="shared" si="8"/>
        <v>0</v>
      </c>
      <c r="K50" s="113">
        <f t="shared" si="8"/>
        <v>0</v>
      </c>
      <c r="L50" s="113">
        <f t="shared" si="8"/>
        <v>9.4</v>
      </c>
      <c r="M50" s="113">
        <f t="shared" si="8"/>
        <v>9.4</v>
      </c>
      <c r="N50" s="113">
        <f t="shared" si="8"/>
        <v>12.7</v>
      </c>
      <c r="O50" s="113">
        <f t="shared" si="8"/>
        <v>12.7</v>
      </c>
      <c r="P50" s="113">
        <f t="shared" si="8"/>
        <v>82.7</v>
      </c>
      <c r="Q50" s="113">
        <f t="shared" si="8"/>
        <v>82.7</v>
      </c>
      <c r="R50" s="113">
        <f t="shared" si="8"/>
        <v>12.7</v>
      </c>
      <c r="S50" s="113">
        <f>S52+S53+S51+S55</f>
        <v>12.7</v>
      </c>
      <c r="T50" s="113">
        <f t="shared" si="8"/>
        <v>12.7</v>
      </c>
      <c r="U50" s="113">
        <f t="shared" si="8"/>
        <v>12.7</v>
      </c>
      <c r="V50" s="113">
        <f t="shared" si="8"/>
        <v>12.7</v>
      </c>
      <c r="W50" s="113">
        <f t="shared" si="8"/>
        <v>0</v>
      </c>
      <c r="X50" s="113">
        <f t="shared" si="8"/>
        <v>96.7</v>
      </c>
      <c r="Y50" s="113">
        <f t="shared" si="8"/>
        <v>0</v>
      </c>
      <c r="Z50" s="113">
        <f t="shared" si="8"/>
        <v>12.7</v>
      </c>
      <c r="AA50" s="113">
        <f t="shared" si="8"/>
        <v>0</v>
      </c>
      <c r="AB50" s="113">
        <f t="shared" si="8"/>
        <v>12.7</v>
      </c>
      <c r="AC50" s="113">
        <f t="shared" si="8"/>
        <v>0</v>
      </c>
      <c r="AD50" s="113">
        <f t="shared" si="8"/>
        <v>12.7</v>
      </c>
      <c r="AE50" s="113">
        <f t="shared" si="8"/>
        <v>0</v>
      </c>
      <c r="AF50" s="840"/>
      <c r="AG50" s="102"/>
    </row>
    <row r="51" spans="1:33" x14ac:dyDescent="0.3">
      <c r="A51" s="7" t="s">
        <v>169</v>
      </c>
      <c r="B51" s="798"/>
      <c r="C51" s="799"/>
      <c r="D51" s="800"/>
      <c r="E51" s="117"/>
      <c r="F51" s="116"/>
      <c r="G51" s="116"/>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29"/>
      <c r="AG51" s="102"/>
    </row>
    <row r="52" spans="1:33" x14ac:dyDescent="0.3">
      <c r="A52" s="677" t="s">
        <v>32</v>
      </c>
      <c r="B52" s="798">
        <f>J52+L52+N52+P52+R52+T52+V52+X52+Z52+AB52+AD52+H52</f>
        <v>236</v>
      </c>
      <c r="C52" s="799">
        <f>SUM(H52)</f>
        <v>0</v>
      </c>
      <c r="D52" s="800">
        <f>E52</f>
        <v>104.6</v>
      </c>
      <c r="E52" s="117">
        <f>SUM(I52,K52,M52,O52,Q52,S52,U52,W52,Y52,AA52,AC52,AE52)</f>
        <v>104.6</v>
      </c>
      <c r="F52" s="116">
        <f>IFERROR(E52/B52*100,0)</f>
        <v>44.322033898305079</v>
      </c>
      <c r="G52" s="116">
        <f>IFERROR(E52/C52*100,0)</f>
        <v>0</v>
      </c>
      <c r="H52" s="111"/>
      <c r="I52" s="111"/>
      <c r="J52" s="111"/>
      <c r="K52" s="111"/>
      <c r="L52" s="111"/>
      <c r="M52" s="111"/>
      <c r="N52" s="111">
        <v>9.1</v>
      </c>
      <c r="O52" s="111">
        <v>9.1</v>
      </c>
      <c r="P52" s="111">
        <v>71.5</v>
      </c>
      <c r="Q52" s="111">
        <v>71.5</v>
      </c>
      <c r="R52" s="111">
        <v>12</v>
      </c>
      <c r="S52" s="111">
        <v>12</v>
      </c>
      <c r="T52" s="111">
        <v>12</v>
      </c>
      <c r="U52" s="111">
        <v>12</v>
      </c>
      <c r="V52" s="111">
        <v>12</v>
      </c>
      <c r="W52" s="111"/>
      <c r="X52" s="111">
        <v>83.4</v>
      </c>
      <c r="Y52" s="111"/>
      <c r="Z52" s="111">
        <v>12</v>
      </c>
      <c r="AA52" s="111"/>
      <c r="AB52" s="111">
        <v>12</v>
      </c>
      <c r="AC52" s="111"/>
      <c r="AD52" s="111">
        <v>12</v>
      </c>
      <c r="AE52" s="111"/>
      <c r="AF52" s="29"/>
      <c r="AG52" s="102"/>
    </row>
    <row r="53" spans="1:33" x14ac:dyDescent="0.3">
      <c r="A53" s="7" t="s">
        <v>33</v>
      </c>
      <c r="B53" s="798">
        <f>J53+L53+N53+P53+R53+T53+V53+X53+Z53+AB53+AD53+H53</f>
        <v>41.7</v>
      </c>
      <c r="C53" s="799">
        <f>SUM(H53+J53+L53+N53)</f>
        <v>13</v>
      </c>
      <c r="D53" s="800">
        <f>E53</f>
        <v>25.599999999999998</v>
      </c>
      <c r="E53" s="117">
        <f>SUM(I53,K53,M53,O53,Q53,S53,U53,W53,Y53,AA53,AC53,AE53)</f>
        <v>25.599999999999998</v>
      </c>
      <c r="F53" s="116">
        <f>IFERROR(E53/B53*100,0)</f>
        <v>61.390887290167861</v>
      </c>
      <c r="G53" s="116">
        <f>IFERROR(E53/C53*100,0)</f>
        <v>196.92307692307691</v>
      </c>
      <c r="H53" s="111">
        <v>0</v>
      </c>
      <c r="I53" s="111">
        <v>0</v>
      </c>
      <c r="J53" s="111">
        <v>0</v>
      </c>
      <c r="K53" s="111">
        <v>0</v>
      </c>
      <c r="L53" s="111">
        <v>9.4</v>
      </c>
      <c r="M53" s="111">
        <v>9.4</v>
      </c>
      <c r="N53" s="111">
        <v>3.6</v>
      </c>
      <c r="O53" s="111">
        <v>3.6</v>
      </c>
      <c r="P53" s="111">
        <v>11.2</v>
      </c>
      <c r="Q53" s="111">
        <v>11.2</v>
      </c>
      <c r="R53" s="111">
        <v>0.7</v>
      </c>
      <c r="S53" s="111">
        <v>0.7</v>
      </c>
      <c r="T53" s="111">
        <v>0.7</v>
      </c>
      <c r="U53" s="111">
        <v>0.7</v>
      </c>
      <c r="V53" s="111">
        <v>0.7</v>
      </c>
      <c r="W53" s="111"/>
      <c r="X53" s="111">
        <v>13.3</v>
      </c>
      <c r="Y53" s="111"/>
      <c r="Z53" s="111">
        <v>0.7</v>
      </c>
      <c r="AA53" s="111"/>
      <c r="AB53" s="111">
        <v>0.7</v>
      </c>
      <c r="AC53" s="111"/>
      <c r="AD53" s="111">
        <v>0.7</v>
      </c>
      <c r="AE53" s="111"/>
      <c r="AF53" s="29"/>
      <c r="AG53" s="102"/>
    </row>
    <row r="54" spans="1:33" s="61" customFormat="1" ht="37.5" x14ac:dyDescent="0.3">
      <c r="A54" s="828" t="s">
        <v>174</v>
      </c>
      <c r="B54" s="119">
        <f>J54+L54+N54+P54+R54+T54+V54+X54+Z54+AB54+AD54+H54</f>
        <v>41.7</v>
      </c>
      <c r="C54" s="119">
        <f>SUM(H54+J54+L54+N54)</f>
        <v>13</v>
      </c>
      <c r="D54" s="119">
        <f>E54</f>
        <v>25.599999999999998</v>
      </c>
      <c r="E54" s="119">
        <f>SUM(I54,K54,M54,O54,Q54,S54,U54,W54,Y54,AA54,AC54,AE54)</f>
        <v>25.599999999999998</v>
      </c>
      <c r="F54" s="119">
        <f>IFERROR(E54/B54*100,0)</f>
        <v>61.390887290167861</v>
      </c>
      <c r="G54" s="119">
        <f>IFERROR(E54/C54*100,0)</f>
        <v>196.92307692307691</v>
      </c>
      <c r="H54" s="119"/>
      <c r="I54" s="119"/>
      <c r="J54" s="119"/>
      <c r="K54" s="119"/>
      <c r="L54" s="119">
        <v>9.4</v>
      </c>
      <c r="M54" s="119">
        <v>9.4</v>
      </c>
      <c r="N54" s="119">
        <v>3.6</v>
      </c>
      <c r="O54" s="119">
        <v>3.6</v>
      </c>
      <c r="P54" s="119">
        <v>11.2</v>
      </c>
      <c r="Q54" s="119">
        <v>11.2</v>
      </c>
      <c r="R54" s="119">
        <v>0.7</v>
      </c>
      <c r="S54" s="119">
        <v>0.7</v>
      </c>
      <c r="T54" s="119">
        <v>0.7</v>
      </c>
      <c r="U54" s="119">
        <v>0.7</v>
      </c>
      <c r="V54" s="119">
        <v>0.7</v>
      </c>
      <c r="W54" s="119"/>
      <c r="X54" s="119">
        <v>13.3</v>
      </c>
      <c r="Y54" s="119"/>
      <c r="Z54" s="119">
        <v>0.7</v>
      </c>
      <c r="AA54" s="119"/>
      <c r="AB54" s="119">
        <v>0.7</v>
      </c>
      <c r="AC54" s="119"/>
      <c r="AD54" s="119">
        <v>0.7</v>
      </c>
      <c r="AE54" s="794"/>
      <c r="AF54" s="794"/>
      <c r="AG54" s="795"/>
    </row>
    <row r="55" spans="1:33" x14ac:dyDescent="0.3">
      <c r="A55" s="7" t="s">
        <v>170</v>
      </c>
      <c r="B55" s="116"/>
      <c r="C55" s="117"/>
      <c r="D55" s="118"/>
      <c r="E55" s="117"/>
      <c r="F55" s="116"/>
      <c r="G55" s="116"/>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29"/>
      <c r="AG55" s="102"/>
    </row>
    <row r="56" spans="1:33" ht="37.5" x14ac:dyDescent="0.3">
      <c r="A56" s="122" t="s">
        <v>178</v>
      </c>
      <c r="B56" s="113"/>
      <c r="C56" s="121"/>
      <c r="D56" s="121"/>
      <c r="E56" s="121"/>
      <c r="F56" s="121"/>
      <c r="G56" s="12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886"/>
      <c r="AG56" s="102"/>
    </row>
    <row r="57" spans="1:33" x14ac:dyDescent="0.3">
      <c r="A57" s="112" t="s">
        <v>31</v>
      </c>
      <c r="B57" s="796">
        <f>B60+B59+B58+B61</f>
        <v>182.5</v>
      </c>
      <c r="C57" s="113">
        <f>C60+C59+C58+C61</f>
        <v>34.950000000000003</v>
      </c>
      <c r="D57" s="113">
        <f>D60+D59+D58+D61</f>
        <v>112.6</v>
      </c>
      <c r="E57" s="113">
        <f>E60+E59+E58+E61</f>
        <v>112.6</v>
      </c>
      <c r="F57" s="113">
        <f>IFERROR(E57/B57*100,0)</f>
        <v>61.698630136986296</v>
      </c>
      <c r="G57" s="113">
        <f>IFERROR(E57/C57*100,0)</f>
        <v>322.17453505007148</v>
      </c>
      <c r="H57" s="113">
        <f t="shared" ref="H57:U57" si="9">H60+H59+H58+H61</f>
        <v>0</v>
      </c>
      <c r="I57" s="113">
        <f t="shared" si="9"/>
        <v>0</v>
      </c>
      <c r="J57" s="113">
        <f t="shared" si="9"/>
        <v>11.65</v>
      </c>
      <c r="K57" s="113">
        <f t="shared" si="9"/>
        <v>11.65</v>
      </c>
      <c r="L57" s="113">
        <f t="shared" si="9"/>
        <v>11.65</v>
      </c>
      <c r="M57" s="113">
        <f t="shared" si="9"/>
        <v>11.65</v>
      </c>
      <c r="N57" s="113">
        <f t="shared" si="9"/>
        <v>11.65</v>
      </c>
      <c r="O57" s="113">
        <f t="shared" si="9"/>
        <v>11.65</v>
      </c>
      <c r="P57" s="113">
        <f t="shared" si="9"/>
        <v>54.35</v>
      </c>
      <c r="Q57" s="113">
        <f t="shared" si="9"/>
        <v>54.35</v>
      </c>
      <c r="R57" s="113">
        <f t="shared" si="9"/>
        <v>11.65</v>
      </c>
      <c r="S57" s="113">
        <f t="shared" si="9"/>
        <v>11.65</v>
      </c>
      <c r="T57" s="113">
        <f t="shared" si="9"/>
        <v>11.65</v>
      </c>
      <c r="U57" s="113">
        <f t="shared" si="9"/>
        <v>11.65</v>
      </c>
      <c r="V57" s="113">
        <f t="shared" ref="V57:AE57" si="10">V59+V60+V58+V61</f>
        <v>11.65</v>
      </c>
      <c r="W57" s="113">
        <f t="shared" si="10"/>
        <v>0</v>
      </c>
      <c r="X57" s="113">
        <f t="shared" si="10"/>
        <v>11.65</v>
      </c>
      <c r="Y57" s="113">
        <f t="shared" si="10"/>
        <v>0</v>
      </c>
      <c r="Z57" s="113">
        <f t="shared" si="10"/>
        <v>11.65</v>
      </c>
      <c r="AA57" s="113">
        <f t="shared" si="10"/>
        <v>0</v>
      </c>
      <c r="AB57" s="113">
        <f t="shared" si="10"/>
        <v>11.65</v>
      </c>
      <c r="AC57" s="113">
        <f t="shared" si="10"/>
        <v>0</v>
      </c>
      <c r="AD57" s="113">
        <f t="shared" si="10"/>
        <v>23.299999999999997</v>
      </c>
      <c r="AE57" s="113">
        <f t="shared" si="10"/>
        <v>0</v>
      </c>
      <c r="AF57" s="841"/>
      <c r="AG57" s="102"/>
    </row>
    <row r="58" spans="1:33" x14ac:dyDescent="0.3">
      <c r="A58" s="115" t="s">
        <v>169</v>
      </c>
      <c r="B58" s="798"/>
      <c r="C58" s="117"/>
      <c r="D58" s="118"/>
      <c r="E58" s="117"/>
      <c r="F58" s="116"/>
      <c r="G58" s="116"/>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29"/>
      <c r="AG58" s="102"/>
    </row>
    <row r="59" spans="1:33" x14ac:dyDescent="0.3">
      <c r="A59" s="621" t="s">
        <v>32</v>
      </c>
      <c r="B59" s="798">
        <f>J59+L59+N59+P59+R59+T59+V59+X59+Z59+AB59+AD59+H59</f>
        <v>155.1</v>
      </c>
      <c r="C59" s="117">
        <f>SUM(H59+J59+L59+N59)</f>
        <v>21.6</v>
      </c>
      <c r="D59" s="118">
        <f>E59</f>
        <v>90.27</v>
      </c>
      <c r="E59" s="117">
        <f>SUM(I59,K59,M59,O59,Q59,S59,U59,W59,Y59,AA59,AC59,AE59)</f>
        <v>90.27</v>
      </c>
      <c r="F59" s="116">
        <f>IFERROR(E59/#REF!*100,0)</f>
        <v>0</v>
      </c>
      <c r="G59" s="116">
        <f>IFERROR(E59/C59*100,0)</f>
        <v>417.91666666666663</v>
      </c>
      <c r="H59" s="111"/>
      <c r="I59" s="111"/>
      <c r="J59" s="111">
        <v>0</v>
      </c>
      <c r="K59" s="111">
        <v>0</v>
      </c>
      <c r="L59" s="111">
        <v>10.8</v>
      </c>
      <c r="M59" s="111">
        <v>10.8</v>
      </c>
      <c r="N59" s="111">
        <v>10.8</v>
      </c>
      <c r="O59" s="111">
        <v>10.8</v>
      </c>
      <c r="P59" s="111">
        <v>47.07</v>
      </c>
      <c r="Q59" s="111">
        <v>47.07</v>
      </c>
      <c r="R59" s="111">
        <v>10.8</v>
      </c>
      <c r="S59" s="111">
        <v>10.8</v>
      </c>
      <c r="T59" s="111">
        <v>10.8</v>
      </c>
      <c r="U59" s="111">
        <v>10.8</v>
      </c>
      <c r="V59" s="111">
        <v>10.8</v>
      </c>
      <c r="W59" s="111"/>
      <c r="X59" s="111">
        <v>10.8</v>
      </c>
      <c r="Y59" s="111"/>
      <c r="Z59" s="111">
        <v>10.8</v>
      </c>
      <c r="AA59" s="111"/>
      <c r="AB59" s="111">
        <v>10.8</v>
      </c>
      <c r="AC59" s="111"/>
      <c r="AD59" s="111">
        <v>21.63</v>
      </c>
      <c r="AE59" s="111"/>
      <c r="AF59" s="29"/>
      <c r="AG59" s="102"/>
    </row>
    <row r="60" spans="1:33" x14ac:dyDescent="0.3">
      <c r="A60" s="115" t="s">
        <v>33</v>
      </c>
      <c r="B60" s="798">
        <f>J60+L60+N60+P60+R60+T60+V60+X60+Z60+AB60+AD60+H60</f>
        <v>27.400000000000006</v>
      </c>
      <c r="C60" s="117">
        <f>SUM(H60+J60+L60+N60)</f>
        <v>13.35</v>
      </c>
      <c r="D60" s="118">
        <f>E60</f>
        <v>22.330000000000002</v>
      </c>
      <c r="E60" s="117">
        <f>SUM(I60,K60,M60,O60,Q60,S60,U60,W60,Y60,AA60,AC60,AE60)</f>
        <v>22.330000000000002</v>
      </c>
      <c r="F60" s="116">
        <f>IFERROR(E60/B59*100,0)</f>
        <v>14.397163120567377</v>
      </c>
      <c r="G60" s="116">
        <f>IFERROR(E60/C60*100,0)</f>
        <v>167.26591760299627</v>
      </c>
      <c r="H60" s="111">
        <v>0</v>
      </c>
      <c r="I60" s="111">
        <v>0</v>
      </c>
      <c r="J60" s="111">
        <v>11.65</v>
      </c>
      <c r="K60" s="111">
        <v>11.65</v>
      </c>
      <c r="L60" s="111">
        <v>0.85</v>
      </c>
      <c r="M60" s="111">
        <v>0.85</v>
      </c>
      <c r="N60" s="111">
        <v>0.85</v>
      </c>
      <c r="O60" s="111">
        <v>0.85</v>
      </c>
      <c r="P60" s="111">
        <v>7.28</v>
      </c>
      <c r="Q60" s="111">
        <v>7.28</v>
      </c>
      <c r="R60" s="111">
        <v>0.85</v>
      </c>
      <c r="S60" s="111">
        <v>0.85</v>
      </c>
      <c r="T60" s="111">
        <v>0.85</v>
      </c>
      <c r="U60" s="111">
        <v>0.85</v>
      </c>
      <c r="V60" s="111">
        <v>0.85</v>
      </c>
      <c r="W60" s="111"/>
      <c r="X60" s="111">
        <v>0.85</v>
      </c>
      <c r="Y60" s="111"/>
      <c r="Z60" s="111">
        <v>0.85</v>
      </c>
      <c r="AA60" s="111"/>
      <c r="AB60" s="111">
        <v>0.85</v>
      </c>
      <c r="AC60" s="111"/>
      <c r="AD60" s="111">
        <v>1.67</v>
      </c>
      <c r="AE60" s="111"/>
      <c r="AF60" s="29"/>
      <c r="AG60" s="102"/>
    </row>
    <row r="61" spans="1:33" x14ac:dyDescent="0.3">
      <c r="A61" s="115" t="s">
        <v>170</v>
      </c>
      <c r="B61" s="116"/>
      <c r="C61" s="117"/>
      <c r="D61" s="118"/>
      <c r="E61" s="117"/>
      <c r="F61" s="116"/>
      <c r="G61" s="116"/>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29"/>
      <c r="AG61" s="102"/>
    </row>
    <row r="62" spans="1:33" ht="37.5" x14ac:dyDescent="0.3">
      <c r="A62" s="827" t="s">
        <v>174</v>
      </c>
      <c r="B62" s="116">
        <f>H62+J62+L62+N62+P62+R62+T62+V62+X62+Z62+AB62+AD62</f>
        <v>27.400000000000006</v>
      </c>
      <c r="C62" s="117">
        <f>H62+J62+L62+N62</f>
        <v>13.35</v>
      </c>
      <c r="D62" s="118">
        <f>E62</f>
        <v>22.330000000000002</v>
      </c>
      <c r="E62" s="117">
        <f>I62+K62+M62+O62+Q62+S62+U62+W62+Y62+AA62+AC62+AE62</f>
        <v>22.330000000000002</v>
      </c>
      <c r="F62" s="116">
        <f>IFERROR(E62/B60*100,0)</f>
        <v>81.49635036496349</v>
      </c>
      <c r="G62" s="116">
        <f>IFERROR(E62/C62*100,0)</f>
        <v>167.26591760299627</v>
      </c>
      <c r="H62" s="111"/>
      <c r="I62" s="111"/>
      <c r="J62" s="111">
        <v>11.65</v>
      </c>
      <c r="K62" s="111">
        <v>11.65</v>
      </c>
      <c r="L62" s="111">
        <v>0.85</v>
      </c>
      <c r="M62" s="111">
        <v>0.85</v>
      </c>
      <c r="N62" s="111">
        <v>0.85</v>
      </c>
      <c r="O62" s="111">
        <v>0.85</v>
      </c>
      <c r="P62" s="111">
        <v>7.28</v>
      </c>
      <c r="Q62" s="111">
        <v>7.28</v>
      </c>
      <c r="R62" s="111">
        <v>0.85</v>
      </c>
      <c r="S62" s="111">
        <v>0.85</v>
      </c>
      <c r="T62" s="111">
        <v>0.85</v>
      </c>
      <c r="U62" s="111">
        <v>0.85</v>
      </c>
      <c r="V62" s="111">
        <v>0.85</v>
      </c>
      <c r="W62" s="111"/>
      <c r="X62" s="111">
        <v>0.85</v>
      </c>
      <c r="Y62" s="111"/>
      <c r="Z62" s="111">
        <v>0.85</v>
      </c>
      <c r="AA62" s="111"/>
      <c r="AB62" s="111">
        <v>0.85</v>
      </c>
      <c r="AC62" s="111"/>
      <c r="AD62" s="111">
        <v>1.67</v>
      </c>
      <c r="AE62" s="111"/>
      <c r="AF62" s="29"/>
      <c r="AG62" s="102"/>
    </row>
    <row r="63" spans="1:33" x14ac:dyDescent="0.3">
      <c r="A63" s="124" t="s">
        <v>179</v>
      </c>
      <c r="B63" s="104"/>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01"/>
      <c r="AG63" s="102"/>
    </row>
    <row r="64" spans="1:33" x14ac:dyDescent="0.3">
      <c r="A64" s="103" t="s">
        <v>31</v>
      </c>
      <c r="B64" s="104">
        <f>B65+B66+B67</f>
        <v>70865.2</v>
      </c>
      <c r="C64" s="104">
        <f>C65+C66+C67</f>
        <v>22131.060000000005</v>
      </c>
      <c r="D64" s="104">
        <f>D65+D66+D67</f>
        <v>36131.509999999995</v>
      </c>
      <c r="E64" s="104">
        <f>E65+E66+E67</f>
        <v>36131.509999999995</v>
      </c>
      <c r="F64" s="105">
        <f>E64/B64*100</f>
        <v>50.986252772870181</v>
      </c>
      <c r="G64" s="105">
        <f>E64/C64*100</f>
        <v>163.26154282713972</v>
      </c>
      <c r="H64" s="104">
        <f>H65+H66+H67</f>
        <v>4455.3</v>
      </c>
      <c r="I64" s="104">
        <f t="shared" ref="I64:AE64" si="11">I65+I66+I67</f>
        <v>1704.55</v>
      </c>
      <c r="J64" s="104">
        <f t="shared" si="11"/>
        <v>5432.6</v>
      </c>
      <c r="K64" s="104">
        <f t="shared" si="11"/>
        <v>4745.9340000000002</v>
      </c>
      <c r="L64" s="104">
        <f t="shared" si="11"/>
        <v>5719.1</v>
      </c>
      <c r="M64" s="104">
        <f t="shared" si="11"/>
        <v>4342.8149999999996</v>
      </c>
      <c r="N64" s="104">
        <f t="shared" si="11"/>
        <v>6524.0599999999995</v>
      </c>
      <c r="O64" s="104">
        <f t="shared" si="11"/>
        <v>5519.4000000000005</v>
      </c>
      <c r="P64" s="104">
        <f t="shared" si="11"/>
        <v>5928.9</v>
      </c>
      <c r="Q64" s="104">
        <f t="shared" si="11"/>
        <v>6612.4440000000004</v>
      </c>
      <c r="R64" s="104">
        <f t="shared" si="11"/>
        <v>6768.2</v>
      </c>
      <c r="S64" s="104">
        <f t="shared" si="11"/>
        <v>6201.018</v>
      </c>
      <c r="T64" s="104">
        <f t="shared" si="11"/>
        <v>7220.2</v>
      </c>
      <c r="U64" s="104">
        <f t="shared" si="11"/>
        <v>7005.3490000000002</v>
      </c>
      <c r="V64" s="104">
        <f t="shared" si="11"/>
        <v>6677.84</v>
      </c>
      <c r="W64" s="104">
        <f t="shared" si="11"/>
        <v>0</v>
      </c>
      <c r="X64" s="104">
        <f t="shared" si="11"/>
        <v>6066.4</v>
      </c>
      <c r="Y64" s="104">
        <f t="shared" si="11"/>
        <v>0</v>
      </c>
      <c r="Z64" s="104">
        <f t="shared" si="11"/>
        <v>6496</v>
      </c>
      <c r="AA64" s="104">
        <f t="shared" si="11"/>
        <v>0</v>
      </c>
      <c r="AB64" s="104">
        <f t="shared" si="11"/>
        <v>5947.9</v>
      </c>
      <c r="AC64" s="104">
        <f t="shared" si="11"/>
        <v>0</v>
      </c>
      <c r="AD64" s="104">
        <f t="shared" si="11"/>
        <v>3628.7</v>
      </c>
      <c r="AE64" s="104">
        <f t="shared" si="11"/>
        <v>0</v>
      </c>
      <c r="AF64" s="101"/>
      <c r="AG64" s="102"/>
    </row>
    <row r="65" spans="1:33" x14ac:dyDescent="0.3">
      <c r="A65" s="106" t="s">
        <v>169</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1"/>
      <c r="AG65" s="102"/>
    </row>
    <row r="66" spans="1:33" x14ac:dyDescent="0.3">
      <c r="A66" s="106" t="s">
        <v>32</v>
      </c>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1"/>
      <c r="AG66" s="102"/>
    </row>
    <row r="67" spans="1:33" x14ac:dyDescent="0.3">
      <c r="A67" s="106" t="s">
        <v>33</v>
      </c>
      <c r="B67" s="107">
        <f>B73+B79+B85+B91+B97</f>
        <v>70865.2</v>
      </c>
      <c r="C67" s="107">
        <f>C73+C79+C85+C91+C97</f>
        <v>22131.060000000005</v>
      </c>
      <c r="D67" s="107">
        <f>D73+D79+D85+D91+D97</f>
        <v>36131.509999999995</v>
      </c>
      <c r="E67" s="107">
        <f>E73+E79+E85+E91+E97</f>
        <v>36131.509999999995</v>
      </c>
      <c r="F67" s="107">
        <f>E67/B67*100</f>
        <v>50.986252772870181</v>
      </c>
      <c r="G67" s="107">
        <f>IFERROR(E67/C67*100,0)</f>
        <v>163.26154282713972</v>
      </c>
      <c r="H67" s="107">
        <f>H73+H79+H85+H91+H97</f>
        <v>4455.3</v>
      </c>
      <c r="I67" s="107">
        <f t="shared" ref="I67:AE67" si="12">I73+I79+I85+I91+I97</f>
        <v>1704.55</v>
      </c>
      <c r="J67" s="107">
        <f t="shared" si="12"/>
        <v>5432.6</v>
      </c>
      <c r="K67" s="107">
        <f t="shared" si="12"/>
        <v>4745.9340000000002</v>
      </c>
      <c r="L67" s="107">
        <f t="shared" si="12"/>
        <v>5719.1</v>
      </c>
      <c r="M67" s="107">
        <f t="shared" si="12"/>
        <v>4342.8149999999996</v>
      </c>
      <c r="N67" s="107">
        <f t="shared" si="12"/>
        <v>6524.0599999999995</v>
      </c>
      <c r="O67" s="107">
        <f t="shared" si="12"/>
        <v>5519.4000000000005</v>
      </c>
      <c r="P67" s="107">
        <f t="shared" si="12"/>
        <v>5928.9</v>
      </c>
      <c r="Q67" s="107">
        <f t="shared" si="12"/>
        <v>6612.4440000000004</v>
      </c>
      <c r="R67" s="107">
        <f t="shared" si="12"/>
        <v>6768.2</v>
      </c>
      <c r="S67" s="107">
        <f t="shared" si="12"/>
        <v>6201.018</v>
      </c>
      <c r="T67" s="107">
        <f t="shared" si="12"/>
        <v>7220.2</v>
      </c>
      <c r="U67" s="107">
        <f t="shared" si="12"/>
        <v>7005.3490000000002</v>
      </c>
      <c r="V67" s="107">
        <f t="shared" si="12"/>
        <v>6677.84</v>
      </c>
      <c r="W67" s="107">
        <f t="shared" si="12"/>
        <v>0</v>
      </c>
      <c r="X67" s="107">
        <f t="shared" si="12"/>
        <v>6066.4</v>
      </c>
      <c r="Y67" s="107">
        <f t="shared" si="12"/>
        <v>0</v>
      </c>
      <c r="Z67" s="107">
        <f t="shared" si="12"/>
        <v>6496</v>
      </c>
      <c r="AA67" s="107">
        <f t="shared" si="12"/>
        <v>0</v>
      </c>
      <c r="AB67" s="107">
        <f t="shared" si="12"/>
        <v>5947.9</v>
      </c>
      <c r="AC67" s="107">
        <f t="shared" si="12"/>
        <v>0</v>
      </c>
      <c r="AD67" s="107">
        <f t="shared" si="12"/>
        <v>3628.7</v>
      </c>
      <c r="AE67" s="107">
        <f t="shared" si="12"/>
        <v>0</v>
      </c>
      <c r="AF67" s="101"/>
      <c r="AG67" s="102"/>
    </row>
    <row r="68" spans="1:33" x14ac:dyDescent="0.3">
      <c r="A68" s="106" t="s">
        <v>170</v>
      </c>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1"/>
      <c r="AG68" s="102"/>
    </row>
    <row r="69" spans="1:33" ht="37.5" x14ac:dyDescent="0.3">
      <c r="A69" s="108" t="s">
        <v>180</v>
      </c>
      <c r="B69" s="109"/>
      <c r="C69" s="110"/>
      <c r="D69" s="110"/>
      <c r="E69" s="110"/>
      <c r="F69" s="110"/>
      <c r="G69" s="110"/>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29"/>
      <c r="AG69" s="102"/>
    </row>
    <row r="70" spans="1:33" x14ac:dyDescent="0.3">
      <c r="A70" s="126" t="s">
        <v>31</v>
      </c>
      <c r="B70" s="642">
        <f>B72+B73+B71+B74</f>
        <v>314.7</v>
      </c>
      <c r="C70" s="642">
        <f>C72+C73+C71+C74</f>
        <v>0</v>
      </c>
      <c r="D70" s="113">
        <f>D72+D73+D71+D74</f>
        <v>0</v>
      </c>
      <c r="E70" s="113">
        <f>E72+E73+E71+E74</f>
        <v>0</v>
      </c>
      <c r="F70" s="113">
        <f>IFERROR(E70/B70*100,0)</f>
        <v>0</v>
      </c>
      <c r="G70" s="113">
        <f>IFERROR(E70/C70*100,0)</f>
        <v>0</v>
      </c>
      <c r="H70" s="113">
        <f t="shared" ref="H70:AE70" si="13">H72+H73+H71+H74</f>
        <v>0</v>
      </c>
      <c r="I70" s="113">
        <f t="shared" si="13"/>
        <v>0</v>
      </c>
      <c r="J70" s="113">
        <f t="shared" si="13"/>
        <v>0</v>
      </c>
      <c r="K70" s="113">
        <f t="shared" si="13"/>
        <v>0</v>
      </c>
      <c r="L70" s="113">
        <f t="shared" si="13"/>
        <v>0</v>
      </c>
      <c r="M70" s="113">
        <f t="shared" si="13"/>
        <v>0</v>
      </c>
      <c r="N70" s="113">
        <f t="shared" si="13"/>
        <v>0</v>
      </c>
      <c r="O70" s="113">
        <f t="shared" si="13"/>
        <v>0</v>
      </c>
      <c r="P70" s="113">
        <f t="shared" si="13"/>
        <v>0</v>
      </c>
      <c r="Q70" s="113">
        <f t="shared" si="13"/>
        <v>0</v>
      </c>
      <c r="R70" s="113">
        <f t="shared" si="13"/>
        <v>0</v>
      </c>
      <c r="S70" s="113">
        <f t="shared" si="13"/>
        <v>0</v>
      </c>
      <c r="T70" s="113">
        <f t="shared" si="13"/>
        <v>0</v>
      </c>
      <c r="U70" s="113">
        <f t="shared" si="13"/>
        <v>0</v>
      </c>
      <c r="V70" s="113">
        <f t="shared" si="13"/>
        <v>314.7</v>
      </c>
      <c r="W70" s="113">
        <f t="shared" si="13"/>
        <v>0</v>
      </c>
      <c r="X70" s="113">
        <f t="shared" si="13"/>
        <v>0</v>
      </c>
      <c r="Y70" s="113">
        <f t="shared" si="13"/>
        <v>0</v>
      </c>
      <c r="Z70" s="113">
        <f t="shared" si="13"/>
        <v>0</v>
      </c>
      <c r="AA70" s="113">
        <f t="shared" si="13"/>
        <v>0</v>
      </c>
      <c r="AB70" s="113">
        <f t="shared" si="13"/>
        <v>0</v>
      </c>
      <c r="AC70" s="113">
        <f t="shared" si="13"/>
        <v>0</v>
      </c>
      <c r="AD70" s="113">
        <f t="shared" si="13"/>
        <v>0</v>
      </c>
      <c r="AE70" s="113">
        <f t="shared" si="13"/>
        <v>0</v>
      </c>
      <c r="AF70" s="29"/>
      <c r="AG70" s="102"/>
    </row>
    <row r="71" spans="1:33" x14ac:dyDescent="0.3">
      <c r="A71" s="127" t="s">
        <v>169</v>
      </c>
      <c r="B71" s="116"/>
      <c r="C71" s="117"/>
      <c r="D71" s="118"/>
      <c r="E71" s="117"/>
      <c r="F71" s="116"/>
      <c r="G71" s="116"/>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29"/>
      <c r="AG71" s="102"/>
    </row>
    <row r="72" spans="1:33" x14ac:dyDescent="0.3">
      <c r="A72" s="127" t="s">
        <v>32</v>
      </c>
      <c r="B72" s="116"/>
      <c r="C72" s="117"/>
      <c r="D72" s="118"/>
      <c r="E72" s="117"/>
      <c r="F72" s="116"/>
      <c r="G72" s="116"/>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29"/>
      <c r="AG72" s="102"/>
    </row>
    <row r="73" spans="1:33" x14ac:dyDescent="0.3">
      <c r="A73" s="115" t="s">
        <v>33</v>
      </c>
      <c r="B73" s="643">
        <f>J73+L73+N73+P73+R73+T73+V73+X73+Z73+AB73+AD73+H73</f>
        <v>314.7</v>
      </c>
      <c r="C73" s="117">
        <f>SUM(H73)</f>
        <v>0</v>
      </c>
      <c r="D73" s="118">
        <f>E73</f>
        <v>0</v>
      </c>
      <c r="E73" s="117">
        <f>SUM(I73,K73,M73,O73,Q73,S73,U73,W73,Y73,AA73,AC73,AE73)</f>
        <v>0</v>
      </c>
      <c r="F73" s="116">
        <f>IFERROR(E73/B73*100,0)</f>
        <v>0</v>
      </c>
      <c r="G73" s="116">
        <f>IFERROR(E73/C73*100,0)</f>
        <v>0</v>
      </c>
      <c r="H73" s="111">
        <v>0</v>
      </c>
      <c r="I73" s="111">
        <v>0</v>
      </c>
      <c r="J73" s="111">
        <v>0</v>
      </c>
      <c r="K73" s="111">
        <v>0</v>
      </c>
      <c r="L73" s="111">
        <v>0</v>
      </c>
      <c r="M73" s="111">
        <v>0</v>
      </c>
      <c r="N73" s="111">
        <v>0</v>
      </c>
      <c r="O73" s="111">
        <v>0</v>
      </c>
      <c r="P73" s="111">
        <v>0</v>
      </c>
      <c r="Q73" s="111">
        <v>0</v>
      </c>
      <c r="R73" s="111">
        <v>0</v>
      </c>
      <c r="S73" s="111">
        <v>0</v>
      </c>
      <c r="T73" s="111">
        <v>0</v>
      </c>
      <c r="U73" s="111">
        <v>0</v>
      </c>
      <c r="V73" s="111">
        <v>314.7</v>
      </c>
      <c r="W73" s="111"/>
      <c r="X73" s="111"/>
      <c r="Y73" s="111"/>
      <c r="Z73" s="111"/>
      <c r="AA73" s="111"/>
      <c r="AB73" s="111"/>
      <c r="AC73" s="111"/>
      <c r="AD73" s="111"/>
      <c r="AE73" s="111"/>
      <c r="AF73" s="29"/>
      <c r="AG73" s="102"/>
    </row>
    <row r="74" spans="1:33" x14ac:dyDescent="0.3">
      <c r="A74" s="115" t="s">
        <v>170</v>
      </c>
      <c r="B74" s="116"/>
      <c r="C74" s="117"/>
      <c r="D74" s="118"/>
      <c r="E74" s="117"/>
      <c r="F74" s="116"/>
      <c r="G74" s="116"/>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29"/>
      <c r="AG74" s="102"/>
    </row>
    <row r="75" spans="1:33" ht="37.5" x14ac:dyDescent="0.3">
      <c r="A75" s="122" t="s">
        <v>181</v>
      </c>
      <c r="B75" s="113"/>
      <c r="C75" s="121"/>
      <c r="D75" s="121"/>
      <c r="E75" s="121"/>
      <c r="F75" s="121"/>
      <c r="G75" s="12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29"/>
      <c r="AG75" s="102"/>
    </row>
    <row r="76" spans="1:33" x14ac:dyDescent="0.3">
      <c r="A76" s="112" t="s">
        <v>31</v>
      </c>
      <c r="B76" s="642">
        <f>B78+B79+B77+B80</f>
        <v>66</v>
      </c>
      <c r="C76" s="642">
        <f>C78+C79+C77+C80</f>
        <v>0</v>
      </c>
      <c r="D76" s="113">
        <f>D78+D79+D77+D80</f>
        <v>66</v>
      </c>
      <c r="E76" s="113">
        <f>E78+E79+E77+E80</f>
        <v>66</v>
      </c>
      <c r="F76" s="113">
        <f>IFERROR(E76/B76*100,0)</f>
        <v>100</v>
      </c>
      <c r="G76" s="113">
        <f>IFERROR(E76/C76*100,0)</f>
        <v>0</v>
      </c>
      <c r="H76" s="113">
        <f t="shared" ref="H76:AE76" si="14">H78+H79+H77+H80</f>
        <v>0</v>
      </c>
      <c r="I76" s="113">
        <f t="shared" si="14"/>
        <v>0</v>
      </c>
      <c r="J76" s="113">
        <f t="shared" si="14"/>
        <v>0</v>
      </c>
      <c r="K76" s="113">
        <f t="shared" si="14"/>
        <v>0</v>
      </c>
      <c r="L76" s="113">
        <f t="shared" si="14"/>
        <v>0</v>
      </c>
      <c r="M76" s="113">
        <f t="shared" si="14"/>
        <v>0</v>
      </c>
      <c r="N76" s="113">
        <f t="shared" si="14"/>
        <v>0</v>
      </c>
      <c r="O76" s="113">
        <f t="shared" si="14"/>
        <v>0</v>
      </c>
      <c r="P76" s="113">
        <f t="shared" si="14"/>
        <v>66</v>
      </c>
      <c r="Q76" s="113">
        <f t="shared" si="14"/>
        <v>66</v>
      </c>
      <c r="R76" s="113">
        <f t="shared" si="14"/>
        <v>0</v>
      </c>
      <c r="S76" s="113">
        <f t="shared" si="14"/>
        <v>0</v>
      </c>
      <c r="T76" s="113">
        <f t="shared" si="14"/>
        <v>0</v>
      </c>
      <c r="U76" s="113">
        <f t="shared" si="14"/>
        <v>0</v>
      </c>
      <c r="V76" s="113">
        <f t="shared" si="14"/>
        <v>0</v>
      </c>
      <c r="W76" s="113">
        <f t="shared" si="14"/>
        <v>0</v>
      </c>
      <c r="X76" s="113">
        <f t="shared" si="14"/>
        <v>0</v>
      </c>
      <c r="Y76" s="113">
        <f t="shared" si="14"/>
        <v>0</v>
      </c>
      <c r="Z76" s="113">
        <f t="shared" si="14"/>
        <v>0</v>
      </c>
      <c r="AA76" s="113">
        <f t="shared" si="14"/>
        <v>0</v>
      </c>
      <c r="AB76" s="113">
        <f t="shared" si="14"/>
        <v>0</v>
      </c>
      <c r="AC76" s="113">
        <f t="shared" si="14"/>
        <v>0</v>
      </c>
      <c r="AD76" s="113">
        <f t="shared" si="14"/>
        <v>0</v>
      </c>
      <c r="AE76" s="113">
        <f t="shared" si="14"/>
        <v>0</v>
      </c>
      <c r="AF76" s="29"/>
      <c r="AG76" s="102"/>
    </row>
    <row r="77" spans="1:33" x14ac:dyDescent="0.3">
      <c r="A77" s="115" t="s">
        <v>169</v>
      </c>
      <c r="B77" s="116"/>
      <c r="C77" s="117"/>
      <c r="D77" s="118"/>
      <c r="E77" s="117"/>
      <c r="F77" s="116"/>
      <c r="G77" s="116"/>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29"/>
      <c r="AG77" s="102"/>
    </row>
    <row r="78" spans="1:33" x14ac:dyDescent="0.3">
      <c r="A78" s="115" t="s">
        <v>32</v>
      </c>
      <c r="B78" s="116"/>
      <c r="C78" s="117"/>
      <c r="D78" s="118"/>
      <c r="E78" s="117"/>
      <c r="F78" s="116"/>
      <c r="G78" s="116"/>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29"/>
      <c r="AG78" s="102"/>
    </row>
    <row r="79" spans="1:33" x14ac:dyDescent="0.3">
      <c r="A79" s="115" t="s">
        <v>33</v>
      </c>
      <c r="B79" s="643">
        <f>J79+L79+N79+P79+R79+T79+V79+X79+Z79+AB79+AD79+H79</f>
        <v>66</v>
      </c>
      <c r="C79" s="117">
        <f>SUM(H79)</f>
        <v>0</v>
      </c>
      <c r="D79" s="118">
        <f>E79</f>
        <v>66</v>
      </c>
      <c r="E79" s="117">
        <f>SUM(I79,K79,M79,O79,Q79,S79,U79,W79,Y79,AA79,AC79,AE79)</f>
        <v>66</v>
      </c>
      <c r="F79" s="116">
        <f>IFERROR(E79/B79*100,0)</f>
        <v>100</v>
      </c>
      <c r="G79" s="116">
        <f>IFERROR(E79/C79*100,0)</f>
        <v>0</v>
      </c>
      <c r="H79" s="111">
        <v>0</v>
      </c>
      <c r="I79" s="111">
        <v>0</v>
      </c>
      <c r="J79" s="111">
        <v>0</v>
      </c>
      <c r="K79" s="111">
        <v>0</v>
      </c>
      <c r="L79" s="111">
        <v>0</v>
      </c>
      <c r="M79" s="111">
        <v>0</v>
      </c>
      <c r="N79" s="111">
        <v>0</v>
      </c>
      <c r="O79" s="111">
        <v>0</v>
      </c>
      <c r="P79" s="111">
        <v>66</v>
      </c>
      <c r="Q79" s="111">
        <v>66</v>
      </c>
      <c r="R79" s="111">
        <v>0</v>
      </c>
      <c r="S79" s="111">
        <v>0</v>
      </c>
      <c r="T79" s="111">
        <v>0</v>
      </c>
      <c r="U79" s="111">
        <v>0</v>
      </c>
      <c r="V79" s="111"/>
      <c r="W79" s="111"/>
      <c r="X79" s="111"/>
      <c r="Y79" s="111"/>
      <c r="Z79" s="111"/>
      <c r="AA79" s="111"/>
      <c r="AB79" s="111"/>
      <c r="AC79" s="111"/>
      <c r="AD79" s="111"/>
      <c r="AE79" s="111"/>
      <c r="AF79" s="29"/>
      <c r="AG79" s="102"/>
    </row>
    <row r="80" spans="1:33" x14ac:dyDescent="0.3">
      <c r="A80" s="115" t="s">
        <v>170</v>
      </c>
      <c r="B80" s="116"/>
      <c r="C80" s="117"/>
      <c r="D80" s="118"/>
      <c r="E80" s="117"/>
      <c r="F80" s="116"/>
      <c r="G80" s="116"/>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29"/>
      <c r="AG80" s="102"/>
    </row>
    <row r="81" spans="1:33" ht="37.5" x14ac:dyDescent="0.3">
      <c r="A81" s="122" t="s">
        <v>182</v>
      </c>
      <c r="B81" s="113"/>
      <c r="C81" s="121"/>
      <c r="D81" s="121"/>
      <c r="E81" s="121"/>
      <c r="F81" s="121"/>
      <c r="G81" s="12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884"/>
      <c r="AG81" s="102"/>
    </row>
    <row r="82" spans="1:33" x14ac:dyDescent="0.3">
      <c r="A82" s="112" t="s">
        <v>31</v>
      </c>
      <c r="B82" s="796">
        <f>B84+B85+B83+B86</f>
        <v>500</v>
      </c>
      <c r="C82" s="796">
        <f>C84+C85+C83+C86</f>
        <v>345.6</v>
      </c>
      <c r="D82" s="113">
        <f>D84+D85+D83+D86</f>
        <v>345.56</v>
      </c>
      <c r="E82" s="113">
        <f>E84+E85+E83+E86</f>
        <v>345.56</v>
      </c>
      <c r="F82" s="113">
        <f>IFERROR(E82/B82*100,0)</f>
        <v>69.111999999999995</v>
      </c>
      <c r="G82" s="113">
        <f>IFERROR(E82/C82*100,0)</f>
        <v>99.988425925925924</v>
      </c>
      <c r="H82" s="113">
        <f t="shared" ref="H82:AE82" si="15">H84+H85+H83+H86</f>
        <v>0</v>
      </c>
      <c r="I82" s="113">
        <f t="shared" si="15"/>
        <v>0</v>
      </c>
      <c r="J82" s="113">
        <f t="shared" si="15"/>
        <v>0</v>
      </c>
      <c r="K82" s="113">
        <f t="shared" si="15"/>
        <v>0</v>
      </c>
      <c r="L82" s="113">
        <f t="shared" si="15"/>
        <v>169</v>
      </c>
      <c r="M82" s="113">
        <f t="shared" si="15"/>
        <v>109</v>
      </c>
      <c r="N82" s="113">
        <f t="shared" si="15"/>
        <v>176.6</v>
      </c>
      <c r="O82" s="113">
        <f t="shared" si="15"/>
        <v>176.56</v>
      </c>
      <c r="P82" s="113">
        <f t="shared" si="15"/>
        <v>0</v>
      </c>
      <c r="Q82" s="113">
        <f t="shared" si="15"/>
        <v>60</v>
      </c>
      <c r="R82" s="113">
        <f t="shared" si="15"/>
        <v>0</v>
      </c>
      <c r="S82" s="113">
        <f t="shared" si="15"/>
        <v>0</v>
      </c>
      <c r="T82" s="113">
        <f t="shared" si="15"/>
        <v>0</v>
      </c>
      <c r="U82" s="113">
        <f t="shared" si="15"/>
        <v>0</v>
      </c>
      <c r="V82" s="113">
        <f t="shared" si="15"/>
        <v>154.4</v>
      </c>
      <c r="W82" s="113">
        <f t="shared" si="15"/>
        <v>0</v>
      </c>
      <c r="X82" s="113">
        <f t="shared" si="15"/>
        <v>0</v>
      </c>
      <c r="Y82" s="113">
        <f t="shared" si="15"/>
        <v>0</v>
      </c>
      <c r="Z82" s="113">
        <f t="shared" si="15"/>
        <v>0</v>
      </c>
      <c r="AA82" s="113">
        <f t="shared" si="15"/>
        <v>0</v>
      </c>
      <c r="AB82" s="113">
        <f t="shared" si="15"/>
        <v>0</v>
      </c>
      <c r="AC82" s="113">
        <f t="shared" si="15"/>
        <v>0</v>
      </c>
      <c r="AD82" s="113">
        <f t="shared" si="15"/>
        <v>0</v>
      </c>
      <c r="AE82" s="113">
        <f t="shared" si="15"/>
        <v>0</v>
      </c>
      <c r="AF82" s="29"/>
      <c r="AG82" s="102"/>
    </row>
    <row r="83" spans="1:33" x14ac:dyDescent="0.3">
      <c r="A83" s="115" t="s">
        <v>169</v>
      </c>
      <c r="B83" s="798"/>
      <c r="C83" s="799"/>
      <c r="D83" s="118"/>
      <c r="E83" s="117"/>
      <c r="F83" s="116"/>
      <c r="G83" s="116"/>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29"/>
      <c r="AG83" s="102"/>
    </row>
    <row r="84" spans="1:33" x14ac:dyDescent="0.3">
      <c r="A84" s="115" t="s">
        <v>32</v>
      </c>
      <c r="B84" s="798"/>
      <c r="C84" s="799"/>
      <c r="D84" s="118"/>
      <c r="E84" s="117"/>
      <c r="F84" s="116"/>
      <c r="G84" s="116"/>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29"/>
      <c r="AG84" s="102"/>
    </row>
    <row r="85" spans="1:33" x14ac:dyDescent="0.3">
      <c r="A85" s="115" t="s">
        <v>33</v>
      </c>
      <c r="B85" s="798">
        <f>J85+L85+N85+P85+R85+T85+V85+X85+Z85+AB85+AD85+H85</f>
        <v>500</v>
      </c>
      <c r="C85" s="799">
        <f>SUM(H85+J85+L85+N85)</f>
        <v>345.6</v>
      </c>
      <c r="D85" s="118">
        <f>E85</f>
        <v>345.56</v>
      </c>
      <c r="E85" s="117">
        <f>SUM(I85,K85,M85,O85,Q85,S85,U85,W85,Y85,AA85,AC85,AE85)</f>
        <v>345.56</v>
      </c>
      <c r="F85" s="116">
        <f>IFERROR(E85/B85*100,0)</f>
        <v>69.111999999999995</v>
      </c>
      <c r="G85" s="116">
        <f>IFERROR(E85/C85*100,0)</f>
        <v>99.988425925925924</v>
      </c>
      <c r="H85" s="111">
        <v>0</v>
      </c>
      <c r="I85" s="111">
        <v>0</v>
      </c>
      <c r="J85" s="111">
        <v>0</v>
      </c>
      <c r="K85" s="111">
        <v>0</v>
      </c>
      <c r="L85" s="111">
        <v>169</v>
      </c>
      <c r="M85" s="111">
        <v>109</v>
      </c>
      <c r="N85" s="111">
        <v>176.6</v>
      </c>
      <c r="O85" s="111">
        <v>176.56</v>
      </c>
      <c r="P85" s="111">
        <v>0</v>
      </c>
      <c r="Q85" s="111">
        <v>60</v>
      </c>
      <c r="R85" s="111">
        <v>0</v>
      </c>
      <c r="S85" s="111">
        <v>0</v>
      </c>
      <c r="T85" s="111">
        <v>0</v>
      </c>
      <c r="U85" s="111">
        <v>0</v>
      </c>
      <c r="V85" s="111">
        <v>154.4</v>
      </c>
      <c r="W85" s="111"/>
      <c r="X85" s="111"/>
      <c r="Y85" s="111"/>
      <c r="Z85" s="111"/>
      <c r="AA85" s="111"/>
      <c r="AB85" s="111"/>
      <c r="AC85" s="111"/>
      <c r="AD85" s="111"/>
      <c r="AE85" s="111"/>
      <c r="AF85" s="29"/>
      <c r="AG85" s="102"/>
    </row>
    <row r="86" spans="1:33" x14ac:dyDescent="0.3">
      <c r="A86" s="115" t="s">
        <v>170</v>
      </c>
      <c r="B86" s="798"/>
      <c r="C86" s="799"/>
      <c r="D86" s="118"/>
      <c r="E86" s="117"/>
      <c r="F86" s="116"/>
      <c r="G86" s="116"/>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29"/>
      <c r="AG86" s="102"/>
    </row>
    <row r="87" spans="1:33" x14ac:dyDescent="0.3">
      <c r="A87" s="122" t="s">
        <v>183</v>
      </c>
      <c r="B87" s="798"/>
      <c r="C87" s="798"/>
      <c r="D87" s="123"/>
      <c r="E87" s="123"/>
      <c r="F87" s="123"/>
      <c r="G87" s="123"/>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884"/>
      <c r="AG87" s="102"/>
    </row>
    <row r="88" spans="1:33" x14ac:dyDescent="0.3">
      <c r="A88" s="112" t="s">
        <v>31</v>
      </c>
      <c r="B88" s="796">
        <f>B90+B91+B89+B92</f>
        <v>443.8</v>
      </c>
      <c r="C88" s="796">
        <f>C90+C91+C89+C92</f>
        <v>443.8</v>
      </c>
      <c r="D88" s="113">
        <f>D90+D91+D89+D92</f>
        <v>300</v>
      </c>
      <c r="E88" s="113">
        <f>E90+E91+E89+E92</f>
        <v>300</v>
      </c>
      <c r="F88" s="113">
        <f>IFERROR(E88/B88*100,0)</f>
        <v>67.598017124831003</v>
      </c>
      <c r="G88" s="113">
        <f>IFERROR(E88/C88*100,0)</f>
        <v>67.598017124831003</v>
      </c>
      <c r="H88" s="113">
        <f t="shared" ref="H88:AE88" si="16">H90+H91+H89+H92</f>
        <v>0</v>
      </c>
      <c r="I88" s="113">
        <f t="shared" si="16"/>
        <v>0</v>
      </c>
      <c r="J88" s="113">
        <f t="shared" si="16"/>
        <v>0</v>
      </c>
      <c r="K88" s="113">
        <f t="shared" si="16"/>
        <v>0</v>
      </c>
      <c r="L88" s="113">
        <f t="shared" si="16"/>
        <v>0</v>
      </c>
      <c r="M88" s="113">
        <f t="shared" si="16"/>
        <v>0</v>
      </c>
      <c r="N88" s="113">
        <f t="shared" si="16"/>
        <v>443.8</v>
      </c>
      <c r="O88" s="113">
        <f t="shared" si="16"/>
        <v>300</v>
      </c>
      <c r="P88" s="113">
        <f t="shared" si="16"/>
        <v>0</v>
      </c>
      <c r="Q88" s="113">
        <f t="shared" si="16"/>
        <v>0</v>
      </c>
      <c r="R88" s="113">
        <f t="shared" si="16"/>
        <v>0</v>
      </c>
      <c r="S88" s="113">
        <f t="shared" si="16"/>
        <v>0</v>
      </c>
      <c r="T88" s="113">
        <f t="shared" si="16"/>
        <v>0</v>
      </c>
      <c r="U88" s="113">
        <f t="shared" si="16"/>
        <v>0</v>
      </c>
      <c r="V88" s="113">
        <f t="shared" si="16"/>
        <v>0</v>
      </c>
      <c r="W88" s="113">
        <f t="shared" si="16"/>
        <v>0</v>
      </c>
      <c r="X88" s="113">
        <f t="shared" si="16"/>
        <v>0</v>
      </c>
      <c r="Y88" s="113">
        <f t="shared" si="16"/>
        <v>0</v>
      </c>
      <c r="Z88" s="113">
        <f t="shared" si="16"/>
        <v>0</v>
      </c>
      <c r="AA88" s="113">
        <f t="shared" si="16"/>
        <v>0</v>
      </c>
      <c r="AB88" s="113">
        <f t="shared" si="16"/>
        <v>0</v>
      </c>
      <c r="AC88" s="113">
        <f t="shared" si="16"/>
        <v>0</v>
      </c>
      <c r="AD88" s="113">
        <f t="shared" si="16"/>
        <v>0</v>
      </c>
      <c r="AE88" s="113">
        <f t="shared" si="16"/>
        <v>0</v>
      </c>
      <c r="AF88" s="29"/>
      <c r="AG88" s="102"/>
    </row>
    <row r="89" spans="1:33" x14ac:dyDescent="0.3">
      <c r="A89" s="115" t="s">
        <v>169</v>
      </c>
      <c r="B89" s="116"/>
      <c r="C89" s="117"/>
      <c r="D89" s="118"/>
      <c r="E89" s="117"/>
      <c r="F89" s="116"/>
      <c r="G89" s="116"/>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29"/>
      <c r="AG89" s="102"/>
    </row>
    <row r="90" spans="1:33" x14ac:dyDescent="0.3">
      <c r="A90" s="115" t="s">
        <v>32</v>
      </c>
      <c r="B90" s="116"/>
      <c r="C90" s="117"/>
      <c r="D90" s="118"/>
      <c r="E90" s="117"/>
      <c r="F90" s="116"/>
      <c r="G90" s="116"/>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29"/>
      <c r="AG90" s="102"/>
    </row>
    <row r="91" spans="1:33" x14ac:dyDescent="0.3">
      <c r="A91" s="115" t="s">
        <v>33</v>
      </c>
      <c r="B91" s="116">
        <f>J91+L91+N91+P91+R91+T91+V91+X91+Z91+AB91+AD91+H91</f>
        <v>443.8</v>
      </c>
      <c r="C91" s="117">
        <f>SUM(H91+N91)</f>
        <v>443.8</v>
      </c>
      <c r="D91" s="118">
        <f>E91</f>
        <v>300</v>
      </c>
      <c r="E91" s="117">
        <f>SUM(I91,K91,M91,O91,Q91,S91,U91,W91,Y91,AA91,AC91,AE91)</f>
        <v>300</v>
      </c>
      <c r="F91" s="116">
        <f>IFERROR(E91/B91*100,0)</f>
        <v>67.598017124831003</v>
      </c>
      <c r="G91" s="116">
        <f>IFERROR(E91/C91*100,0)</f>
        <v>67.598017124831003</v>
      </c>
      <c r="H91" s="111">
        <v>0</v>
      </c>
      <c r="I91" s="111">
        <v>0</v>
      </c>
      <c r="J91" s="111">
        <v>0</v>
      </c>
      <c r="K91" s="111">
        <v>0</v>
      </c>
      <c r="L91" s="111">
        <v>0</v>
      </c>
      <c r="M91" s="111">
        <v>0</v>
      </c>
      <c r="N91" s="111">
        <v>443.8</v>
      </c>
      <c r="O91" s="111">
        <v>300</v>
      </c>
      <c r="P91" s="111">
        <v>0</v>
      </c>
      <c r="Q91" s="111">
        <v>0</v>
      </c>
      <c r="R91" s="111">
        <v>0</v>
      </c>
      <c r="S91" s="111">
        <v>0</v>
      </c>
      <c r="T91" s="111">
        <v>0</v>
      </c>
      <c r="U91" s="111">
        <v>0</v>
      </c>
      <c r="V91" s="111"/>
      <c r="W91" s="111"/>
      <c r="X91" s="111"/>
      <c r="Y91" s="111"/>
      <c r="Z91" s="111"/>
      <c r="AA91" s="111"/>
      <c r="AB91" s="111"/>
      <c r="AC91" s="111"/>
      <c r="AD91" s="111"/>
      <c r="AE91" s="111"/>
      <c r="AF91" s="29"/>
      <c r="AG91" s="102"/>
    </row>
    <row r="92" spans="1:33" x14ac:dyDescent="0.3">
      <c r="A92" s="115" t="s">
        <v>170</v>
      </c>
      <c r="B92" s="116"/>
      <c r="C92" s="117"/>
      <c r="D92" s="118"/>
      <c r="E92" s="117"/>
      <c r="F92" s="116"/>
      <c r="G92" s="116"/>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29"/>
      <c r="AG92" s="102"/>
    </row>
    <row r="93" spans="1:33" ht="37.5" x14ac:dyDescent="0.3">
      <c r="A93" s="122" t="s">
        <v>184</v>
      </c>
      <c r="B93" s="113"/>
      <c r="C93" s="121"/>
      <c r="D93" s="121"/>
      <c r="E93" s="121"/>
      <c r="F93" s="121"/>
      <c r="G93" s="12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884"/>
      <c r="AG93" s="102"/>
    </row>
    <row r="94" spans="1:33" x14ac:dyDescent="0.3">
      <c r="A94" s="112" t="s">
        <v>31</v>
      </c>
      <c r="B94" s="642">
        <f>B96+B97+B95+B98</f>
        <v>69540.7</v>
      </c>
      <c r="C94" s="642">
        <f>C96+C97+C95+C98</f>
        <v>21341.660000000003</v>
      </c>
      <c r="D94" s="113">
        <f>D96+D97+D95+D98</f>
        <v>35419.949999999997</v>
      </c>
      <c r="E94" s="113">
        <f>E96+E97+E95+E98</f>
        <v>35419.949999999997</v>
      </c>
      <c r="F94" s="113">
        <f>IFERROR(E94/B94*100,0)</f>
        <v>50.934129222167734</v>
      </c>
      <c r="G94" s="113">
        <f>IFERROR(E94/C94*100,0)</f>
        <v>165.96623692814893</v>
      </c>
      <c r="H94" s="113">
        <f t="shared" ref="H94:AE94" si="17">H96+H97+H95+H98</f>
        <v>4455.3</v>
      </c>
      <c r="I94" s="113">
        <f t="shared" si="17"/>
        <v>1704.55</v>
      </c>
      <c r="J94" s="113">
        <f t="shared" si="17"/>
        <v>5432.6</v>
      </c>
      <c r="K94" s="113">
        <f t="shared" si="17"/>
        <v>4745.9340000000002</v>
      </c>
      <c r="L94" s="113">
        <f t="shared" si="17"/>
        <v>5550.1</v>
      </c>
      <c r="M94" s="113">
        <f t="shared" si="17"/>
        <v>4233.8149999999996</v>
      </c>
      <c r="N94" s="113">
        <f t="shared" si="17"/>
        <v>5903.66</v>
      </c>
      <c r="O94" s="113">
        <f t="shared" si="17"/>
        <v>5042.84</v>
      </c>
      <c r="P94" s="113">
        <f t="shared" si="17"/>
        <v>5862.9</v>
      </c>
      <c r="Q94" s="113">
        <f t="shared" si="17"/>
        <v>6486.4440000000004</v>
      </c>
      <c r="R94" s="113">
        <f t="shared" si="17"/>
        <v>6768.2</v>
      </c>
      <c r="S94" s="113">
        <f t="shared" si="17"/>
        <v>6201.018</v>
      </c>
      <c r="T94" s="113">
        <f t="shared" si="17"/>
        <v>7220.2</v>
      </c>
      <c r="U94" s="113">
        <f t="shared" si="17"/>
        <v>7005.3490000000002</v>
      </c>
      <c r="V94" s="113">
        <f t="shared" si="17"/>
        <v>6208.74</v>
      </c>
      <c r="W94" s="113">
        <f t="shared" si="17"/>
        <v>0</v>
      </c>
      <c r="X94" s="113">
        <f t="shared" si="17"/>
        <v>6066.4</v>
      </c>
      <c r="Y94" s="113">
        <f t="shared" si="17"/>
        <v>0</v>
      </c>
      <c r="Z94" s="113">
        <f t="shared" si="17"/>
        <v>6496</v>
      </c>
      <c r="AA94" s="113">
        <f t="shared" si="17"/>
        <v>0</v>
      </c>
      <c r="AB94" s="113">
        <f t="shared" si="17"/>
        <v>5947.9</v>
      </c>
      <c r="AC94" s="113">
        <f t="shared" si="17"/>
        <v>0</v>
      </c>
      <c r="AD94" s="113">
        <f t="shared" si="17"/>
        <v>3628.7</v>
      </c>
      <c r="AE94" s="113">
        <f t="shared" si="17"/>
        <v>0</v>
      </c>
      <c r="AF94" s="29"/>
      <c r="AG94" s="102"/>
    </row>
    <row r="95" spans="1:33" x14ac:dyDescent="0.3">
      <c r="A95" s="115" t="s">
        <v>169</v>
      </c>
      <c r="B95" s="116"/>
      <c r="C95" s="117"/>
      <c r="D95" s="118"/>
      <c r="E95" s="117"/>
      <c r="F95" s="116"/>
      <c r="G95" s="11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29"/>
      <c r="AG95" s="102"/>
    </row>
    <row r="96" spans="1:33" x14ac:dyDescent="0.3">
      <c r="A96" s="115" t="s">
        <v>32</v>
      </c>
      <c r="B96" s="116"/>
      <c r="C96" s="117"/>
      <c r="D96" s="118"/>
      <c r="E96" s="117"/>
      <c r="F96" s="116"/>
      <c r="G96" s="116"/>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29"/>
      <c r="AG96" s="102"/>
    </row>
    <row r="97" spans="1:33" x14ac:dyDescent="0.3">
      <c r="A97" s="115" t="s">
        <v>33</v>
      </c>
      <c r="B97" s="116">
        <f>J97+L97+N97+P97+R97+T97+V97+X97+Z97+AB97+AD97+H97</f>
        <v>69540.7</v>
      </c>
      <c r="C97" s="117">
        <f>SUM(H97+J97+L97+N97)</f>
        <v>21341.660000000003</v>
      </c>
      <c r="D97" s="118">
        <f>E97</f>
        <v>35419.949999999997</v>
      </c>
      <c r="E97" s="117">
        <f>SUM(I97,K97,M97,O97,Q97,S97,U97,W97,Y97,AA97,AC97,AE97)</f>
        <v>35419.949999999997</v>
      </c>
      <c r="F97" s="116">
        <f>IFERROR(E97/B97*100,0)</f>
        <v>50.934129222167734</v>
      </c>
      <c r="G97" s="116">
        <f>IFERROR(E97/C97*100,0)</f>
        <v>165.96623692814893</v>
      </c>
      <c r="H97" s="111">
        <v>4455.3</v>
      </c>
      <c r="I97" s="111">
        <v>1704.55</v>
      </c>
      <c r="J97" s="111">
        <v>5432.6</v>
      </c>
      <c r="K97" s="722">
        <v>4745.9340000000002</v>
      </c>
      <c r="L97" s="111">
        <v>5550.1</v>
      </c>
      <c r="M97" s="111">
        <v>4233.8149999999996</v>
      </c>
      <c r="N97" s="111">
        <v>5903.66</v>
      </c>
      <c r="O97" s="111">
        <v>5042.84</v>
      </c>
      <c r="P97" s="111">
        <v>5862.9</v>
      </c>
      <c r="Q97" s="883">
        <v>6486.4440000000004</v>
      </c>
      <c r="R97" s="111">
        <v>6768.2</v>
      </c>
      <c r="S97" s="111">
        <v>6201.018</v>
      </c>
      <c r="T97" s="111">
        <v>7220.2</v>
      </c>
      <c r="U97" s="111">
        <v>7005.3490000000002</v>
      </c>
      <c r="V97" s="111">
        <v>6208.74</v>
      </c>
      <c r="W97" s="111"/>
      <c r="X97" s="111">
        <v>6066.4</v>
      </c>
      <c r="Y97" s="111"/>
      <c r="Z97" s="111">
        <v>6496</v>
      </c>
      <c r="AA97" s="111"/>
      <c r="AB97" s="111">
        <v>5947.9</v>
      </c>
      <c r="AC97" s="111"/>
      <c r="AD97" s="111">
        <v>3628.7</v>
      </c>
      <c r="AE97" s="111"/>
      <c r="AF97" s="29"/>
      <c r="AG97" s="102"/>
    </row>
    <row r="98" spans="1:33" x14ac:dyDescent="0.3">
      <c r="A98" s="115" t="s">
        <v>170</v>
      </c>
      <c r="B98" s="116"/>
      <c r="C98" s="117"/>
      <c r="D98" s="118"/>
      <c r="E98" s="117"/>
      <c r="F98" s="116"/>
      <c r="G98" s="116"/>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29"/>
      <c r="AG98" s="102"/>
    </row>
    <row r="99" spans="1:33" ht="56.25" x14ac:dyDescent="0.3">
      <c r="A99" s="124" t="s">
        <v>185</v>
      </c>
      <c r="B99" s="104"/>
      <c r="C99" s="125"/>
      <c r="D99" s="125"/>
      <c r="E99" s="125"/>
      <c r="F99" s="125"/>
      <c r="G99" s="125"/>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1"/>
      <c r="AG99" s="102"/>
    </row>
    <row r="100" spans="1:33" x14ac:dyDescent="0.3">
      <c r="A100" s="128" t="s">
        <v>31</v>
      </c>
      <c r="B100" s="104">
        <f>B101+B102+B103+B104</f>
        <v>21330.495000000003</v>
      </c>
      <c r="C100" s="104">
        <f>C101+C102+C103</f>
        <v>4931.76</v>
      </c>
      <c r="D100" s="104">
        <f>D101+D102+D103</f>
        <v>20677.560000000001</v>
      </c>
      <c r="E100" s="104">
        <f>E101+E102+E103</f>
        <v>20677.560000000001</v>
      </c>
      <c r="F100" s="105">
        <f>IFERROR(E100/B100*100,0)</f>
        <v>96.938959925683861</v>
      </c>
      <c r="G100" s="105">
        <f>IFERROR(E100/C100*100,0)</f>
        <v>419.27344396320996</v>
      </c>
      <c r="H100" s="104">
        <f>H101+H102+H103+H104</f>
        <v>0</v>
      </c>
      <c r="I100" s="104">
        <f t="shared" ref="I100:AE100" si="18">I101+I102+I103+I104</f>
        <v>0</v>
      </c>
      <c r="J100" s="104">
        <f t="shared" si="18"/>
        <v>2745.02</v>
      </c>
      <c r="K100" s="104">
        <f t="shared" si="18"/>
        <v>72</v>
      </c>
      <c r="L100" s="104">
        <f t="shared" si="18"/>
        <v>1174.94</v>
      </c>
      <c r="M100" s="104">
        <f t="shared" si="18"/>
        <v>1577.99</v>
      </c>
      <c r="N100" s="104">
        <f t="shared" si="18"/>
        <v>1011.8</v>
      </c>
      <c r="O100" s="104">
        <f t="shared" si="18"/>
        <v>1089.1300000000001</v>
      </c>
      <c r="P100" s="104">
        <f t="shared" si="18"/>
        <v>15817</v>
      </c>
      <c r="Q100" s="104">
        <f t="shared" si="18"/>
        <v>99.9</v>
      </c>
      <c r="R100" s="104">
        <f t="shared" si="18"/>
        <v>153.1</v>
      </c>
      <c r="S100" s="104">
        <f t="shared" si="18"/>
        <v>1090.04</v>
      </c>
      <c r="T100" s="104">
        <f t="shared" si="18"/>
        <v>0</v>
      </c>
      <c r="U100" s="104">
        <f t="shared" si="18"/>
        <v>16748.5</v>
      </c>
      <c r="V100" s="104">
        <f t="shared" si="18"/>
        <v>30.87</v>
      </c>
      <c r="W100" s="104">
        <f t="shared" si="18"/>
        <v>0</v>
      </c>
      <c r="X100" s="104">
        <f t="shared" si="18"/>
        <v>27.524999999999999</v>
      </c>
      <c r="Y100" s="104">
        <f t="shared" si="18"/>
        <v>0</v>
      </c>
      <c r="Z100" s="104">
        <f t="shared" si="18"/>
        <v>136</v>
      </c>
      <c r="AA100" s="104">
        <f t="shared" si="18"/>
        <v>0</v>
      </c>
      <c r="AB100" s="104">
        <f t="shared" si="18"/>
        <v>35</v>
      </c>
      <c r="AC100" s="104">
        <f t="shared" si="18"/>
        <v>0</v>
      </c>
      <c r="AD100" s="104">
        <f t="shared" si="18"/>
        <v>199.24</v>
      </c>
      <c r="AE100" s="104">
        <f t="shared" si="18"/>
        <v>0</v>
      </c>
      <c r="AF100" s="101"/>
      <c r="AG100" s="102"/>
    </row>
    <row r="101" spans="1:33" x14ac:dyDescent="0.3">
      <c r="A101" s="129" t="s">
        <v>169</v>
      </c>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1"/>
      <c r="AG101" s="102"/>
    </row>
    <row r="102" spans="1:33" x14ac:dyDescent="0.3">
      <c r="A102" s="129" t="s">
        <v>32</v>
      </c>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1"/>
      <c r="AG102" s="102"/>
    </row>
    <row r="103" spans="1:33" x14ac:dyDescent="0.3">
      <c r="A103" s="129" t="s">
        <v>33</v>
      </c>
      <c r="B103" s="107">
        <f>B109+B115+B121</f>
        <v>21330.495000000003</v>
      </c>
      <c r="C103" s="107">
        <f>C109+C115+C121</f>
        <v>4931.76</v>
      </c>
      <c r="D103" s="107">
        <f>D109+D115+D121</f>
        <v>20677.560000000001</v>
      </c>
      <c r="E103" s="107">
        <f>E109+E115+E121</f>
        <v>20677.560000000001</v>
      </c>
      <c r="F103" s="107">
        <f>IFERROR(E103/B103*100,0)</f>
        <v>96.938959925683861</v>
      </c>
      <c r="G103" s="107">
        <f>IFERROR(E103/C103*100,0)</f>
        <v>419.27344396320996</v>
      </c>
      <c r="H103" s="107">
        <f>H109+H115+H121</f>
        <v>0</v>
      </c>
      <c r="I103" s="107">
        <f t="shared" ref="I103:AE104" si="19">I109+I115+I121</f>
        <v>0</v>
      </c>
      <c r="J103" s="107">
        <f t="shared" si="19"/>
        <v>2745.02</v>
      </c>
      <c r="K103" s="107">
        <f t="shared" si="19"/>
        <v>72</v>
      </c>
      <c r="L103" s="107">
        <f t="shared" si="19"/>
        <v>1174.94</v>
      </c>
      <c r="M103" s="107">
        <f t="shared" si="19"/>
        <v>1577.99</v>
      </c>
      <c r="N103" s="107">
        <f t="shared" si="19"/>
        <v>1011.8</v>
      </c>
      <c r="O103" s="107">
        <f t="shared" si="19"/>
        <v>1089.1300000000001</v>
      </c>
      <c r="P103" s="107">
        <f t="shared" si="19"/>
        <v>15817</v>
      </c>
      <c r="Q103" s="107">
        <f t="shared" si="19"/>
        <v>99.9</v>
      </c>
      <c r="R103" s="107">
        <f t="shared" si="19"/>
        <v>153.1</v>
      </c>
      <c r="S103" s="107">
        <f t="shared" si="19"/>
        <v>1090.04</v>
      </c>
      <c r="T103" s="107">
        <f t="shared" si="19"/>
        <v>0</v>
      </c>
      <c r="U103" s="107">
        <f t="shared" si="19"/>
        <v>16748.5</v>
      </c>
      <c r="V103" s="107">
        <f t="shared" si="19"/>
        <v>30.87</v>
      </c>
      <c r="W103" s="107">
        <f t="shared" si="19"/>
        <v>0</v>
      </c>
      <c r="X103" s="107">
        <f t="shared" si="19"/>
        <v>27.524999999999999</v>
      </c>
      <c r="Y103" s="107">
        <f t="shared" si="19"/>
        <v>0</v>
      </c>
      <c r="Z103" s="107">
        <f t="shared" si="19"/>
        <v>136</v>
      </c>
      <c r="AA103" s="107">
        <f t="shared" si="19"/>
        <v>0</v>
      </c>
      <c r="AB103" s="107">
        <f t="shared" si="19"/>
        <v>35</v>
      </c>
      <c r="AC103" s="107">
        <f t="shared" si="19"/>
        <v>0</v>
      </c>
      <c r="AD103" s="107">
        <f t="shared" si="19"/>
        <v>199.24</v>
      </c>
      <c r="AE103" s="107">
        <f t="shared" si="19"/>
        <v>0</v>
      </c>
      <c r="AF103" s="101"/>
      <c r="AG103" s="102"/>
    </row>
    <row r="104" spans="1:33" x14ac:dyDescent="0.3">
      <c r="A104" s="129" t="s">
        <v>170</v>
      </c>
      <c r="B104" s="107">
        <f>B110+B116+B122</f>
        <v>0</v>
      </c>
      <c r="C104" s="107"/>
      <c r="D104" s="107"/>
      <c r="E104" s="107"/>
      <c r="F104" s="107"/>
      <c r="G104" s="107"/>
      <c r="H104" s="107">
        <f>H110+H116+H122</f>
        <v>0</v>
      </c>
      <c r="I104" s="107">
        <f t="shared" si="19"/>
        <v>0</v>
      </c>
      <c r="J104" s="107">
        <f t="shared" si="19"/>
        <v>0</v>
      </c>
      <c r="K104" s="107">
        <f t="shared" si="19"/>
        <v>0</v>
      </c>
      <c r="L104" s="107">
        <f t="shared" si="19"/>
        <v>0</v>
      </c>
      <c r="M104" s="107">
        <f t="shared" si="19"/>
        <v>0</v>
      </c>
      <c r="N104" s="107">
        <f t="shared" si="19"/>
        <v>0</v>
      </c>
      <c r="O104" s="107">
        <f t="shared" si="19"/>
        <v>0</v>
      </c>
      <c r="P104" s="107">
        <f t="shared" si="19"/>
        <v>0</v>
      </c>
      <c r="Q104" s="107">
        <f t="shared" si="19"/>
        <v>0</v>
      </c>
      <c r="R104" s="107">
        <f t="shared" si="19"/>
        <v>0</v>
      </c>
      <c r="S104" s="107">
        <f t="shared" si="19"/>
        <v>0</v>
      </c>
      <c r="T104" s="107">
        <f t="shared" si="19"/>
        <v>0</v>
      </c>
      <c r="U104" s="107">
        <f t="shared" si="19"/>
        <v>0</v>
      </c>
      <c r="V104" s="107">
        <f t="shared" si="19"/>
        <v>0</v>
      </c>
      <c r="W104" s="107">
        <f t="shared" si="19"/>
        <v>0</v>
      </c>
      <c r="X104" s="107">
        <f t="shared" si="19"/>
        <v>0</v>
      </c>
      <c r="Y104" s="107">
        <f t="shared" si="19"/>
        <v>0</v>
      </c>
      <c r="Z104" s="107">
        <f t="shared" si="19"/>
        <v>0</v>
      </c>
      <c r="AA104" s="107">
        <f t="shared" si="19"/>
        <v>0</v>
      </c>
      <c r="AB104" s="107">
        <f t="shared" si="19"/>
        <v>0</v>
      </c>
      <c r="AC104" s="107">
        <f t="shared" si="19"/>
        <v>0</v>
      </c>
      <c r="AD104" s="107">
        <f t="shared" si="19"/>
        <v>0</v>
      </c>
      <c r="AE104" s="107">
        <f t="shared" si="19"/>
        <v>0</v>
      </c>
      <c r="AF104" s="101"/>
      <c r="AG104" s="102"/>
    </row>
    <row r="105" spans="1:33" ht="56.25" x14ac:dyDescent="0.3">
      <c r="A105" s="108" t="s">
        <v>186</v>
      </c>
      <c r="B105" s="130"/>
      <c r="C105" s="131"/>
      <c r="D105" s="131"/>
      <c r="E105" s="131"/>
      <c r="F105" s="131"/>
      <c r="G105" s="13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29"/>
      <c r="AG105" s="102"/>
    </row>
    <row r="106" spans="1:33" x14ac:dyDescent="0.3">
      <c r="A106" s="112" t="s">
        <v>31</v>
      </c>
      <c r="B106" s="796">
        <f>B108+B109+B107+B110</f>
        <v>18474.495000000003</v>
      </c>
      <c r="C106" s="113">
        <f>C108+C109+C107+C110</f>
        <v>2406.7600000000002</v>
      </c>
      <c r="D106" s="113">
        <f>D108+D109+D107+D110</f>
        <v>17821.560000000001</v>
      </c>
      <c r="E106" s="113">
        <f>E108+E109+E107+E110</f>
        <v>17821.560000000001</v>
      </c>
      <c r="F106" s="113">
        <f>IFERROR(E106/B106*100,0)</f>
        <v>96.46574913143769</v>
      </c>
      <c r="G106" s="113">
        <f>IFERROR(E106/C106*100,0)</f>
        <v>740.47931659160031</v>
      </c>
      <c r="H106" s="113">
        <f t="shared" ref="H106:AE106" si="20">H108+H109+H107+H110</f>
        <v>0</v>
      </c>
      <c r="I106" s="113">
        <f t="shared" si="20"/>
        <v>0</v>
      </c>
      <c r="J106" s="113">
        <f t="shared" si="20"/>
        <v>220.02</v>
      </c>
      <c r="K106" s="113">
        <f t="shared" si="20"/>
        <v>72</v>
      </c>
      <c r="L106" s="113">
        <f t="shared" si="20"/>
        <v>1174.94</v>
      </c>
      <c r="M106" s="113">
        <f t="shared" si="20"/>
        <v>315.49</v>
      </c>
      <c r="N106" s="113">
        <f t="shared" si="20"/>
        <v>1011.8</v>
      </c>
      <c r="O106" s="113">
        <f t="shared" si="20"/>
        <v>1089.1300000000001</v>
      </c>
      <c r="P106" s="113">
        <f t="shared" si="20"/>
        <v>15486</v>
      </c>
      <c r="Q106" s="113">
        <f t="shared" si="20"/>
        <v>99.9</v>
      </c>
      <c r="R106" s="113">
        <f t="shared" si="20"/>
        <v>153.1</v>
      </c>
      <c r="S106" s="113">
        <f t="shared" si="20"/>
        <v>759.04</v>
      </c>
      <c r="T106" s="113">
        <f t="shared" si="20"/>
        <v>0</v>
      </c>
      <c r="U106" s="113">
        <f t="shared" si="20"/>
        <v>15486</v>
      </c>
      <c r="V106" s="113">
        <f t="shared" si="20"/>
        <v>30.87</v>
      </c>
      <c r="W106" s="113">
        <f t="shared" si="20"/>
        <v>0</v>
      </c>
      <c r="X106" s="113">
        <f t="shared" si="20"/>
        <v>27.524999999999999</v>
      </c>
      <c r="Y106" s="113">
        <f t="shared" si="20"/>
        <v>0</v>
      </c>
      <c r="Z106" s="113">
        <f t="shared" si="20"/>
        <v>136</v>
      </c>
      <c r="AA106" s="113">
        <f t="shared" si="20"/>
        <v>0</v>
      </c>
      <c r="AB106" s="113">
        <f t="shared" si="20"/>
        <v>35</v>
      </c>
      <c r="AC106" s="113">
        <f t="shared" si="20"/>
        <v>0</v>
      </c>
      <c r="AD106" s="113">
        <f t="shared" si="20"/>
        <v>199.24</v>
      </c>
      <c r="AE106" s="113">
        <f t="shared" si="20"/>
        <v>0</v>
      </c>
      <c r="AF106" s="1027"/>
      <c r="AG106" s="102"/>
    </row>
    <row r="107" spans="1:33" x14ac:dyDescent="0.3">
      <c r="A107" s="115" t="s">
        <v>169</v>
      </c>
      <c r="B107" s="116"/>
      <c r="C107" s="117"/>
      <c r="D107" s="118"/>
      <c r="E107" s="117"/>
      <c r="F107" s="116"/>
      <c r="G107" s="116"/>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025"/>
      <c r="AG107" s="102"/>
    </row>
    <row r="108" spans="1:33" x14ac:dyDescent="0.3">
      <c r="A108" s="115" t="s">
        <v>32</v>
      </c>
      <c r="B108" s="116"/>
      <c r="C108" s="117"/>
      <c r="D108" s="118"/>
      <c r="E108" s="117"/>
      <c r="F108" s="116"/>
      <c r="G108" s="116"/>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025"/>
      <c r="AG108" s="102"/>
    </row>
    <row r="109" spans="1:33" x14ac:dyDescent="0.3">
      <c r="A109" s="115" t="s">
        <v>33</v>
      </c>
      <c r="B109" s="116">
        <f>J109+L109+N109+P109+R109+T109+V109+X109+Z109+AB109+AD109+H109</f>
        <v>18474.495000000003</v>
      </c>
      <c r="C109" s="117">
        <f>SUM(H109+J109+L109+N109)</f>
        <v>2406.7600000000002</v>
      </c>
      <c r="D109" s="118">
        <f>E109</f>
        <v>17821.560000000001</v>
      </c>
      <c r="E109" s="117">
        <f>SUM(I109,K109,M109,O109,Q109,S109,U109,W109,Y109,AA109,AC109,AE109)</f>
        <v>17821.560000000001</v>
      </c>
      <c r="F109" s="116">
        <f>IFERROR(E109/B109*100,0)</f>
        <v>96.46574913143769</v>
      </c>
      <c r="G109" s="116">
        <f>IFERROR(E109/C109*100,0)</f>
        <v>740.47931659160031</v>
      </c>
      <c r="H109" s="111">
        <v>0</v>
      </c>
      <c r="I109" s="111">
        <v>0</v>
      </c>
      <c r="J109" s="111">
        <v>220.02</v>
      </c>
      <c r="K109" s="111">
        <v>72</v>
      </c>
      <c r="L109" s="111">
        <v>1174.94</v>
      </c>
      <c r="M109" s="111">
        <v>315.49</v>
      </c>
      <c r="N109" s="111">
        <v>1011.8</v>
      </c>
      <c r="O109" s="111">
        <v>1089.1300000000001</v>
      </c>
      <c r="P109" s="111">
        <v>15486</v>
      </c>
      <c r="Q109" s="111">
        <v>99.9</v>
      </c>
      <c r="R109" s="111">
        <v>153.1</v>
      </c>
      <c r="S109" s="111">
        <v>759.04</v>
      </c>
      <c r="T109" s="111">
        <v>0</v>
      </c>
      <c r="U109" s="111">
        <v>15486</v>
      </c>
      <c r="V109" s="111">
        <v>30.87</v>
      </c>
      <c r="W109" s="111"/>
      <c r="X109" s="111">
        <v>27.524999999999999</v>
      </c>
      <c r="Y109" s="111"/>
      <c r="Z109" s="111">
        <v>136</v>
      </c>
      <c r="AA109" s="111"/>
      <c r="AB109" s="111">
        <v>35</v>
      </c>
      <c r="AC109" s="111"/>
      <c r="AD109" s="111">
        <v>199.24</v>
      </c>
      <c r="AE109" s="111"/>
      <c r="AF109" s="1026"/>
      <c r="AG109" s="102"/>
    </row>
    <row r="110" spans="1:33" x14ac:dyDescent="0.3">
      <c r="A110" s="122" t="s">
        <v>170</v>
      </c>
      <c r="B110" s="116"/>
      <c r="C110" s="117"/>
      <c r="D110" s="118"/>
      <c r="E110" s="117"/>
      <c r="F110" s="116"/>
      <c r="G110" s="116"/>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29"/>
      <c r="AG110" s="102"/>
    </row>
    <row r="111" spans="1:33" ht="56.25" x14ac:dyDescent="0.3">
      <c r="A111" s="127" t="s">
        <v>187</v>
      </c>
      <c r="B111" s="130"/>
      <c r="C111" s="131"/>
      <c r="D111" s="131"/>
      <c r="E111" s="131"/>
      <c r="F111" s="131"/>
      <c r="G111" s="13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842"/>
      <c r="AG111" s="102"/>
    </row>
    <row r="112" spans="1:33" x14ac:dyDescent="0.3">
      <c r="A112" s="112" t="s">
        <v>31</v>
      </c>
      <c r="B112" s="796">
        <f>B114+B115+B113+B116</f>
        <v>2525</v>
      </c>
      <c r="C112" s="796">
        <f>C114+C115+C113+C116</f>
        <v>2525</v>
      </c>
      <c r="D112" s="113">
        <f>D114+D115+D113+D116</f>
        <v>2525</v>
      </c>
      <c r="E112" s="113">
        <f>E114+E115+E113+E116</f>
        <v>2525</v>
      </c>
      <c r="F112" s="113">
        <f>IFERROR(E112/B112*100,0)</f>
        <v>100</v>
      </c>
      <c r="G112" s="113">
        <f>IFERROR(E112/C112*100,0)</f>
        <v>100</v>
      </c>
      <c r="H112" s="113">
        <f t="shared" ref="H112:AE112" si="21">H114+H115+H113+H116</f>
        <v>0</v>
      </c>
      <c r="I112" s="113">
        <f t="shared" si="21"/>
        <v>0</v>
      </c>
      <c r="J112" s="113">
        <f t="shared" si="21"/>
        <v>2525</v>
      </c>
      <c r="K112" s="113">
        <f t="shared" si="21"/>
        <v>0</v>
      </c>
      <c r="L112" s="113">
        <f t="shared" si="21"/>
        <v>0</v>
      </c>
      <c r="M112" s="113">
        <f t="shared" si="21"/>
        <v>1262.5</v>
      </c>
      <c r="N112" s="113">
        <f t="shared" si="21"/>
        <v>0</v>
      </c>
      <c r="O112" s="113">
        <f t="shared" si="21"/>
        <v>0</v>
      </c>
      <c r="P112" s="113">
        <f t="shared" si="21"/>
        <v>0</v>
      </c>
      <c r="Q112" s="113">
        <f t="shared" si="21"/>
        <v>0</v>
      </c>
      <c r="R112" s="113">
        <f t="shared" si="21"/>
        <v>0</v>
      </c>
      <c r="S112" s="113">
        <f t="shared" si="21"/>
        <v>0</v>
      </c>
      <c r="T112" s="113">
        <f t="shared" si="21"/>
        <v>0</v>
      </c>
      <c r="U112" s="113">
        <f t="shared" si="21"/>
        <v>1262.5</v>
      </c>
      <c r="V112" s="113">
        <f t="shared" si="21"/>
        <v>0</v>
      </c>
      <c r="W112" s="113">
        <f t="shared" si="21"/>
        <v>0</v>
      </c>
      <c r="X112" s="113">
        <f t="shared" si="21"/>
        <v>0</v>
      </c>
      <c r="Y112" s="113">
        <f t="shared" si="21"/>
        <v>0</v>
      </c>
      <c r="Z112" s="113">
        <f t="shared" si="21"/>
        <v>0</v>
      </c>
      <c r="AA112" s="113">
        <f t="shared" si="21"/>
        <v>0</v>
      </c>
      <c r="AB112" s="113">
        <f t="shared" si="21"/>
        <v>0</v>
      </c>
      <c r="AC112" s="113">
        <f t="shared" si="21"/>
        <v>0</v>
      </c>
      <c r="AD112" s="113">
        <f t="shared" si="21"/>
        <v>0</v>
      </c>
      <c r="AE112" s="113">
        <f t="shared" si="21"/>
        <v>0</v>
      </c>
      <c r="AF112" s="29"/>
      <c r="AG112" s="102"/>
    </row>
    <row r="113" spans="1:33" x14ac:dyDescent="0.3">
      <c r="A113" s="115" t="s">
        <v>169</v>
      </c>
      <c r="B113" s="116">
        <f>H113+J113+L113+N113+P113+R113+T113+V113+X113+Z113+AB113+AD113</f>
        <v>0</v>
      </c>
      <c r="C113" s="799">
        <f>SUM(H113)</f>
        <v>0</v>
      </c>
      <c r="D113" s="118">
        <f>E113</f>
        <v>0</v>
      </c>
      <c r="E113" s="117">
        <f>SUM(I113,K113,M113,O113,Q113,S113,U113,W113,Y113,AA113,AC113,AE113)</f>
        <v>0</v>
      </c>
      <c r="F113" s="116">
        <f>IFERROR(E113/B113*100,0)</f>
        <v>0</v>
      </c>
      <c r="G113" s="116">
        <f>IFERROR(E113/C113*100,0)</f>
        <v>0</v>
      </c>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29"/>
      <c r="AG113" s="102"/>
    </row>
    <row r="114" spans="1:33" x14ac:dyDescent="0.3">
      <c r="A114" s="115" t="s">
        <v>32</v>
      </c>
      <c r="B114" s="116">
        <f>J114+L114+N114+P114+R114+T114+V114+X114+Z114+AB114+AD114+H114</f>
        <v>0</v>
      </c>
      <c r="C114" s="799">
        <f>SUM(H114)</f>
        <v>0</v>
      </c>
      <c r="D114" s="118">
        <f>E114</f>
        <v>0</v>
      </c>
      <c r="E114" s="117">
        <f>SUM(I114,K114,M114,O114,Q114,S114,U114,W114,Y114,AA114,AC114,AE114)</f>
        <v>0</v>
      </c>
      <c r="F114" s="116">
        <f>IFERROR(E114/B114*100,0)</f>
        <v>0</v>
      </c>
      <c r="G114" s="116">
        <f>IFERROR(E114/C114*100,0)</f>
        <v>0</v>
      </c>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29"/>
      <c r="AG114" s="102"/>
    </row>
    <row r="115" spans="1:33" x14ac:dyDescent="0.3">
      <c r="A115" s="115" t="s">
        <v>33</v>
      </c>
      <c r="B115" s="116">
        <f>J115+L115+N115+P115+R115+T115+V115+X115+Z115+AB115+AD115+H115</f>
        <v>2525</v>
      </c>
      <c r="C115" s="799">
        <f>SUM(H115+J115+L115)</f>
        <v>2525</v>
      </c>
      <c r="D115" s="118">
        <f>E115</f>
        <v>2525</v>
      </c>
      <c r="E115" s="117">
        <f>SUM(I115,K115,M115,O115,Q115,S115,U115,W115,Y115,AA115,AC115,AE115)</f>
        <v>2525</v>
      </c>
      <c r="F115" s="116">
        <f>IFERROR(E115/B115*100,0)</f>
        <v>100</v>
      </c>
      <c r="G115" s="116">
        <f>IFERROR(E115/C115*100,0)</f>
        <v>100</v>
      </c>
      <c r="H115" s="111">
        <v>0</v>
      </c>
      <c r="I115" s="111">
        <v>0</v>
      </c>
      <c r="J115" s="111">
        <v>2525</v>
      </c>
      <c r="K115" s="111">
        <v>0</v>
      </c>
      <c r="L115" s="111">
        <v>0</v>
      </c>
      <c r="M115" s="111">
        <v>1262.5</v>
      </c>
      <c r="N115" s="111">
        <v>0</v>
      </c>
      <c r="O115" s="111">
        <v>0</v>
      </c>
      <c r="P115" s="111">
        <v>0</v>
      </c>
      <c r="Q115" s="111">
        <v>0</v>
      </c>
      <c r="R115" s="111">
        <v>0</v>
      </c>
      <c r="S115" s="111">
        <v>0</v>
      </c>
      <c r="T115" s="111">
        <v>0</v>
      </c>
      <c r="U115" s="111">
        <v>1262.5</v>
      </c>
      <c r="V115" s="111"/>
      <c r="W115" s="111"/>
      <c r="X115" s="111"/>
      <c r="Y115" s="111"/>
      <c r="Z115" s="111"/>
      <c r="AA115" s="111"/>
      <c r="AB115" s="111"/>
      <c r="AC115" s="111"/>
      <c r="AD115" s="111"/>
      <c r="AE115" s="111"/>
      <c r="AF115" s="29"/>
      <c r="AG115" s="102"/>
    </row>
    <row r="116" spans="1:33" x14ac:dyDescent="0.3">
      <c r="A116" s="122" t="s">
        <v>170</v>
      </c>
      <c r="B116" s="116">
        <f>J116+L116+N116+P116+R116+T116+V116+X116+Z116+AB116+AD116+H116</f>
        <v>0</v>
      </c>
      <c r="C116" s="117">
        <f>SUM(H116)</f>
        <v>0</v>
      </c>
      <c r="D116" s="118">
        <f>E116</f>
        <v>0</v>
      </c>
      <c r="E116" s="117">
        <f>SUM(I116,K116,M116,O116,Q116,S116,U116,W116,Y116,AA116,AC116,AE116)</f>
        <v>0</v>
      </c>
      <c r="F116" s="116">
        <f>IFERROR(E116/B116*100,0)</f>
        <v>0</v>
      </c>
      <c r="G116" s="116">
        <f>IFERROR(E116/C116*100,0)</f>
        <v>0</v>
      </c>
      <c r="H116" s="111"/>
      <c r="I116" s="111"/>
      <c r="J116" s="111"/>
      <c r="K116" s="111">
        <v>0</v>
      </c>
      <c r="L116" s="111"/>
      <c r="M116" s="111"/>
      <c r="N116" s="111"/>
      <c r="O116" s="111"/>
      <c r="P116" s="111"/>
      <c r="Q116" s="111"/>
      <c r="R116" s="111"/>
      <c r="S116" s="111"/>
      <c r="T116" s="111"/>
      <c r="U116" s="111"/>
      <c r="V116" s="111"/>
      <c r="W116" s="111"/>
      <c r="X116" s="111"/>
      <c r="Y116" s="111"/>
      <c r="Z116" s="111"/>
      <c r="AA116" s="111"/>
      <c r="AB116" s="111"/>
      <c r="AC116" s="111"/>
      <c r="AD116" s="111"/>
      <c r="AE116" s="111"/>
      <c r="AF116" s="29"/>
      <c r="AG116" s="102"/>
    </row>
    <row r="117" spans="1:33" ht="56.25" x14ac:dyDescent="0.3">
      <c r="A117" s="122" t="s">
        <v>188</v>
      </c>
      <c r="B117" s="116"/>
      <c r="C117" s="123"/>
      <c r="D117" s="123"/>
      <c r="E117" s="123"/>
      <c r="F117" s="123"/>
      <c r="G117" s="123"/>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886"/>
      <c r="AG117" s="102"/>
    </row>
    <row r="118" spans="1:33" x14ac:dyDescent="0.3">
      <c r="A118" s="112" t="s">
        <v>31</v>
      </c>
      <c r="B118" s="796">
        <f>B120+B121+B119+B122</f>
        <v>331</v>
      </c>
      <c r="C118" s="796">
        <f>C120+C121+C119+C122</f>
        <v>0</v>
      </c>
      <c r="D118" s="796">
        <f>D120+D121+D119+D122</f>
        <v>331</v>
      </c>
      <c r="E118" s="113">
        <f>E120+E121+E119+E122</f>
        <v>331</v>
      </c>
      <c r="F118" s="113">
        <f>IFERROR(E118/B118*100,0)</f>
        <v>100</v>
      </c>
      <c r="G118" s="113">
        <f>IFERROR(E118/C118*100,0)</f>
        <v>0</v>
      </c>
      <c r="H118" s="113">
        <f t="shared" ref="H118:AE118" si="22">H120+H121+H119+H122</f>
        <v>0</v>
      </c>
      <c r="I118" s="113">
        <f t="shared" si="22"/>
        <v>0</v>
      </c>
      <c r="J118" s="113">
        <f t="shared" si="22"/>
        <v>0</v>
      </c>
      <c r="K118" s="113">
        <f t="shared" si="22"/>
        <v>0</v>
      </c>
      <c r="L118" s="113">
        <f t="shared" si="22"/>
        <v>0</v>
      </c>
      <c r="M118" s="113">
        <f t="shared" si="22"/>
        <v>0</v>
      </c>
      <c r="N118" s="113">
        <f t="shared" si="22"/>
        <v>0</v>
      </c>
      <c r="O118" s="113">
        <f t="shared" si="22"/>
        <v>0</v>
      </c>
      <c r="P118" s="113">
        <f t="shared" si="22"/>
        <v>331</v>
      </c>
      <c r="Q118" s="113">
        <f t="shared" si="22"/>
        <v>0</v>
      </c>
      <c r="R118" s="113">
        <f t="shared" si="22"/>
        <v>0</v>
      </c>
      <c r="S118" s="113">
        <f t="shared" si="22"/>
        <v>331</v>
      </c>
      <c r="T118" s="113">
        <f t="shared" si="22"/>
        <v>0</v>
      </c>
      <c r="U118" s="113">
        <f t="shared" si="22"/>
        <v>0</v>
      </c>
      <c r="V118" s="113">
        <f t="shared" si="22"/>
        <v>0</v>
      </c>
      <c r="W118" s="113">
        <f t="shared" si="22"/>
        <v>0</v>
      </c>
      <c r="X118" s="113">
        <f t="shared" si="22"/>
        <v>0</v>
      </c>
      <c r="Y118" s="113">
        <f t="shared" si="22"/>
        <v>0</v>
      </c>
      <c r="Z118" s="113">
        <f t="shared" si="22"/>
        <v>0</v>
      </c>
      <c r="AA118" s="113">
        <f t="shared" si="22"/>
        <v>0</v>
      </c>
      <c r="AB118" s="113">
        <f t="shared" si="22"/>
        <v>0</v>
      </c>
      <c r="AC118" s="113">
        <f t="shared" si="22"/>
        <v>0</v>
      </c>
      <c r="AD118" s="113">
        <f t="shared" si="22"/>
        <v>0</v>
      </c>
      <c r="AE118" s="113">
        <f t="shared" si="22"/>
        <v>0</v>
      </c>
      <c r="AF118" s="29"/>
      <c r="AG118" s="102"/>
    </row>
    <row r="119" spans="1:33" x14ac:dyDescent="0.3">
      <c r="A119" s="115" t="s">
        <v>169</v>
      </c>
      <c r="B119" s="116">
        <f>H119+J119+L119+N119+P119+R119+T119+V119+X119+Z119+AB119+AD119</f>
        <v>0</v>
      </c>
      <c r="C119" s="117">
        <f>SUM(H119)</f>
        <v>0</v>
      </c>
      <c r="D119" s="118">
        <f>E119</f>
        <v>0</v>
      </c>
      <c r="E119" s="117">
        <f>SUM(I119,K119,M119,O119,Q119,S119,U119,W119,Y119,AA119,AC119,AE119)</f>
        <v>0</v>
      </c>
      <c r="F119" s="116">
        <f>IFERROR(E119/B119*100,0)</f>
        <v>0</v>
      </c>
      <c r="G119" s="116">
        <f>IFERROR(E119/C119*100,0)</f>
        <v>0</v>
      </c>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29"/>
      <c r="AG119" s="102"/>
    </row>
    <row r="120" spans="1:33" x14ac:dyDescent="0.3">
      <c r="A120" s="115" t="s">
        <v>32</v>
      </c>
      <c r="B120" s="116">
        <f>J120+L120+N120+P120+R120+T120+V120+X120+Z120+AB120+AD120+H120</f>
        <v>0</v>
      </c>
      <c r="C120" s="117">
        <f>SUM(H120)</f>
        <v>0</v>
      </c>
      <c r="D120" s="118">
        <f>E120</f>
        <v>0</v>
      </c>
      <c r="E120" s="117">
        <f>SUM(I120,K120,M120,O120,Q120,S120,U120,W120,Y120,AA120,AC120,AE120)</f>
        <v>0</v>
      </c>
      <c r="F120" s="116">
        <f>IFERROR(E120/B120*100,0)</f>
        <v>0</v>
      </c>
      <c r="G120" s="116">
        <f>IFERROR(E120/C120*100,0)</f>
        <v>0</v>
      </c>
      <c r="H120" s="111">
        <v>0</v>
      </c>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29"/>
      <c r="AG120" s="102"/>
    </row>
    <row r="121" spans="1:33" x14ac:dyDescent="0.3">
      <c r="A121" s="115" t="s">
        <v>33</v>
      </c>
      <c r="B121" s="116">
        <f>J121+L121+N121+P121+R121+T121+V121+X121+Z121+AB121+AD121+H121</f>
        <v>331</v>
      </c>
      <c r="C121" s="117">
        <f>SUM(H121)</f>
        <v>0</v>
      </c>
      <c r="D121" s="118">
        <f>E121</f>
        <v>331</v>
      </c>
      <c r="E121" s="117">
        <f>SUM(I121,K121,M121,O121,Q121,S121,U121,W121,Y121,AA121,AC121,AE121)</f>
        <v>331</v>
      </c>
      <c r="F121" s="116">
        <f>IFERROR(E121/B121*100,0)</f>
        <v>100</v>
      </c>
      <c r="G121" s="116">
        <f>IFERROR(E121/C121*100,0)</f>
        <v>0</v>
      </c>
      <c r="H121" s="111">
        <v>0</v>
      </c>
      <c r="I121" s="111">
        <v>0</v>
      </c>
      <c r="J121" s="111">
        <v>0</v>
      </c>
      <c r="K121" s="111">
        <v>0</v>
      </c>
      <c r="L121" s="111">
        <v>0</v>
      </c>
      <c r="M121" s="111">
        <v>0</v>
      </c>
      <c r="N121" s="111">
        <v>0</v>
      </c>
      <c r="O121" s="111">
        <v>0</v>
      </c>
      <c r="P121" s="111">
        <v>331</v>
      </c>
      <c r="Q121" s="111">
        <v>0</v>
      </c>
      <c r="R121" s="111">
        <v>0</v>
      </c>
      <c r="S121" s="111">
        <v>331</v>
      </c>
      <c r="T121" s="111">
        <v>0</v>
      </c>
      <c r="U121" s="111">
        <v>0</v>
      </c>
      <c r="V121" s="111"/>
      <c r="W121" s="111"/>
      <c r="X121" s="111"/>
      <c r="Y121" s="111"/>
      <c r="Z121" s="111"/>
      <c r="AA121" s="111"/>
      <c r="AB121" s="111"/>
      <c r="AC121" s="111"/>
      <c r="AD121" s="111"/>
      <c r="AE121" s="111"/>
      <c r="AF121" s="29"/>
      <c r="AG121" s="102"/>
    </row>
    <row r="122" spans="1:33" x14ac:dyDescent="0.3">
      <c r="A122" s="122" t="s">
        <v>170</v>
      </c>
      <c r="B122" s="116">
        <f>J122+L122+N122+P122+R122+T122+V122+X122+Z122+AB122+AD122+H122</f>
        <v>0</v>
      </c>
      <c r="C122" s="117">
        <f>SUM(H122)</f>
        <v>0</v>
      </c>
      <c r="D122" s="118">
        <f>E122</f>
        <v>0</v>
      </c>
      <c r="E122" s="117">
        <f>SUM(I122,K122,M122,O122,Q122,S122,U122,W122,Y122,AA122,AC122,AE122)</f>
        <v>0</v>
      </c>
      <c r="F122" s="116">
        <f>IFERROR(E122/B122*100,0)</f>
        <v>0</v>
      </c>
      <c r="G122" s="116">
        <f>IFERROR(E122/C122*100,0)</f>
        <v>0</v>
      </c>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29"/>
      <c r="AG122" s="102"/>
    </row>
    <row r="123" spans="1:33" ht="37.5" x14ac:dyDescent="0.3">
      <c r="A123" s="124" t="s">
        <v>189</v>
      </c>
      <c r="B123" s="104"/>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01"/>
      <c r="AG123" s="102"/>
    </row>
    <row r="124" spans="1:33" x14ac:dyDescent="0.3">
      <c r="A124" s="128" t="s">
        <v>31</v>
      </c>
      <c r="B124" s="104">
        <f>B125+B126+B127+B128</f>
        <v>99097.994999999981</v>
      </c>
      <c r="C124" s="104">
        <f>C125+C126+C127</f>
        <v>27660.564999999995</v>
      </c>
      <c r="D124" s="104">
        <f>D125+D126+D127</f>
        <v>50388.170000000006</v>
      </c>
      <c r="E124" s="104">
        <f>E125+E126+E127</f>
        <v>50388.170000000006</v>
      </c>
      <c r="F124" s="104">
        <f>E124/B124*100</f>
        <v>50.846810775535886</v>
      </c>
      <c r="G124" s="104">
        <f>E124/C124*100</f>
        <v>182.16609096741161</v>
      </c>
      <c r="H124" s="104">
        <f>H125+H126+H127</f>
        <v>3705.29</v>
      </c>
      <c r="I124" s="104">
        <f t="shared" ref="I124:AE124" si="23">I125+I126+I127</f>
        <v>1612.47</v>
      </c>
      <c r="J124" s="104">
        <f t="shared" si="23"/>
        <v>8006.5599999999995</v>
      </c>
      <c r="K124" s="104">
        <f t="shared" si="23"/>
        <v>5898.18</v>
      </c>
      <c r="L124" s="104">
        <f t="shared" si="23"/>
        <v>6365.35</v>
      </c>
      <c r="M124" s="104">
        <f t="shared" si="23"/>
        <v>6074.42</v>
      </c>
      <c r="N124" s="104">
        <f t="shared" si="23"/>
        <v>9373.1649999999991</v>
      </c>
      <c r="O124" s="104">
        <f t="shared" si="23"/>
        <v>5603.16</v>
      </c>
      <c r="P124" s="104">
        <f t="shared" si="23"/>
        <v>11010.08</v>
      </c>
      <c r="Q124" s="104">
        <f t="shared" si="23"/>
        <v>7368.02</v>
      </c>
      <c r="R124" s="104">
        <f t="shared" si="23"/>
        <v>10552.17</v>
      </c>
      <c r="S124" s="104">
        <f t="shared" si="23"/>
        <v>18320.77</v>
      </c>
      <c r="T124" s="104">
        <f t="shared" si="23"/>
        <v>14497.540999999999</v>
      </c>
      <c r="U124" s="104">
        <f t="shared" si="23"/>
        <v>5511.15</v>
      </c>
      <c r="V124" s="104">
        <f t="shared" si="23"/>
        <v>5732.7340000000004</v>
      </c>
      <c r="W124" s="104">
        <f t="shared" si="23"/>
        <v>0</v>
      </c>
      <c r="X124" s="104">
        <f t="shared" si="23"/>
        <v>5684.9530000000004</v>
      </c>
      <c r="Y124" s="104">
        <f t="shared" si="23"/>
        <v>0</v>
      </c>
      <c r="Z124" s="104">
        <f t="shared" si="23"/>
        <v>7105.4139999999998</v>
      </c>
      <c r="AA124" s="104">
        <f t="shared" si="23"/>
        <v>0</v>
      </c>
      <c r="AB124" s="104">
        <f t="shared" si="23"/>
        <v>7119.7759999999998</v>
      </c>
      <c r="AC124" s="104">
        <f t="shared" si="23"/>
        <v>0</v>
      </c>
      <c r="AD124" s="104">
        <f t="shared" si="23"/>
        <v>9944.9619999999995</v>
      </c>
      <c r="AE124" s="104">
        <f t="shared" si="23"/>
        <v>0</v>
      </c>
      <c r="AF124" s="101"/>
      <c r="AG124" s="102"/>
    </row>
    <row r="125" spans="1:33" x14ac:dyDescent="0.3">
      <c r="A125" s="129" t="s">
        <v>169</v>
      </c>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1"/>
      <c r="AG125" s="102"/>
    </row>
    <row r="126" spans="1:33" x14ac:dyDescent="0.3">
      <c r="A126" s="129" t="s">
        <v>32</v>
      </c>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1"/>
      <c r="AG126" s="102"/>
    </row>
    <row r="127" spans="1:33" x14ac:dyDescent="0.3">
      <c r="A127" s="129" t="s">
        <v>33</v>
      </c>
      <c r="B127" s="107">
        <f>B133+B146+B152</f>
        <v>99097.994999999981</v>
      </c>
      <c r="C127" s="107">
        <f>C133+C146+C152</f>
        <v>27660.564999999995</v>
      </c>
      <c r="D127" s="107">
        <f>D133+D146+D152</f>
        <v>50388.170000000006</v>
      </c>
      <c r="E127" s="107">
        <f>E133+E146+E152</f>
        <v>50388.170000000006</v>
      </c>
      <c r="F127" s="107">
        <f>IFERROR(E127/B127*100,0)</f>
        <v>50.846810775535886</v>
      </c>
      <c r="G127" s="107">
        <f>IFERROR(E127/C127*100,0)</f>
        <v>182.16609096741161</v>
      </c>
      <c r="H127" s="107">
        <f>H133+H146+H152</f>
        <v>3705.29</v>
      </c>
      <c r="I127" s="107">
        <f t="shared" ref="I127:AE127" si="24">I133+I146+I152</f>
        <v>1612.47</v>
      </c>
      <c r="J127" s="107">
        <f t="shared" si="24"/>
        <v>8006.5599999999995</v>
      </c>
      <c r="K127" s="107">
        <f t="shared" si="24"/>
        <v>5898.18</v>
      </c>
      <c r="L127" s="107">
        <f t="shared" si="24"/>
        <v>6365.35</v>
      </c>
      <c r="M127" s="107">
        <f t="shared" si="24"/>
        <v>6074.42</v>
      </c>
      <c r="N127" s="107">
        <f t="shared" si="24"/>
        <v>9373.1649999999991</v>
      </c>
      <c r="O127" s="107">
        <f t="shared" si="24"/>
        <v>5603.16</v>
      </c>
      <c r="P127" s="107">
        <f t="shared" si="24"/>
        <v>11010.08</v>
      </c>
      <c r="Q127" s="107">
        <f t="shared" si="24"/>
        <v>7368.02</v>
      </c>
      <c r="R127" s="107">
        <f t="shared" si="24"/>
        <v>10552.17</v>
      </c>
      <c r="S127" s="107">
        <f t="shared" si="24"/>
        <v>18320.77</v>
      </c>
      <c r="T127" s="107">
        <f t="shared" si="24"/>
        <v>14497.540999999999</v>
      </c>
      <c r="U127" s="107">
        <f t="shared" si="24"/>
        <v>5511.15</v>
      </c>
      <c r="V127" s="107">
        <f t="shared" si="24"/>
        <v>5732.7340000000004</v>
      </c>
      <c r="W127" s="107">
        <f t="shared" si="24"/>
        <v>0</v>
      </c>
      <c r="X127" s="107">
        <f t="shared" si="24"/>
        <v>5684.9530000000004</v>
      </c>
      <c r="Y127" s="107">
        <f t="shared" si="24"/>
        <v>0</v>
      </c>
      <c r="Z127" s="107">
        <f t="shared" si="24"/>
        <v>7105.4139999999998</v>
      </c>
      <c r="AA127" s="107">
        <f t="shared" si="24"/>
        <v>0</v>
      </c>
      <c r="AB127" s="107">
        <f t="shared" si="24"/>
        <v>7119.7759999999998</v>
      </c>
      <c r="AC127" s="107">
        <f t="shared" si="24"/>
        <v>0</v>
      </c>
      <c r="AD127" s="107">
        <f t="shared" si="24"/>
        <v>9944.9619999999995</v>
      </c>
      <c r="AE127" s="107">
        <f t="shared" si="24"/>
        <v>0</v>
      </c>
      <c r="AF127" s="101"/>
      <c r="AG127" s="102"/>
    </row>
    <row r="128" spans="1:33" x14ac:dyDescent="0.3">
      <c r="A128" s="129" t="s">
        <v>170</v>
      </c>
      <c r="B128" s="107">
        <f>B134+B147+B153</f>
        <v>0</v>
      </c>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1"/>
      <c r="AG128" s="102"/>
    </row>
    <row r="129" spans="1:33" ht="37.5" x14ac:dyDescent="0.3">
      <c r="A129" s="108" t="s">
        <v>190</v>
      </c>
      <c r="B129" s="130"/>
      <c r="C129" s="131"/>
      <c r="D129" s="131"/>
      <c r="E129" s="131"/>
      <c r="F129" s="131"/>
      <c r="G129" s="13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723"/>
      <c r="AG129" s="102"/>
    </row>
    <row r="130" spans="1:33" x14ac:dyDescent="0.3">
      <c r="A130" s="112" t="s">
        <v>31</v>
      </c>
      <c r="B130" s="796">
        <f>B132+B133+B131+B134</f>
        <v>99097.994999999981</v>
      </c>
      <c r="C130" s="113">
        <f>C132+C133+C131+C134</f>
        <v>27450.364999999998</v>
      </c>
      <c r="D130" s="113">
        <f>D132+D133+D131+D134</f>
        <v>50388.170000000006</v>
      </c>
      <c r="E130" s="113">
        <f>E132+E133+E131+E134</f>
        <v>50388.170000000006</v>
      </c>
      <c r="F130" s="113">
        <f>IFERROR(E130/B130*100,0)</f>
        <v>50.846810775535886</v>
      </c>
      <c r="G130" s="113">
        <f>IFERROR(E130/C130*100,0)</f>
        <v>183.56102004472439</v>
      </c>
      <c r="H130" s="113">
        <f t="shared" ref="H130:AE130" si="25">H132+H133+H131+H134</f>
        <v>3705.29</v>
      </c>
      <c r="I130" s="113">
        <f t="shared" si="25"/>
        <v>1612.47</v>
      </c>
      <c r="J130" s="113">
        <f t="shared" si="25"/>
        <v>8006.5599999999995</v>
      </c>
      <c r="K130" s="113">
        <f t="shared" si="25"/>
        <v>5898.18</v>
      </c>
      <c r="L130" s="113">
        <f t="shared" si="25"/>
        <v>6365.35</v>
      </c>
      <c r="M130" s="113">
        <f t="shared" si="25"/>
        <v>6074.42</v>
      </c>
      <c r="N130" s="113">
        <f t="shared" si="25"/>
        <v>9373.1649999999991</v>
      </c>
      <c r="O130" s="113">
        <f t="shared" si="25"/>
        <v>5603.16</v>
      </c>
      <c r="P130" s="113">
        <f t="shared" si="25"/>
        <v>11010.08</v>
      </c>
      <c r="Q130" s="113">
        <f t="shared" si="25"/>
        <v>7368.02</v>
      </c>
      <c r="R130" s="113">
        <f t="shared" si="25"/>
        <v>10552.17</v>
      </c>
      <c r="S130" s="113">
        <f t="shared" si="25"/>
        <v>18320.77</v>
      </c>
      <c r="T130" s="113">
        <f t="shared" si="25"/>
        <v>14497.540999999999</v>
      </c>
      <c r="U130" s="113">
        <f t="shared" si="25"/>
        <v>5511.15</v>
      </c>
      <c r="V130" s="113">
        <f t="shared" si="25"/>
        <v>5732.7340000000004</v>
      </c>
      <c r="W130" s="113">
        <f t="shared" si="25"/>
        <v>0</v>
      </c>
      <c r="X130" s="113">
        <f t="shared" si="25"/>
        <v>5684.9530000000004</v>
      </c>
      <c r="Y130" s="113">
        <f t="shared" si="25"/>
        <v>0</v>
      </c>
      <c r="Z130" s="113">
        <f t="shared" si="25"/>
        <v>7105.4139999999998</v>
      </c>
      <c r="AA130" s="113">
        <f t="shared" si="25"/>
        <v>0</v>
      </c>
      <c r="AB130" s="113">
        <f t="shared" si="25"/>
        <v>7119.7759999999998</v>
      </c>
      <c r="AC130" s="113">
        <f t="shared" si="25"/>
        <v>0</v>
      </c>
      <c r="AD130" s="113">
        <f t="shared" si="25"/>
        <v>9944.9619999999995</v>
      </c>
      <c r="AE130" s="113">
        <f t="shared" si="25"/>
        <v>0</v>
      </c>
      <c r="AF130" s="29"/>
      <c r="AG130" s="102"/>
    </row>
    <row r="131" spans="1:33" x14ac:dyDescent="0.3">
      <c r="A131" s="115" t="s">
        <v>169</v>
      </c>
      <c r="B131" s="116"/>
      <c r="C131" s="117"/>
      <c r="D131" s="118"/>
      <c r="E131" s="117"/>
      <c r="F131" s="116"/>
      <c r="G131" s="116"/>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29"/>
      <c r="AG131" s="102"/>
    </row>
    <row r="132" spans="1:33" x14ac:dyDescent="0.3">
      <c r="A132" s="115" t="s">
        <v>32</v>
      </c>
      <c r="B132" s="116"/>
      <c r="C132" s="117"/>
      <c r="D132" s="118"/>
      <c r="E132" s="117"/>
      <c r="F132" s="116"/>
      <c r="G132" s="116"/>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29"/>
      <c r="AG132" s="102"/>
    </row>
    <row r="133" spans="1:33" x14ac:dyDescent="0.3">
      <c r="A133" s="115" t="s">
        <v>33</v>
      </c>
      <c r="B133" s="116">
        <f>J133+L133+N133+P133+R133+T133+V133+X133+Z133+AB133+AD133+H133</f>
        <v>99097.994999999981</v>
      </c>
      <c r="C133" s="117">
        <f>SUM(H133+J133+L133+N133)</f>
        <v>27450.364999999998</v>
      </c>
      <c r="D133" s="118">
        <f>E133</f>
        <v>50388.170000000006</v>
      </c>
      <c r="E133" s="117">
        <f>SUM(I133,K133,M133,O133,Q133,S133,U133,W133,Y133,AA133,AC133,AE133)</f>
        <v>50388.170000000006</v>
      </c>
      <c r="F133" s="116">
        <f>IFERROR(E133/B133*100,0)</f>
        <v>50.846810775535886</v>
      </c>
      <c r="G133" s="116">
        <f>IFERROR(E133/C133*100,0)</f>
        <v>183.56102004472439</v>
      </c>
      <c r="H133" s="111">
        <f>1570.01+2135.28</f>
        <v>3705.29</v>
      </c>
      <c r="I133" s="519">
        <v>1612.47</v>
      </c>
      <c r="J133" s="111">
        <f>2798.56+5208</f>
        <v>8006.5599999999995</v>
      </c>
      <c r="K133" s="111">
        <v>5898.18</v>
      </c>
      <c r="L133" s="111">
        <f>2068.75+4296.6</f>
        <v>6365.35</v>
      </c>
      <c r="M133" s="111">
        <v>6074.42</v>
      </c>
      <c r="N133" s="519">
        <f>2980.345+6392.82</f>
        <v>9373.1649999999991</v>
      </c>
      <c r="O133" s="109">
        <v>5603.16</v>
      </c>
      <c r="P133" s="111">
        <f>3849.08+7161</f>
        <v>11010.08</v>
      </c>
      <c r="Q133" s="109">
        <v>7368.02</v>
      </c>
      <c r="R133" s="111">
        <f>2740.17+7812</f>
        <v>10552.17</v>
      </c>
      <c r="S133" s="111">
        <v>18320.77</v>
      </c>
      <c r="T133" s="111">
        <v>14497.540999999999</v>
      </c>
      <c r="U133" s="111">
        <v>5511.15</v>
      </c>
      <c r="V133" s="111">
        <v>5732.7340000000004</v>
      </c>
      <c r="W133" s="111"/>
      <c r="X133" s="111">
        <v>5684.9530000000004</v>
      </c>
      <c r="Y133" s="111"/>
      <c r="Z133" s="111">
        <v>7105.4139999999998</v>
      </c>
      <c r="AA133" s="111"/>
      <c r="AB133" s="111">
        <v>7119.7759999999998</v>
      </c>
      <c r="AC133" s="111"/>
      <c r="AD133" s="111">
        <v>9944.9619999999995</v>
      </c>
      <c r="AE133" s="111"/>
      <c r="AF133" s="29"/>
      <c r="AG133" s="102"/>
    </row>
    <row r="134" spans="1:33" x14ac:dyDescent="0.3">
      <c r="A134" s="122" t="s">
        <v>170</v>
      </c>
      <c r="B134" s="116"/>
      <c r="C134" s="117"/>
      <c r="D134" s="118"/>
      <c r="E134" s="117"/>
      <c r="F134" s="116"/>
      <c r="G134" s="116"/>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29"/>
      <c r="AG134" s="102"/>
    </row>
    <row r="135" spans="1:33" x14ac:dyDescent="0.3">
      <c r="A135" s="1058" t="s">
        <v>191</v>
      </c>
      <c r="B135" s="1059"/>
      <c r="C135" s="1059"/>
      <c r="D135" s="1059"/>
      <c r="E135" s="1059"/>
      <c r="F135" s="1059"/>
      <c r="G135" s="1059"/>
      <c r="H135" s="1059"/>
      <c r="I135" s="1059"/>
      <c r="J135" s="1059"/>
      <c r="K135" s="1059"/>
      <c r="L135" s="1059"/>
      <c r="M135" s="1059"/>
      <c r="N135" s="1059"/>
      <c r="O135" s="1059"/>
      <c r="P135" s="1059"/>
      <c r="Q135" s="1059"/>
      <c r="R135" s="1059"/>
      <c r="S135" s="1059"/>
      <c r="T135" s="1059"/>
      <c r="U135" s="1059"/>
      <c r="V135" s="1059"/>
      <c r="W135" s="1059"/>
      <c r="X135" s="1059"/>
      <c r="Y135" s="1059"/>
      <c r="Z135" s="1059"/>
      <c r="AA135" s="1059"/>
      <c r="AB135" s="1059"/>
      <c r="AC135" s="1059"/>
      <c r="AD135" s="1059"/>
      <c r="AE135" s="1059"/>
      <c r="AF135" s="1060"/>
      <c r="AG135" s="102"/>
    </row>
    <row r="136" spans="1:33" x14ac:dyDescent="0.3">
      <c r="A136" s="1058" t="s">
        <v>167</v>
      </c>
      <c r="B136" s="1059"/>
      <c r="C136" s="1059"/>
      <c r="D136" s="1059"/>
      <c r="E136" s="1059"/>
      <c r="F136" s="1059"/>
      <c r="G136" s="1059"/>
      <c r="H136" s="1059"/>
      <c r="I136" s="1059"/>
      <c r="J136" s="1059"/>
      <c r="K136" s="1059"/>
      <c r="L136" s="1059"/>
      <c r="M136" s="1059"/>
      <c r="N136" s="1059"/>
      <c r="O136" s="1059"/>
      <c r="P136" s="1059"/>
      <c r="Q136" s="1059"/>
      <c r="R136" s="1059"/>
      <c r="S136" s="1059"/>
      <c r="T136" s="1059"/>
      <c r="U136" s="1059"/>
      <c r="V136" s="1059"/>
      <c r="W136" s="1059"/>
      <c r="X136" s="1059"/>
      <c r="Y136" s="1059"/>
      <c r="Z136" s="1059"/>
      <c r="AA136" s="1059"/>
      <c r="AB136" s="1059"/>
      <c r="AC136" s="1059"/>
      <c r="AD136" s="1059"/>
      <c r="AE136" s="1059"/>
      <c r="AF136" s="1060"/>
      <c r="AG136" s="102"/>
    </row>
    <row r="137" spans="1:33" ht="56.25" x14ac:dyDescent="0.3">
      <c r="A137" s="124" t="s">
        <v>192</v>
      </c>
      <c r="B137" s="132"/>
      <c r="C137" s="133"/>
      <c r="D137" s="133"/>
      <c r="E137" s="133"/>
      <c r="F137" s="133"/>
      <c r="G137" s="133"/>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01"/>
      <c r="AG137" s="102"/>
    </row>
    <row r="138" spans="1:33" x14ac:dyDescent="0.3">
      <c r="A138" s="103" t="s">
        <v>31</v>
      </c>
      <c r="B138" s="104">
        <f>B139+B140+B141</f>
        <v>0</v>
      </c>
      <c r="C138" s="104">
        <f>C139+C140+C141</f>
        <v>0</v>
      </c>
      <c r="D138" s="104">
        <f>D139+D140+D141</f>
        <v>0</v>
      </c>
      <c r="E138" s="104">
        <f>E139+E140+E141</f>
        <v>0</v>
      </c>
      <c r="F138" s="107">
        <f>IFERROR(E138/B138*100,0)</f>
        <v>0</v>
      </c>
      <c r="G138" s="107">
        <f>IFERROR(E138/C138*100,0)</f>
        <v>0</v>
      </c>
      <c r="H138" s="104">
        <f>H139+H140+H141</f>
        <v>0</v>
      </c>
      <c r="I138" s="104">
        <f t="shared" ref="I138:AE138" si="26">I139+I140+I141</f>
        <v>0</v>
      </c>
      <c r="J138" s="104">
        <f t="shared" si="26"/>
        <v>0</v>
      </c>
      <c r="K138" s="104">
        <f t="shared" si="26"/>
        <v>0</v>
      </c>
      <c r="L138" s="104">
        <f t="shared" si="26"/>
        <v>0</v>
      </c>
      <c r="M138" s="104">
        <f t="shared" si="26"/>
        <v>0</v>
      </c>
      <c r="N138" s="104">
        <f t="shared" si="26"/>
        <v>0</v>
      </c>
      <c r="O138" s="104">
        <f t="shared" si="26"/>
        <v>0</v>
      </c>
      <c r="P138" s="104">
        <f t="shared" si="26"/>
        <v>0</v>
      </c>
      <c r="Q138" s="104">
        <f t="shared" si="26"/>
        <v>0</v>
      </c>
      <c r="R138" s="104">
        <f t="shared" si="26"/>
        <v>0</v>
      </c>
      <c r="S138" s="104">
        <f t="shared" si="26"/>
        <v>0</v>
      </c>
      <c r="T138" s="104">
        <f t="shared" si="26"/>
        <v>0</v>
      </c>
      <c r="U138" s="104">
        <f t="shared" si="26"/>
        <v>0</v>
      </c>
      <c r="V138" s="104">
        <f t="shared" si="26"/>
        <v>0</v>
      </c>
      <c r="W138" s="104">
        <f t="shared" si="26"/>
        <v>0</v>
      </c>
      <c r="X138" s="104">
        <f t="shared" si="26"/>
        <v>0</v>
      </c>
      <c r="Y138" s="104">
        <f t="shared" si="26"/>
        <v>0</v>
      </c>
      <c r="Z138" s="104">
        <f t="shared" si="26"/>
        <v>0</v>
      </c>
      <c r="AA138" s="104">
        <f t="shared" si="26"/>
        <v>0</v>
      </c>
      <c r="AB138" s="104">
        <f t="shared" si="26"/>
        <v>0</v>
      </c>
      <c r="AC138" s="104">
        <f t="shared" si="26"/>
        <v>0</v>
      </c>
      <c r="AD138" s="104">
        <f t="shared" si="26"/>
        <v>0</v>
      </c>
      <c r="AE138" s="104">
        <f t="shared" si="26"/>
        <v>0</v>
      </c>
      <c r="AF138" s="101"/>
      <c r="AG138" s="102"/>
    </row>
    <row r="139" spans="1:33" x14ac:dyDescent="0.3">
      <c r="A139" s="106" t="s">
        <v>169</v>
      </c>
      <c r="B139" s="107">
        <f>J139+L139+N139+P139+R139+T139+V139+X139+Z139+AB139+AD139+H139</f>
        <v>0</v>
      </c>
      <c r="C139" s="107">
        <f>SUM(H139)</f>
        <v>0</v>
      </c>
      <c r="D139" s="107">
        <f>E139</f>
        <v>0</v>
      </c>
      <c r="E139" s="107">
        <f>SUM(I139,K139,M139,O139,Q139,S139,U139,W139,Y139,AA139,AC139,AE139)</f>
        <v>0</v>
      </c>
      <c r="F139" s="107">
        <f>IFERROR(E139/B139*100,0)</f>
        <v>0</v>
      </c>
      <c r="G139" s="107">
        <f>IFERROR(E139/C139*100,0)</f>
        <v>0</v>
      </c>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1"/>
      <c r="AG139" s="102"/>
    </row>
    <row r="140" spans="1:33" x14ac:dyDescent="0.3">
      <c r="A140" s="106" t="s">
        <v>32</v>
      </c>
      <c r="B140" s="107">
        <f>J140+L140+N140+P140+R140+T140+V140+X140+Z140+AB140+AD140+H140</f>
        <v>0</v>
      </c>
      <c r="C140" s="107">
        <f>SUM(H140)</f>
        <v>0</v>
      </c>
      <c r="D140" s="107">
        <f>E140</f>
        <v>0</v>
      </c>
      <c r="E140" s="107">
        <f>SUM(I140,K140,M140,O140,Q140,S140,U140,W140,Y140,AA140,AC140,AE140)</f>
        <v>0</v>
      </c>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1"/>
      <c r="AG140" s="102"/>
    </row>
    <row r="141" spans="1:33" x14ac:dyDescent="0.3">
      <c r="A141" s="106" t="s">
        <v>33</v>
      </c>
      <c r="B141" s="107">
        <f>J141+L141+N141+P141+R141+T141+V141+X141+Z141+AB141+AD141+H141</f>
        <v>0</v>
      </c>
      <c r="C141" s="107">
        <f>SUM(H141)</f>
        <v>0</v>
      </c>
      <c r="D141" s="107">
        <f>E141</f>
        <v>0</v>
      </c>
      <c r="E141" s="107">
        <f>SUM(I141,K141,M141,O141,Q141,S141,U141,W141,Y141,AA141,AC141,AE141)</f>
        <v>0</v>
      </c>
      <c r="F141" s="107">
        <f>IFERROR(E141/B141*100,0)</f>
        <v>0</v>
      </c>
      <c r="G141" s="107">
        <f>IFERROR(E141/C141*100,0)</f>
        <v>0</v>
      </c>
      <c r="H141" s="107">
        <v>0</v>
      </c>
      <c r="I141" s="107">
        <v>0</v>
      </c>
      <c r="J141" s="107">
        <v>0</v>
      </c>
      <c r="K141" s="107">
        <v>0</v>
      </c>
      <c r="L141" s="107">
        <v>0</v>
      </c>
      <c r="M141" s="107">
        <v>0</v>
      </c>
      <c r="N141" s="107">
        <v>0</v>
      </c>
      <c r="O141" s="107">
        <v>0</v>
      </c>
      <c r="P141" s="107">
        <v>0</v>
      </c>
      <c r="Q141" s="107">
        <v>0</v>
      </c>
      <c r="R141" s="107">
        <v>0</v>
      </c>
      <c r="S141" s="107">
        <v>0</v>
      </c>
      <c r="T141" s="107">
        <v>0</v>
      </c>
      <c r="U141" s="107">
        <v>0</v>
      </c>
      <c r="V141" s="107"/>
      <c r="W141" s="107"/>
      <c r="X141" s="107"/>
      <c r="Y141" s="107"/>
      <c r="Z141" s="107"/>
      <c r="AA141" s="107"/>
      <c r="AB141" s="107"/>
      <c r="AC141" s="107"/>
      <c r="AD141" s="107"/>
      <c r="AE141" s="107"/>
      <c r="AF141" s="101"/>
      <c r="AG141" s="102"/>
    </row>
    <row r="142" spans="1:33" x14ac:dyDescent="0.3">
      <c r="A142" s="106" t="s">
        <v>170</v>
      </c>
      <c r="B142" s="107">
        <f>J142+L142+N142+P142+R142+T142+V142+X142+Z142+AB142+AD142+H142</f>
        <v>0</v>
      </c>
      <c r="C142" s="107">
        <f>SUM(H142)</f>
        <v>0</v>
      </c>
      <c r="D142" s="107">
        <f>E142</f>
        <v>0</v>
      </c>
      <c r="E142" s="107">
        <f>SUM(I142,K142,M142,O142,Q142,S142,U142,W142,Y142,AA142,AC142,AE142)</f>
        <v>0</v>
      </c>
      <c r="F142" s="107">
        <f>IFERROR(E142/B142*100,0)</f>
        <v>0</v>
      </c>
      <c r="G142" s="107">
        <f>IFERROR(E142/C142*100,0)</f>
        <v>0</v>
      </c>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1"/>
      <c r="AG142" s="102"/>
    </row>
    <row r="143" spans="1:33" x14ac:dyDescent="0.3">
      <c r="A143" s="1058" t="s">
        <v>54</v>
      </c>
      <c r="B143" s="1059"/>
      <c r="C143" s="1059"/>
      <c r="D143" s="1059"/>
      <c r="E143" s="1059"/>
      <c r="F143" s="1059"/>
      <c r="G143" s="1059"/>
      <c r="H143" s="1059"/>
      <c r="I143" s="1059"/>
      <c r="J143" s="1059"/>
      <c r="K143" s="1059"/>
      <c r="L143" s="1059"/>
      <c r="M143" s="1059"/>
      <c r="N143" s="1059"/>
      <c r="O143" s="1059"/>
      <c r="P143" s="1059"/>
      <c r="Q143" s="1059"/>
      <c r="R143" s="1059"/>
      <c r="S143" s="1059"/>
      <c r="T143" s="1059"/>
      <c r="U143" s="1059"/>
      <c r="V143" s="1059"/>
      <c r="W143" s="1059"/>
      <c r="X143" s="1059"/>
      <c r="Y143" s="1059"/>
      <c r="Z143" s="1059"/>
      <c r="AA143" s="1059"/>
      <c r="AB143" s="1059"/>
      <c r="AC143" s="1059"/>
      <c r="AD143" s="1059"/>
      <c r="AE143" s="1059"/>
      <c r="AF143" s="1060"/>
      <c r="AG143" s="102"/>
    </row>
    <row r="144" spans="1:33" ht="75" x14ac:dyDescent="0.3">
      <c r="A144" s="124" t="s">
        <v>193</v>
      </c>
      <c r="B144" s="132"/>
      <c r="C144" s="133"/>
      <c r="D144" s="133"/>
      <c r="E144" s="133"/>
      <c r="F144" s="133"/>
      <c r="G144" s="133"/>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01"/>
      <c r="AG144" s="102"/>
    </row>
    <row r="145" spans="1:33" x14ac:dyDescent="0.3">
      <c r="A145" s="103" t="s">
        <v>31</v>
      </c>
      <c r="B145" s="104">
        <f>B146+B147+B148</f>
        <v>373.1</v>
      </c>
      <c r="C145" s="104">
        <f>C146+C147+C148</f>
        <v>173.1</v>
      </c>
      <c r="D145" s="104">
        <f>D146+D147+D148</f>
        <v>93.623999999999995</v>
      </c>
      <c r="E145" s="104">
        <f>E146+E147+E148</f>
        <v>0</v>
      </c>
      <c r="F145" s="107">
        <f>IFERROR(E145/B145*100,0)</f>
        <v>0</v>
      </c>
      <c r="G145" s="107">
        <f>IFERROR(E145/C145*100,0)</f>
        <v>0</v>
      </c>
      <c r="H145" s="104">
        <f t="shared" ref="H145:AE145" si="27">H146+H147+H148</f>
        <v>0</v>
      </c>
      <c r="I145" s="104">
        <f t="shared" si="27"/>
        <v>0</v>
      </c>
      <c r="J145" s="104">
        <f t="shared" si="27"/>
        <v>0</v>
      </c>
      <c r="K145" s="104">
        <f t="shared" si="27"/>
        <v>0</v>
      </c>
      <c r="L145" s="104">
        <f t="shared" si="27"/>
        <v>158</v>
      </c>
      <c r="M145" s="104">
        <f t="shared" si="27"/>
        <v>0</v>
      </c>
      <c r="N145" s="104">
        <f t="shared" si="27"/>
        <v>15.1</v>
      </c>
      <c r="O145" s="104">
        <f t="shared" si="27"/>
        <v>105.1</v>
      </c>
      <c r="P145" s="104">
        <f t="shared" si="27"/>
        <v>0</v>
      </c>
      <c r="Q145" s="104">
        <f t="shared" si="27"/>
        <v>0</v>
      </c>
      <c r="R145" s="104">
        <f t="shared" si="27"/>
        <v>0</v>
      </c>
      <c r="S145" s="104">
        <f t="shared" si="27"/>
        <v>-11.476000000000001</v>
      </c>
      <c r="T145" s="104">
        <f t="shared" si="27"/>
        <v>0</v>
      </c>
      <c r="U145" s="104">
        <f t="shared" si="27"/>
        <v>0</v>
      </c>
      <c r="V145" s="104">
        <f t="shared" si="27"/>
        <v>60</v>
      </c>
      <c r="W145" s="104">
        <f t="shared" si="27"/>
        <v>0</v>
      </c>
      <c r="X145" s="104">
        <f t="shared" si="27"/>
        <v>140</v>
      </c>
      <c r="Y145" s="104">
        <f t="shared" si="27"/>
        <v>0</v>
      </c>
      <c r="Z145" s="104">
        <f t="shared" si="27"/>
        <v>0</v>
      </c>
      <c r="AA145" s="104">
        <f t="shared" si="27"/>
        <v>0</v>
      </c>
      <c r="AB145" s="104">
        <f t="shared" si="27"/>
        <v>0</v>
      </c>
      <c r="AC145" s="104">
        <f t="shared" si="27"/>
        <v>0</v>
      </c>
      <c r="AD145" s="104">
        <f t="shared" si="27"/>
        <v>0</v>
      </c>
      <c r="AE145" s="104">
        <f t="shared" si="27"/>
        <v>0</v>
      </c>
      <c r="AF145" s="101"/>
      <c r="AG145" s="102"/>
    </row>
    <row r="146" spans="1:33" x14ac:dyDescent="0.3">
      <c r="A146" s="106" t="s">
        <v>169</v>
      </c>
      <c r="B146" s="107">
        <f>B152+B177</f>
        <v>0</v>
      </c>
      <c r="C146" s="107">
        <f>C152+C177</f>
        <v>105.1</v>
      </c>
      <c r="D146" s="107">
        <f>D152+D177</f>
        <v>0</v>
      </c>
      <c r="E146" s="107">
        <f>E152+E177</f>
        <v>0</v>
      </c>
      <c r="F146" s="107">
        <f>IFERROR(E146/B146*100,0)</f>
        <v>0</v>
      </c>
      <c r="G146" s="107">
        <f>IFERROR(E146/C146*100,0)</f>
        <v>0</v>
      </c>
      <c r="H146" s="107">
        <f t="shared" ref="H146:AE146" si="28">H152+H177</f>
        <v>0</v>
      </c>
      <c r="I146" s="107">
        <f t="shared" si="28"/>
        <v>0</v>
      </c>
      <c r="J146" s="107">
        <f t="shared" si="28"/>
        <v>0</v>
      </c>
      <c r="K146" s="107">
        <f t="shared" si="28"/>
        <v>0</v>
      </c>
      <c r="L146" s="107">
        <f t="shared" si="28"/>
        <v>0</v>
      </c>
      <c r="M146" s="107">
        <f t="shared" si="28"/>
        <v>0</v>
      </c>
      <c r="N146" s="107">
        <f t="shared" si="28"/>
        <v>0</v>
      </c>
      <c r="O146" s="107">
        <f t="shared" si="28"/>
        <v>0</v>
      </c>
      <c r="P146" s="107">
        <f t="shared" si="28"/>
        <v>0</v>
      </c>
      <c r="Q146" s="107">
        <f t="shared" si="28"/>
        <v>0</v>
      </c>
      <c r="R146" s="107">
        <f t="shared" si="28"/>
        <v>0</v>
      </c>
      <c r="S146" s="107">
        <f t="shared" si="28"/>
        <v>0</v>
      </c>
      <c r="T146" s="107">
        <f t="shared" si="28"/>
        <v>0</v>
      </c>
      <c r="U146" s="107">
        <f t="shared" si="28"/>
        <v>0</v>
      </c>
      <c r="V146" s="107">
        <f t="shared" si="28"/>
        <v>0</v>
      </c>
      <c r="W146" s="107">
        <f t="shared" si="28"/>
        <v>0</v>
      </c>
      <c r="X146" s="107">
        <f t="shared" si="28"/>
        <v>0</v>
      </c>
      <c r="Y146" s="107">
        <f t="shared" si="28"/>
        <v>0</v>
      </c>
      <c r="Z146" s="107">
        <f t="shared" si="28"/>
        <v>0</v>
      </c>
      <c r="AA146" s="107">
        <f t="shared" si="28"/>
        <v>0</v>
      </c>
      <c r="AB146" s="107">
        <f t="shared" si="28"/>
        <v>0</v>
      </c>
      <c r="AC146" s="107">
        <f t="shared" si="28"/>
        <v>0</v>
      </c>
      <c r="AD146" s="107">
        <f t="shared" si="28"/>
        <v>0</v>
      </c>
      <c r="AE146" s="107">
        <f t="shared" si="28"/>
        <v>0</v>
      </c>
      <c r="AF146" s="101"/>
      <c r="AG146" s="102"/>
    </row>
    <row r="147" spans="1:33" x14ac:dyDescent="0.3">
      <c r="A147" s="106" t="s">
        <v>32</v>
      </c>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1"/>
      <c r="AG147" s="102"/>
    </row>
    <row r="148" spans="1:33" x14ac:dyDescent="0.3">
      <c r="A148" s="106" t="s">
        <v>33</v>
      </c>
      <c r="B148" s="107">
        <f t="shared" ref="B148:E149" si="29">B154+B179</f>
        <v>373.1</v>
      </c>
      <c r="C148" s="107">
        <f t="shared" si="29"/>
        <v>68</v>
      </c>
      <c r="D148" s="107">
        <f t="shared" si="29"/>
        <v>93.623999999999995</v>
      </c>
      <c r="E148" s="107">
        <f t="shared" si="29"/>
        <v>0</v>
      </c>
      <c r="F148" s="107">
        <f>IFERROR(E148/B148*100,0)</f>
        <v>0</v>
      </c>
      <c r="G148" s="107">
        <f>IFERROR(E148/C148*100,0)</f>
        <v>0</v>
      </c>
      <c r="H148" s="107">
        <f t="shared" ref="H148:AE149" si="30">H154+H179</f>
        <v>0</v>
      </c>
      <c r="I148" s="107">
        <f t="shared" si="30"/>
        <v>0</v>
      </c>
      <c r="J148" s="107">
        <f t="shared" si="30"/>
        <v>0</v>
      </c>
      <c r="K148" s="107">
        <f t="shared" si="30"/>
        <v>0</v>
      </c>
      <c r="L148" s="107">
        <f t="shared" si="30"/>
        <v>158</v>
      </c>
      <c r="M148" s="107">
        <f t="shared" si="30"/>
        <v>0</v>
      </c>
      <c r="N148" s="107">
        <f t="shared" si="30"/>
        <v>15.1</v>
      </c>
      <c r="O148" s="107">
        <f t="shared" si="30"/>
        <v>105.1</v>
      </c>
      <c r="P148" s="107">
        <f t="shared" si="30"/>
        <v>0</v>
      </c>
      <c r="Q148" s="107">
        <f t="shared" si="30"/>
        <v>0</v>
      </c>
      <c r="R148" s="107">
        <f t="shared" si="30"/>
        <v>0</v>
      </c>
      <c r="S148" s="107">
        <f t="shared" si="30"/>
        <v>-11.476000000000001</v>
      </c>
      <c r="T148" s="107">
        <f t="shared" si="30"/>
        <v>0</v>
      </c>
      <c r="U148" s="107">
        <f t="shared" si="30"/>
        <v>0</v>
      </c>
      <c r="V148" s="107">
        <f t="shared" si="30"/>
        <v>60</v>
      </c>
      <c r="W148" s="107">
        <f t="shared" si="30"/>
        <v>0</v>
      </c>
      <c r="X148" s="107">
        <f t="shared" si="30"/>
        <v>140</v>
      </c>
      <c r="Y148" s="107">
        <f t="shared" si="30"/>
        <v>0</v>
      </c>
      <c r="Z148" s="107">
        <f t="shared" si="30"/>
        <v>0</v>
      </c>
      <c r="AA148" s="107">
        <f t="shared" si="30"/>
        <v>0</v>
      </c>
      <c r="AB148" s="107">
        <f t="shared" si="30"/>
        <v>0</v>
      </c>
      <c r="AC148" s="107">
        <f t="shared" si="30"/>
        <v>0</v>
      </c>
      <c r="AD148" s="107">
        <f t="shared" si="30"/>
        <v>0</v>
      </c>
      <c r="AE148" s="107">
        <f t="shared" si="30"/>
        <v>0</v>
      </c>
      <c r="AF148" s="101"/>
      <c r="AG148" s="102"/>
    </row>
    <row r="149" spans="1:33" x14ac:dyDescent="0.3">
      <c r="A149" s="106" t="s">
        <v>170</v>
      </c>
      <c r="B149" s="107">
        <f t="shared" si="29"/>
        <v>0</v>
      </c>
      <c r="C149" s="107">
        <f t="shared" si="29"/>
        <v>105.1</v>
      </c>
      <c r="D149" s="107">
        <f t="shared" si="29"/>
        <v>0</v>
      </c>
      <c r="E149" s="107">
        <f t="shared" si="29"/>
        <v>93.623999999999995</v>
      </c>
      <c r="F149" s="107">
        <f>IFERROR(E149/B149*100,0)</f>
        <v>0</v>
      </c>
      <c r="G149" s="107">
        <f>IFERROR(E149/C149*100,0)</f>
        <v>89.080875356803048</v>
      </c>
      <c r="H149" s="107">
        <f t="shared" si="30"/>
        <v>0</v>
      </c>
      <c r="I149" s="107">
        <f t="shared" si="30"/>
        <v>0</v>
      </c>
      <c r="J149" s="107">
        <f t="shared" si="30"/>
        <v>0</v>
      </c>
      <c r="K149" s="107">
        <f t="shared" si="30"/>
        <v>0</v>
      </c>
      <c r="L149" s="107">
        <f t="shared" si="30"/>
        <v>0</v>
      </c>
      <c r="M149" s="107">
        <f t="shared" si="30"/>
        <v>0</v>
      </c>
      <c r="N149" s="107">
        <f t="shared" si="30"/>
        <v>0</v>
      </c>
      <c r="O149" s="107">
        <f t="shared" si="30"/>
        <v>0</v>
      </c>
      <c r="P149" s="107">
        <f t="shared" si="30"/>
        <v>0</v>
      </c>
      <c r="Q149" s="107">
        <f t="shared" si="30"/>
        <v>0</v>
      </c>
      <c r="R149" s="107">
        <f t="shared" si="30"/>
        <v>0</v>
      </c>
      <c r="S149" s="107">
        <f t="shared" si="30"/>
        <v>0</v>
      </c>
      <c r="T149" s="107">
        <f t="shared" si="30"/>
        <v>0</v>
      </c>
      <c r="U149" s="107">
        <f t="shared" si="30"/>
        <v>0</v>
      </c>
      <c r="V149" s="107">
        <f t="shared" si="30"/>
        <v>0</v>
      </c>
      <c r="W149" s="107">
        <f t="shared" si="30"/>
        <v>0</v>
      </c>
      <c r="X149" s="107">
        <f t="shared" si="30"/>
        <v>0</v>
      </c>
      <c r="Y149" s="107">
        <f t="shared" si="30"/>
        <v>0</v>
      </c>
      <c r="Z149" s="107">
        <f t="shared" si="30"/>
        <v>0</v>
      </c>
      <c r="AA149" s="107">
        <f t="shared" si="30"/>
        <v>0</v>
      </c>
      <c r="AB149" s="107">
        <f t="shared" si="30"/>
        <v>0</v>
      </c>
      <c r="AC149" s="107">
        <f t="shared" si="30"/>
        <v>0</v>
      </c>
      <c r="AD149" s="107">
        <f t="shared" si="30"/>
        <v>0</v>
      </c>
      <c r="AE149" s="107">
        <f t="shared" si="30"/>
        <v>0</v>
      </c>
      <c r="AF149" s="101"/>
      <c r="AG149" s="102"/>
    </row>
    <row r="150" spans="1:33" ht="56.25" x14ac:dyDescent="0.3">
      <c r="A150" s="122" t="s">
        <v>194</v>
      </c>
      <c r="B150" s="134"/>
      <c r="C150" s="135"/>
      <c r="D150" s="135"/>
      <c r="E150" s="135"/>
      <c r="F150" s="135"/>
      <c r="G150" s="135"/>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29"/>
      <c r="AG150" s="102"/>
    </row>
    <row r="151" spans="1:33" x14ac:dyDescent="0.3">
      <c r="A151" s="112" t="s">
        <v>31</v>
      </c>
      <c r="B151" s="642">
        <f>B152+B153+B154+B155</f>
        <v>373.1</v>
      </c>
      <c r="C151" s="113">
        <f>C152+C153+C154+C155</f>
        <v>278.2</v>
      </c>
      <c r="D151" s="113">
        <f>D152+D153+D154+D155</f>
        <v>93.623999999999995</v>
      </c>
      <c r="E151" s="113">
        <f>E152+E153+E154+E155</f>
        <v>93.623999999999995</v>
      </c>
      <c r="F151" s="116">
        <f>IFERROR(E151/B151*100,0)</f>
        <v>25.093540605735726</v>
      </c>
      <c r="G151" s="116">
        <f>IFERROR(E151/C151*100,0)</f>
        <v>33.653486700215673</v>
      </c>
      <c r="H151" s="113">
        <f t="shared" ref="H151:AE151" si="31">H152+H153+H154+H155</f>
        <v>0</v>
      </c>
      <c r="I151" s="113">
        <f t="shared" si="31"/>
        <v>0</v>
      </c>
      <c r="J151" s="113">
        <f t="shared" si="31"/>
        <v>0</v>
      </c>
      <c r="K151" s="113">
        <f t="shared" si="31"/>
        <v>0</v>
      </c>
      <c r="L151" s="113">
        <f t="shared" si="31"/>
        <v>158</v>
      </c>
      <c r="M151" s="113">
        <f t="shared" si="31"/>
        <v>0</v>
      </c>
      <c r="N151" s="113">
        <f t="shared" si="31"/>
        <v>15.1</v>
      </c>
      <c r="O151" s="113">
        <f t="shared" si="31"/>
        <v>105.1</v>
      </c>
      <c r="P151" s="113">
        <f t="shared" si="31"/>
        <v>0</v>
      </c>
      <c r="Q151" s="113">
        <f t="shared" si="31"/>
        <v>0</v>
      </c>
      <c r="R151" s="113">
        <f t="shared" si="31"/>
        <v>0</v>
      </c>
      <c r="S151" s="113">
        <f t="shared" si="31"/>
        <v>-11.476000000000001</v>
      </c>
      <c r="T151" s="113">
        <f t="shared" si="31"/>
        <v>0</v>
      </c>
      <c r="U151" s="113">
        <f t="shared" si="31"/>
        <v>0</v>
      </c>
      <c r="V151" s="113">
        <f t="shared" si="31"/>
        <v>60</v>
      </c>
      <c r="W151" s="113">
        <f t="shared" si="31"/>
        <v>0</v>
      </c>
      <c r="X151" s="113">
        <f t="shared" si="31"/>
        <v>140</v>
      </c>
      <c r="Y151" s="113">
        <f t="shared" si="31"/>
        <v>0</v>
      </c>
      <c r="Z151" s="113">
        <f t="shared" si="31"/>
        <v>0</v>
      </c>
      <c r="AA151" s="113">
        <f t="shared" si="31"/>
        <v>0</v>
      </c>
      <c r="AB151" s="113">
        <f t="shared" si="31"/>
        <v>0</v>
      </c>
      <c r="AC151" s="113">
        <f t="shared" si="31"/>
        <v>0</v>
      </c>
      <c r="AD151" s="113">
        <f t="shared" si="31"/>
        <v>0</v>
      </c>
      <c r="AE151" s="113">
        <f t="shared" si="31"/>
        <v>0</v>
      </c>
      <c r="AF151" s="29"/>
      <c r="AG151" s="102"/>
    </row>
    <row r="152" spans="1:33" x14ac:dyDescent="0.3">
      <c r="A152" s="115" t="s">
        <v>169</v>
      </c>
      <c r="B152" s="116">
        <f>B159+B165+B171</f>
        <v>0</v>
      </c>
      <c r="C152" s="116">
        <f>C158+C165+C171</f>
        <v>105.1</v>
      </c>
      <c r="D152" s="116">
        <f>D159+D165+D171</f>
        <v>0</v>
      </c>
      <c r="E152" s="116">
        <f>E159+E165+E171</f>
        <v>0</v>
      </c>
      <c r="F152" s="116">
        <f>IFERROR(E152/B152*100,0)</f>
        <v>0</v>
      </c>
      <c r="G152" s="116">
        <f>IFERROR(E152/C152*100,0)</f>
        <v>0</v>
      </c>
      <c r="H152" s="116">
        <f t="shared" ref="H152:AE152" si="32">H159+H165+H171</f>
        <v>0</v>
      </c>
      <c r="I152" s="116">
        <f t="shared" si="32"/>
        <v>0</v>
      </c>
      <c r="J152" s="116">
        <f t="shared" si="32"/>
        <v>0</v>
      </c>
      <c r="K152" s="116">
        <f t="shared" si="32"/>
        <v>0</v>
      </c>
      <c r="L152" s="116">
        <f t="shared" si="32"/>
        <v>0</v>
      </c>
      <c r="M152" s="116">
        <f t="shared" si="32"/>
        <v>0</v>
      </c>
      <c r="N152" s="116">
        <f t="shared" si="32"/>
        <v>0</v>
      </c>
      <c r="O152" s="116">
        <f t="shared" si="32"/>
        <v>0</v>
      </c>
      <c r="P152" s="116">
        <f t="shared" si="32"/>
        <v>0</v>
      </c>
      <c r="Q152" s="116">
        <f t="shared" si="32"/>
        <v>0</v>
      </c>
      <c r="R152" s="116">
        <f t="shared" si="32"/>
        <v>0</v>
      </c>
      <c r="S152" s="116">
        <f t="shared" si="32"/>
        <v>0</v>
      </c>
      <c r="T152" s="116">
        <f t="shared" si="32"/>
        <v>0</v>
      </c>
      <c r="U152" s="116">
        <f t="shared" si="32"/>
        <v>0</v>
      </c>
      <c r="V152" s="116">
        <f t="shared" si="32"/>
        <v>0</v>
      </c>
      <c r="W152" s="116">
        <f t="shared" si="32"/>
        <v>0</v>
      </c>
      <c r="X152" s="116">
        <f t="shared" si="32"/>
        <v>0</v>
      </c>
      <c r="Y152" s="116">
        <f t="shared" si="32"/>
        <v>0</v>
      </c>
      <c r="Z152" s="116">
        <f t="shared" si="32"/>
        <v>0</v>
      </c>
      <c r="AA152" s="116">
        <f t="shared" si="32"/>
        <v>0</v>
      </c>
      <c r="AB152" s="116">
        <f t="shared" si="32"/>
        <v>0</v>
      </c>
      <c r="AC152" s="116">
        <f t="shared" si="32"/>
        <v>0</v>
      </c>
      <c r="AD152" s="116">
        <f t="shared" si="32"/>
        <v>0</v>
      </c>
      <c r="AE152" s="116">
        <f t="shared" si="32"/>
        <v>0</v>
      </c>
      <c r="AF152" s="29"/>
      <c r="AG152" s="102"/>
    </row>
    <row r="153" spans="1:33" x14ac:dyDescent="0.3">
      <c r="A153" s="115" t="s">
        <v>32</v>
      </c>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29"/>
      <c r="AG153" s="102"/>
    </row>
    <row r="154" spans="1:33" x14ac:dyDescent="0.3">
      <c r="A154" s="115" t="s">
        <v>33</v>
      </c>
      <c r="B154" s="116">
        <f>B161+B167+B173</f>
        <v>373.1</v>
      </c>
      <c r="C154" s="116">
        <f t="shared" ref="C154:E155" si="33">C160+C167+C173</f>
        <v>68</v>
      </c>
      <c r="D154" s="116">
        <f>D161+D167+D173</f>
        <v>93.623999999999995</v>
      </c>
      <c r="E154" s="116">
        <f t="shared" si="33"/>
        <v>0</v>
      </c>
      <c r="F154" s="116">
        <f>IFERROR(E154/B154*100,0)</f>
        <v>0</v>
      </c>
      <c r="G154" s="116">
        <f>IFERROR(E154/C154*100,0)</f>
        <v>0</v>
      </c>
      <c r="H154" s="116">
        <f t="shared" ref="H154:AE155" si="34">H161+H167+H173</f>
        <v>0</v>
      </c>
      <c r="I154" s="116">
        <f t="shared" si="34"/>
        <v>0</v>
      </c>
      <c r="J154" s="116">
        <f t="shared" si="34"/>
        <v>0</v>
      </c>
      <c r="K154" s="116">
        <f t="shared" si="34"/>
        <v>0</v>
      </c>
      <c r="L154" s="116">
        <f t="shared" si="34"/>
        <v>158</v>
      </c>
      <c r="M154" s="116">
        <f t="shared" si="34"/>
        <v>0</v>
      </c>
      <c r="N154" s="116">
        <f t="shared" si="34"/>
        <v>15.1</v>
      </c>
      <c r="O154" s="116">
        <f t="shared" si="34"/>
        <v>105.1</v>
      </c>
      <c r="P154" s="116">
        <f t="shared" si="34"/>
        <v>0</v>
      </c>
      <c r="Q154" s="116">
        <f t="shared" si="34"/>
        <v>0</v>
      </c>
      <c r="R154" s="116">
        <f t="shared" si="34"/>
        <v>0</v>
      </c>
      <c r="S154" s="116">
        <f t="shared" si="34"/>
        <v>-11.476000000000001</v>
      </c>
      <c r="T154" s="116">
        <f t="shared" si="34"/>
        <v>0</v>
      </c>
      <c r="U154" s="116">
        <f t="shared" si="34"/>
        <v>0</v>
      </c>
      <c r="V154" s="116">
        <f t="shared" si="34"/>
        <v>60</v>
      </c>
      <c r="W154" s="116">
        <f t="shared" si="34"/>
        <v>0</v>
      </c>
      <c r="X154" s="116">
        <f t="shared" si="34"/>
        <v>140</v>
      </c>
      <c r="Y154" s="116">
        <f t="shared" si="34"/>
        <v>0</v>
      </c>
      <c r="Z154" s="116">
        <f t="shared" si="34"/>
        <v>0</v>
      </c>
      <c r="AA154" s="116">
        <f t="shared" si="34"/>
        <v>0</v>
      </c>
      <c r="AB154" s="116">
        <f t="shared" si="34"/>
        <v>0</v>
      </c>
      <c r="AC154" s="116">
        <f t="shared" si="34"/>
        <v>0</v>
      </c>
      <c r="AD154" s="116">
        <f t="shared" si="34"/>
        <v>0</v>
      </c>
      <c r="AE154" s="116">
        <f t="shared" si="34"/>
        <v>0</v>
      </c>
      <c r="AF154" s="29"/>
      <c r="AG154" s="102"/>
    </row>
    <row r="155" spans="1:33" x14ac:dyDescent="0.3">
      <c r="A155" s="115" t="s">
        <v>170</v>
      </c>
      <c r="B155" s="116">
        <f>B162+B168+B174</f>
        <v>0</v>
      </c>
      <c r="C155" s="116">
        <f t="shared" si="33"/>
        <v>105.1</v>
      </c>
      <c r="D155" s="116">
        <f>D162+D168+D174</f>
        <v>0</v>
      </c>
      <c r="E155" s="116">
        <f>E161+E168+E174</f>
        <v>93.623999999999995</v>
      </c>
      <c r="F155" s="116">
        <f>IFERROR(E155/B155*100,0)</f>
        <v>0</v>
      </c>
      <c r="G155" s="116">
        <f>IFERROR(E155/C155*100,0)</f>
        <v>89.080875356803048</v>
      </c>
      <c r="H155" s="116">
        <f t="shared" si="34"/>
        <v>0</v>
      </c>
      <c r="I155" s="116">
        <f t="shared" si="34"/>
        <v>0</v>
      </c>
      <c r="J155" s="116">
        <f t="shared" si="34"/>
        <v>0</v>
      </c>
      <c r="K155" s="116">
        <f t="shared" si="34"/>
        <v>0</v>
      </c>
      <c r="L155" s="116">
        <f t="shared" si="34"/>
        <v>0</v>
      </c>
      <c r="M155" s="116">
        <f t="shared" si="34"/>
        <v>0</v>
      </c>
      <c r="N155" s="116">
        <f t="shared" si="34"/>
        <v>0</v>
      </c>
      <c r="O155" s="116">
        <f t="shared" si="34"/>
        <v>0</v>
      </c>
      <c r="P155" s="116">
        <f t="shared" si="34"/>
        <v>0</v>
      </c>
      <c r="Q155" s="116">
        <f t="shared" si="34"/>
        <v>0</v>
      </c>
      <c r="R155" s="116">
        <f t="shared" si="34"/>
        <v>0</v>
      </c>
      <c r="S155" s="116">
        <f t="shared" si="34"/>
        <v>0</v>
      </c>
      <c r="T155" s="116">
        <f t="shared" si="34"/>
        <v>0</v>
      </c>
      <c r="U155" s="116">
        <f t="shared" si="34"/>
        <v>0</v>
      </c>
      <c r="V155" s="116">
        <f t="shared" si="34"/>
        <v>0</v>
      </c>
      <c r="W155" s="116">
        <f t="shared" si="34"/>
        <v>0</v>
      </c>
      <c r="X155" s="116">
        <f t="shared" si="34"/>
        <v>0</v>
      </c>
      <c r="Y155" s="116">
        <f t="shared" si="34"/>
        <v>0</v>
      </c>
      <c r="Z155" s="116">
        <f t="shared" si="34"/>
        <v>0</v>
      </c>
      <c r="AA155" s="116">
        <f t="shared" si="34"/>
        <v>0</v>
      </c>
      <c r="AB155" s="116">
        <f t="shared" si="34"/>
        <v>0</v>
      </c>
      <c r="AC155" s="116">
        <f t="shared" si="34"/>
        <v>0</v>
      </c>
      <c r="AD155" s="116">
        <f t="shared" si="34"/>
        <v>0</v>
      </c>
      <c r="AE155" s="116">
        <f t="shared" si="34"/>
        <v>0</v>
      </c>
      <c r="AF155" s="29"/>
      <c r="AG155" s="102"/>
    </row>
    <row r="156" spans="1:33" x14ac:dyDescent="0.3">
      <c r="A156" s="122" t="s">
        <v>195</v>
      </c>
      <c r="B156" s="116"/>
      <c r="C156" s="116"/>
      <c r="D156" s="123"/>
      <c r="E156" s="123"/>
      <c r="F156" s="123"/>
      <c r="G156" s="123"/>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29"/>
      <c r="AG156" s="102"/>
    </row>
    <row r="157" spans="1:33" x14ac:dyDescent="0.3">
      <c r="A157" s="122" t="s">
        <v>196</v>
      </c>
      <c r="B157" s="134"/>
      <c r="C157" s="135"/>
      <c r="D157" s="135"/>
      <c r="E157" s="135"/>
      <c r="F157" s="135"/>
      <c r="G157" s="135"/>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29"/>
      <c r="AG157" s="102"/>
    </row>
    <row r="158" spans="1:33" x14ac:dyDescent="0.3">
      <c r="A158" s="112" t="s">
        <v>31</v>
      </c>
      <c r="B158" s="642">
        <f>B160+B161+B159+B162</f>
        <v>105.1</v>
      </c>
      <c r="C158" s="113">
        <f>C160+C161+C159+C162</f>
        <v>105.1</v>
      </c>
      <c r="D158" s="113">
        <f>D160+D161+D159+D162</f>
        <v>93.623999999999995</v>
      </c>
      <c r="E158" s="113">
        <f>E160+E161+E159+E162</f>
        <v>93.623999999999995</v>
      </c>
      <c r="F158" s="113">
        <f>IFERROR(E158/B158*100,0)</f>
        <v>89.080875356803048</v>
      </c>
      <c r="G158" s="113">
        <f>IFERROR(E158/C158*100,0)</f>
        <v>89.080875356803048</v>
      </c>
      <c r="H158" s="113">
        <f t="shared" ref="H158:AE158" si="35">H160+H161+H159+H162</f>
        <v>0</v>
      </c>
      <c r="I158" s="113">
        <f t="shared" si="35"/>
        <v>0</v>
      </c>
      <c r="J158" s="113">
        <f t="shared" si="35"/>
        <v>0</v>
      </c>
      <c r="K158" s="113">
        <f t="shared" si="35"/>
        <v>0</v>
      </c>
      <c r="L158" s="113">
        <f t="shared" si="35"/>
        <v>90</v>
      </c>
      <c r="M158" s="113">
        <f t="shared" si="35"/>
        <v>0</v>
      </c>
      <c r="N158" s="113">
        <f t="shared" si="35"/>
        <v>15.1</v>
      </c>
      <c r="O158" s="113">
        <f t="shared" si="35"/>
        <v>105.1</v>
      </c>
      <c r="P158" s="113">
        <f t="shared" si="35"/>
        <v>0</v>
      </c>
      <c r="Q158" s="113">
        <f t="shared" si="35"/>
        <v>0</v>
      </c>
      <c r="R158" s="113">
        <f t="shared" si="35"/>
        <v>0</v>
      </c>
      <c r="S158" s="113">
        <f t="shared" si="35"/>
        <v>-11.476000000000001</v>
      </c>
      <c r="T158" s="113">
        <f t="shared" si="35"/>
        <v>0</v>
      </c>
      <c r="U158" s="113">
        <f t="shared" si="35"/>
        <v>0</v>
      </c>
      <c r="V158" s="113">
        <f t="shared" si="35"/>
        <v>0</v>
      </c>
      <c r="W158" s="113">
        <f t="shared" si="35"/>
        <v>0</v>
      </c>
      <c r="X158" s="113">
        <f t="shared" si="35"/>
        <v>0</v>
      </c>
      <c r="Y158" s="113">
        <f t="shared" si="35"/>
        <v>0</v>
      </c>
      <c r="Z158" s="113">
        <f t="shared" si="35"/>
        <v>0</v>
      </c>
      <c r="AA158" s="113">
        <f t="shared" si="35"/>
        <v>0</v>
      </c>
      <c r="AB158" s="113">
        <f t="shared" si="35"/>
        <v>0</v>
      </c>
      <c r="AC158" s="113">
        <f t="shared" si="35"/>
        <v>0</v>
      </c>
      <c r="AD158" s="113">
        <f t="shared" si="35"/>
        <v>0</v>
      </c>
      <c r="AE158" s="113">
        <f t="shared" si="35"/>
        <v>0</v>
      </c>
      <c r="AF158" s="884"/>
      <c r="AG158" s="102"/>
    </row>
    <row r="159" spans="1:33" x14ac:dyDescent="0.3">
      <c r="A159" s="115" t="s">
        <v>169</v>
      </c>
      <c r="B159" s="116"/>
      <c r="C159" s="117"/>
      <c r="D159" s="118"/>
      <c r="E159" s="117"/>
      <c r="F159" s="116"/>
      <c r="G159" s="116"/>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29"/>
      <c r="AG159" s="102"/>
    </row>
    <row r="160" spans="1:33" x14ac:dyDescent="0.3">
      <c r="A160" s="115" t="s">
        <v>32</v>
      </c>
      <c r="B160" s="116"/>
      <c r="C160" s="117"/>
      <c r="D160" s="118"/>
      <c r="E160" s="117"/>
      <c r="F160" s="116"/>
      <c r="G160" s="116"/>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29"/>
      <c r="AG160" s="102"/>
    </row>
    <row r="161" spans="1:33" x14ac:dyDescent="0.3">
      <c r="A161" s="115" t="s">
        <v>33</v>
      </c>
      <c r="B161" s="116">
        <f>J161+L161+N161+P161+R161+T161+V161+X161+Z161+AB161+AD161+H161</f>
        <v>105.1</v>
      </c>
      <c r="C161" s="117">
        <f>SUM(H161+J161+L161+N161)</f>
        <v>105.1</v>
      </c>
      <c r="D161" s="118">
        <f>E161</f>
        <v>93.623999999999995</v>
      </c>
      <c r="E161" s="117">
        <f>SUM(I161,K161,M161,O161,Q161,S161,U161,W161,Y161,AA161,AC161,AE161)</f>
        <v>93.623999999999995</v>
      </c>
      <c r="F161" s="116">
        <f>IFERROR(E161/B161*100,0)</f>
        <v>89.080875356803048</v>
      </c>
      <c r="G161" s="116">
        <f>IFERROR(E161/C161*100,0)</f>
        <v>89.080875356803048</v>
      </c>
      <c r="H161" s="111">
        <v>0</v>
      </c>
      <c r="I161" s="111">
        <v>0</v>
      </c>
      <c r="J161" s="111"/>
      <c r="K161" s="111"/>
      <c r="L161" s="111">
        <v>90</v>
      </c>
      <c r="M161" s="111">
        <v>0</v>
      </c>
      <c r="N161" s="111">
        <v>15.1</v>
      </c>
      <c r="O161" s="111">
        <v>105.1</v>
      </c>
      <c r="P161" s="111">
        <v>0</v>
      </c>
      <c r="Q161" s="111">
        <v>0</v>
      </c>
      <c r="R161" s="111">
        <v>0</v>
      </c>
      <c r="S161" s="111">
        <v>-11.476000000000001</v>
      </c>
      <c r="T161" s="111">
        <v>0</v>
      </c>
      <c r="U161" s="111">
        <v>0</v>
      </c>
      <c r="V161" s="111"/>
      <c r="W161" s="111"/>
      <c r="X161" s="111"/>
      <c r="Y161" s="111"/>
      <c r="Z161" s="111"/>
      <c r="AA161" s="111"/>
      <c r="AB161" s="111"/>
      <c r="AC161" s="111"/>
      <c r="AD161" s="111"/>
      <c r="AE161" s="111"/>
      <c r="AF161" s="29"/>
      <c r="AG161" s="102"/>
    </row>
    <row r="162" spans="1:33" x14ac:dyDescent="0.3">
      <c r="A162" s="115" t="s">
        <v>170</v>
      </c>
      <c r="B162" s="116"/>
      <c r="C162" s="117"/>
      <c r="D162" s="118"/>
      <c r="E162" s="117"/>
      <c r="F162" s="116"/>
      <c r="G162" s="116"/>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29"/>
      <c r="AG162" s="102"/>
    </row>
    <row r="163" spans="1:33" x14ac:dyDescent="0.3">
      <c r="A163" s="122" t="s">
        <v>197</v>
      </c>
      <c r="B163" s="134"/>
      <c r="C163" s="135"/>
      <c r="D163" s="135"/>
      <c r="E163" s="135"/>
      <c r="F163" s="135"/>
      <c r="G163" s="135"/>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29"/>
      <c r="AG163" s="102"/>
    </row>
    <row r="164" spans="1:33" x14ac:dyDescent="0.3">
      <c r="A164" s="112" t="s">
        <v>31</v>
      </c>
      <c r="B164" s="642">
        <f>B166+B167+B165+B168</f>
        <v>200</v>
      </c>
      <c r="C164" s="113">
        <f>C166+C167+C165+C168</f>
        <v>0</v>
      </c>
      <c r="D164" s="113">
        <f>D166+D167+D165+D168</f>
        <v>0</v>
      </c>
      <c r="E164" s="113">
        <f>E166+E167+E165+E168</f>
        <v>0</v>
      </c>
      <c r="F164" s="113">
        <f>IFERROR(E164/B164*100,0)</f>
        <v>0</v>
      </c>
      <c r="G164" s="113">
        <f>IFERROR(E164/C164*100,0)</f>
        <v>0</v>
      </c>
      <c r="H164" s="113">
        <f t="shared" ref="H164:AE164" si="36">H166+H167+H165+H168</f>
        <v>0</v>
      </c>
      <c r="I164" s="113">
        <f t="shared" si="36"/>
        <v>0</v>
      </c>
      <c r="J164" s="113">
        <f t="shared" si="36"/>
        <v>0</v>
      </c>
      <c r="K164" s="113">
        <f t="shared" si="36"/>
        <v>0</v>
      </c>
      <c r="L164" s="113">
        <f t="shared" si="36"/>
        <v>0</v>
      </c>
      <c r="M164" s="113">
        <f t="shared" si="36"/>
        <v>0</v>
      </c>
      <c r="N164" s="113">
        <f t="shared" si="36"/>
        <v>0</v>
      </c>
      <c r="O164" s="113">
        <f t="shared" si="36"/>
        <v>0</v>
      </c>
      <c r="P164" s="113">
        <f t="shared" si="36"/>
        <v>0</v>
      </c>
      <c r="Q164" s="113">
        <f t="shared" si="36"/>
        <v>0</v>
      </c>
      <c r="R164" s="113">
        <f t="shared" si="36"/>
        <v>0</v>
      </c>
      <c r="S164" s="113">
        <f t="shared" si="36"/>
        <v>0</v>
      </c>
      <c r="T164" s="113">
        <f t="shared" si="36"/>
        <v>0</v>
      </c>
      <c r="U164" s="113">
        <f t="shared" si="36"/>
        <v>0</v>
      </c>
      <c r="V164" s="113">
        <f t="shared" si="36"/>
        <v>60</v>
      </c>
      <c r="W164" s="113">
        <f t="shared" si="36"/>
        <v>0</v>
      </c>
      <c r="X164" s="113">
        <f t="shared" si="36"/>
        <v>140</v>
      </c>
      <c r="Y164" s="113">
        <f t="shared" si="36"/>
        <v>0</v>
      </c>
      <c r="Z164" s="113">
        <f t="shared" si="36"/>
        <v>0</v>
      </c>
      <c r="AA164" s="113">
        <f t="shared" si="36"/>
        <v>0</v>
      </c>
      <c r="AB164" s="113">
        <f t="shared" si="36"/>
        <v>0</v>
      </c>
      <c r="AC164" s="113">
        <f t="shared" si="36"/>
        <v>0</v>
      </c>
      <c r="AD164" s="113">
        <f t="shared" si="36"/>
        <v>0</v>
      </c>
      <c r="AE164" s="113">
        <f t="shared" si="36"/>
        <v>0</v>
      </c>
      <c r="AF164" s="29"/>
      <c r="AG164" s="102"/>
    </row>
    <row r="165" spans="1:33" x14ac:dyDescent="0.3">
      <c r="A165" s="115" t="s">
        <v>169</v>
      </c>
      <c r="B165" s="116"/>
      <c r="C165" s="117"/>
      <c r="D165" s="118"/>
      <c r="E165" s="117"/>
      <c r="F165" s="116"/>
      <c r="G165" s="116"/>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29"/>
      <c r="AG165" s="102"/>
    </row>
    <row r="166" spans="1:33" x14ac:dyDescent="0.3">
      <c r="A166" s="115" t="s">
        <v>32</v>
      </c>
      <c r="B166" s="116"/>
      <c r="C166" s="117"/>
      <c r="D166" s="118"/>
      <c r="E166" s="117"/>
      <c r="F166" s="116"/>
      <c r="G166" s="116"/>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29"/>
      <c r="AG166" s="102"/>
    </row>
    <row r="167" spans="1:33" x14ac:dyDescent="0.3">
      <c r="A167" s="115" t="s">
        <v>33</v>
      </c>
      <c r="B167" s="116">
        <f>J167+L167+N167+P167+R167+T167+V167+X167+Z167+AB167+AD167+H167</f>
        <v>200</v>
      </c>
      <c r="C167" s="117">
        <f>SUM(H167+J167+L167+N167)</f>
        <v>0</v>
      </c>
      <c r="D167" s="118">
        <f>E167</f>
        <v>0</v>
      </c>
      <c r="E167" s="117">
        <f>SUM(I167,K167,M167,O167,Q167,S167,U167,W167,Y167,AA167,AC167,AE167)</f>
        <v>0</v>
      </c>
      <c r="F167" s="116">
        <f>IFERROR(E167/B167*100,0)</f>
        <v>0</v>
      </c>
      <c r="G167" s="116">
        <f>IFERROR(E167/C167*100,0)</f>
        <v>0</v>
      </c>
      <c r="H167" s="111">
        <v>0</v>
      </c>
      <c r="I167" s="111">
        <v>0</v>
      </c>
      <c r="J167" s="111">
        <v>0</v>
      </c>
      <c r="K167" s="111">
        <v>0</v>
      </c>
      <c r="L167" s="111">
        <v>0</v>
      </c>
      <c r="M167" s="111">
        <v>0</v>
      </c>
      <c r="N167" s="111">
        <v>0</v>
      </c>
      <c r="O167" s="111">
        <v>0</v>
      </c>
      <c r="P167" s="111">
        <v>0</v>
      </c>
      <c r="Q167" s="111">
        <v>0</v>
      </c>
      <c r="R167" s="111">
        <v>0</v>
      </c>
      <c r="S167" s="111">
        <v>0</v>
      </c>
      <c r="T167" s="111">
        <v>0</v>
      </c>
      <c r="U167" s="111">
        <v>0</v>
      </c>
      <c r="V167" s="111">
        <v>60</v>
      </c>
      <c r="W167" s="111"/>
      <c r="X167" s="111">
        <v>140</v>
      </c>
      <c r="Y167" s="111"/>
      <c r="Z167" s="111"/>
      <c r="AA167" s="111"/>
      <c r="AB167" s="111"/>
      <c r="AC167" s="111"/>
      <c r="AD167" s="111"/>
      <c r="AE167" s="111"/>
      <c r="AF167" s="29"/>
      <c r="AG167" s="102"/>
    </row>
    <row r="168" spans="1:33" x14ac:dyDescent="0.3">
      <c r="A168" s="115" t="s">
        <v>170</v>
      </c>
      <c r="B168" s="116"/>
      <c r="C168" s="117"/>
      <c r="D168" s="118"/>
      <c r="E168" s="117"/>
      <c r="F168" s="116"/>
      <c r="G168" s="116"/>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29"/>
      <c r="AG168" s="102"/>
    </row>
    <row r="169" spans="1:33" x14ac:dyDescent="0.3">
      <c r="A169" s="122" t="s">
        <v>198</v>
      </c>
      <c r="B169" s="134"/>
      <c r="C169" s="135"/>
      <c r="D169" s="135"/>
      <c r="E169" s="135"/>
      <c r="F169" s="135"/>
      <c r="G169" s="135"/>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29"/>
      <c r="AG169" s="102"/>
    </row>
    <row r="170" spans="1:33" x14ac:dyDescent="0.3">
      <c r="A170" s="112" t="s">
        <v>31</v>
      </c>
      <c r="B170" s="642">
        <f>B172+B173+B171+B174</f>
        <v>68</v>
      </c>
      <c r="C170" s="113">
        <f>C172+C173+C171+C174</f>
        <v>68</v>
      </c>
      <c r="D170" s="113">
        <f>D172+D173+D171+D174</f>
        <v>0</v>
      </c>
      <c r="E170" s="113">
        <f>E172+E173+E171+E174</f>
        <v>0</v>
      </c>
      <c r="F170" s="113">
        <f>IFERROR(E170/B170*100,0)</f>
        <v>0</v>
      </c>
      <c r="G170" s="113">
        <f>IFERROR(E170/C170*100,0)</f>
        <v>0</v>
      </c>
      <c r="H170" s="113">
        <f t="shared" ref="H170:AE170" si="37">H172+H173+H171+H174</f>
        <v>0</v>
      </c>
      <c r="I170" s="113">
        <f t="shared" si="37"/>
        <v>0</v>
      </c>
      <c r="J170" s="113">
        <f t="shared" si="37"/>
        <v>0</v>
      </c>
      <c r="K170" s="113">
        <f t="shared" si="37"/>
        <v>0</v>
      </c>
      <c r="L170" s="113">
        <f t="shared" si="37"/>
        <v>68</v>
      </c>
      <c r="M170" s="113">
        <f t="shared" si="37"/>
        <v>0</v>
      </c>
      <c r="N170" s="113">
        <f t="shared" si="37"/>
        <v>0</v>
      </c>
      <c r="O170" s="113">
        <f t="shared" si="37"/>
        <v>0</v>
      </c>
      <c r="P170" s="113">
        <f t="shared" si="37"/>
        <v>0</v>
      </c>
      <c r="Q170" s="113">
        <f t="shared" si="37"/>
        <v>0</v>
      </c>
      <c r="R170" s="113">
        <f t="shared" si="37"/>
        <v>0</v>
      </c>
      <c r="S170" s="113">
        <f t="shared" si="37"/>
        <v>0</v>
      </c>
      <c r="T170" s="113">
        <f t="shared" si="37"/>
        <v>0</v>
      </c>
      <c r="U170" s="113">
        <f t="shared" si="37"/>
        <v>0</v>
      </c>
      <c r="V170" s="113">
        <f t="shared" si="37"/>
        <v>0</v>
      </c>
      <c r="W170" s="113">
        <f t="shared" si="37"/>
        <v>0</v>
      </c>
      <c r="X170" s="113">
        <f t="shared" si="37"/>
        <v>0</v>
      </c>
      <c r="Y170" s="113">
        <f t="shared" si="37"/>
        <v>0</v>
      </c>
      <c r="Z170" s="113">
        <f t="shared" si="37"/>
        <v>0</v>
      </c>
      <c r="AA170" s="113">
        <f t="shared" si="37"/>
        <v>0</v>
      </c>
      <c r="AB170" s="113">
        <f t="shared" si="37"/>
        <v>0</v>
      </c>
      <c r="AC170" s="113">
        <f t="shared" si="37"/>
        <v>0</v>
      </c>
      <c r="AD170" s="113">
        <f t="shared" si="37"/>
        <v>0</v>
      </c>
      <c r="AE170" s="113">
        <f t="shared" si="37"/>
        <v>0</v>
      </c>
      <c r="AF170" s="885"/>
      <c r="AG170" s="102"/>
    </row>
    <row r="171" spans="1:33" x14ac:dyDescent="0.3">
      <c r="A171" s="115" t="s">
        <v>169</v>
      </c>
      <c r="B171" s="116"/>
      <c r="C171" s="117"/>
      <c r="D171" s="118"/>
      <c r="E171" s="117"/>
      <c r="F171" s="116"/>
      <c r="G171" s="116"/>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29"/>
      <c r="AG171" s="102"/>
    </row>
    <row r="172" spans="1:33" x14ac:dyDescent="0.3">
      <c r="A172" s="115" t="s">
        <v>32</v>
      </c>
      <c r="B172" s="116"/>
      <c r="C172" s="117"/>
      <c r="D172" s="118"/>
      <c r="E172" s="117"/>
      <c r="F172" s="116"/>
      <c r="G172" s="116"/>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29"/>
      <c r="AG172" s="102"/>
    </row>
    <row r="173" spans="1:33" x14ac:dyDescent="0.3">
      <c r="A173" s="115" t="s">
        <v>33</v>
      </c>
      <c r="B173" s="116">
        <f>J173+L173+N173+P173+R173+T173+V173+X173+Z173+AB173+AD173+H173</f>
        <v>68</v>
      </c>
      <c r="C173" s="117">
        <f>SUM(H173+J173+L173)</f>
        <v>68</v>
      </c>
      <c r="D173" s="118">
        <f>E173</f>
        <v>0</v>
      </c>
      <c r="E173" s="117">
        <f>SUM(I173,K173,M173,O173,Q173,S173,U173,W173,Y173,AA173,AC173,AE173)</f>
        <v>0</v>
      </c>
      <c r="F173" s="116">
        <f>IFERROR(E173/B173*100,0)</f>
        <v>0</v>
      </c>
      <c r="G173" s="116">
        <f>IFERROR(E173/C173*100,0)</f>
        <v>0</v>
      </c>
      <c r="H173" s="111">
        <v>0</v>
      </c>
      <c r="I173" s="111">
        <v>0</v>
      </c>
      <c r="J173" s="111">
        <v>0</v>
      </c>
      <c r="K173" s="111">
        <v>0</v>
      </c>
      <c r="L173" s="111">
        <v>68</v>
      </c>
      <c r="M173" s="111">
        <v>0</v>
      </c>
      <c r="N173" s="111">
        <v>0</v>
      </c>
      <c r="O173" s="111">
        <v>0</v>
      </c>
      <c r="P173" s="111">
        <v>0</v>
      </c>
      <c r="Q173" s="111">
        <v>0</v>
      </c>
      <c r="R173" s="111">
        <v>0</v>
      </c>
      <c r="S173" s="111">
        <v>0</v>
      </c>
      <c r="T173" s="111">
        <v>0</v>
      </c>
      <c r="U173" s="111">
        <v>0</v>
      </c>
      <c r="V173" s="111"/>
      <c r="W173" s="111"/>
      <c r="X173" s="111"/>
      <c r="Y173" s="111"/>
      <c r="Z173" s="111"/>
      <c r="AA173" s="111"/>
      <c r="AB173" s="111"/>
      <c r="AC173" s="111"/>
      <c r="AD173" s="111"/>
      <c r="AE173" s="111"/>
      <c r="AF173" s="29"/>
      <c r="AG173" s="102"/>
    </row>
    <row r="174" spans="1:33" x14ac:dyDescent="0.3">
      <c r="A174" s="115" t="s">
        <v>170</v>
      </c>
      <c r="B174" s="116"/>
      <c r="C174" s="117"/>
      <c r="D174" s="118"/>
      <c r="E174" s="117"/>
      <c r="F174" s="116"/>
      <c r="G174" s="116"/>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29"/>
      <c r="AG174" s="102"/>
    </row>
    <row r="175" spans="1:33" ht="75" x14ac:dyDescent="0.3">
      <c r="A175" s="122" t="s">
        <v>199</v>
      </c>
      <c r="B175" s="116"/>
      <c r="C175" s="123"/>
      <c r="D175" s="123"/>
      <c r="E175" s="123"/>
      <c r="F175" s="123"/>
      <c r="G175" s="123"/>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29"/>
      <c r="AG175" s="102"/>
    </row>
    <row r="176" spans="1:33" x14ac:dyDescent="0.3">
      <c r="A176" s="112" t="s">
        <v>31</v>
      </c>
      <c r="B176" s="113">
        <f>B178+B179+B177+B180</f>
        <v>0</v>
      </c>
      <c r="C176" s="113">
        <f>C178+C179+C177+C180</f>
        <v>0</v>
      </c>
      <c r="D176" s="113">
        <f>D178+D179+D177+D180</f>
        <v>0</v>
      </c>
      <c r="E176" s="113">
        <f>E178+E179+E177+E180</f>
        <v>0</v>
      </c>
      <c r="F176" s="113">
        <f>IFERROR(E176/B176*100,0)</f>
        <v>0</v>
      </c>
      <c r="G176" s="113">
        <f>IFERROR(E176/C176*100,0)</f>
        <v>0</v>
      </c>
      <c r="H176" s="113">
        <f t="shared" ref="H176:AE176" si="38">H178+H179+H177+H180</f>
        <v>0</v>
      </c>
      <c r="I176" s="113">
        <f t="shared" si="38"/>
        <v>0</v>
      </c>
      <c r="J176" s="113">
        <f t="shared" si="38"/>
        <v>0</v>
      </c>
      <c r="K176" s="113">
        <f t="shared" si="38"/>
        <v>0</v>
      </c>
      <c r="L176" s="113">
        <f t="shared" si="38"/>
        <v>0</v>
      </c>
      <c r="M176" s="113">
        <f t="shared" si="38"/>
        <v>0</v>
      </c>
      <c r="N176" s="113">
        <f t="shared" si="38"/>
        <v>0</v>
      </c>
      <c r="O176" s="113">
        <f t="shared" si="38"/>
        <v>0</v>
      </c>
      <c r="P176" s="113">
        <f t="shared" si="38"/>
        <v>0</v>
      </c>
      <c r="Q176" s="113">
        <f t="shared" si="38"/>
        <v>0</v>
      </c>
      <c r="R176" s="113">
        <f t="shared" si="38"/>
        <v>0</v>
      </c>
      <c r="S176" s="113">
        <f t="shared" si="38"/>
        <v>0</v>
      </c>
      <c r="T176" s="113">
        <f t="shared" si="38"/>
        <v>0</v>
      </c>
      <c r="U176" s="113">
        <f t="shared" si="38"/>
        <v>0</v>
      </c>
      <c r="V176" s="113">
        <f t="shared" si="38"/>
        <v>0</v>
      </c>
      <c r="W176" s="113">
        <f t="shared" si="38"/>
        <v>0</v>
      </c>
      <c r="X176" s="113">
        <f t="shared" si="38"/>
        <v>0</v>
      </c>
      <c r="Y176" s="113">
        <f t="shared" si="38"/>
        <v>0</v>
      </c>
      <c r="Z176" s="113">
        <f t="shared" si="38"/>
        <v>0</v>
      </c>
      <c r="AA176" s="113">
        <f t="shared" si="38"/>
        <v>0</v>
      </c>
      <c r="AB176" s="113">
        <f t="shared" si="38"/>
        <v>0</v>
      </c>
      <c r="AC176" s="113">
        <f t="shared" si="38"/>
        <v>0</v>
      </c>
      <c r="AD176" s="113">
        <f t="shared" si="38"/>
        <v>0</v>
      </c>
      <c r="AE176" s="113">
        <f t="shared" si="38"/>
        <v>0</v>
      </c>
      <c r="AF176" s="29"/>
      <c r="AG176" s="102"/>
    </row>
    <row r="177" spans="1:33" x14ac:dyDescent="0.3">
      <c r="A177" s="115" t="s">
        <v>169</v>
      </c>
      <c r="B177" s="116">
        <f>H177+J177+L177+N177+P177+R177+T177+V177+X177+Z177+AB177+AD177</f>
        <v>0</v>
      </c>
      <c r="C177" s="117">
        <f>SUM(H177)</f>
        <v>0</v>
      </c>
      <c r="D177" s="118">
        <f>E177</f>
        <v>0</v>
      </c>
      <c r="E177" s="117">
        <f>SUM(I177,K177,M177,O177,Q177,S177,U177,W177,Y177,AA177,AC177,AE177)</f>
        <v>0</v>
      </c>
      <c r="F177" s="116">
        <f>IFERROR(E177/B177*100,0)</f>
        <v>0</v>
      </c>
      <c r="G177" s="116">
        <f>IFERROR(E177/C177*100,0)</f>
        <v>0</v>
      </c>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29"/>
      <c r="AG177" s="102"/>
    </row>
    <row r="178" spans="1:33" x14ac:dyDescent="0.3">
      <c r="A178" s="115" t="s">
        <v>32</v>
      </c>
      <c r="B178" s="116">
        <f>J178+L178+N178+P178+R178+T178+V178+X178+Z178+AB178+AD178+H178</f>
        <v>0</v>
      </c>
      <c r="C178" s="117">
        <f>SUM(H178)</f>
        <v>0</v>
      </c>
      <c r="D178" s="118">
        <f>E178</f>
        <v>0</v>
      </c>
      <c r="E178" s="117">
        <f>SUM(I178,K178,M178,O178,Q178,S178,U178,W178,Y178,AA178,AC178,AE178)</f>
        <v>0</v>
      </c>
      <c r="F178" s="116">
        <f>IFERROR(E178/B178*100,0)</f>
        <v>0</v>
      </c>
      <c r="G178" s="116">
        <f>IFERROR(E178/C178*100,0)</f>
        <v>0</v>
      </c>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29"/>
      <c r="AG178" s="102"/>
    </row>
    <row r="179" spans="1:33" x14ac:dyDescent="0.3">
      <c r="A179" s="115" t="s">
        <v>33</v>
      </c>
      <c r="B179" s="116">
        <f>J179+L179+N179+P179+R179+T179+V179+X179+Z179+AB179+AD179+H179</f>
        <v>0</v>
      </c>
      <c r="C179" s="117">
        <f>SUM(H179)</f>
        <v>0</v>
      </c>
      <c r="D179" s="118">
        <f>E179</f>
        <v>0</v>
      </c>
      <c r="E179" s="117">
        <f>SUM(I179,K179,M179,O179,Q179,S179,U179,W179,Y179,AA179,AC179,AE179)</f>
        <v>0</v>
      </c>
      <c r="F179" s="116">
        <f>IFERROR(E179/B179*100,0)</f>
        <v>0</v>
      </c>
      <c r="G179" s="116">
        <f>IFERROR(E179/C179*100,0)</f>
        <v>0</v>
      </c>
      <c r="H179" s="111">
        <v>0</v>
      </c>
      <c r="I179" s="111">
        <v>0</v>
      </c>
      <c r="J179" s="111">
        <v>0</v>
      </c>
      <c r="K179" s="111">
        <v>0</v>
      </c>
      <c r="L179" s="111">
        <v>0</v>
      </c>
      <c r="M179" s="111">
        <v>0</v>
      </c>
      <c r="N179" s="111">
        <v>0</v>
      </c>
      <c r="O179" s="111">
        <v>0</v>
      </c>
      <c r="P179" s="111"/>
      <c r="Q179" s="111"/>
      <c r="R179" s="111"/>
      <c r="S179" s="111"/>
      <c r="T179" s="111"/>
      <c r="U179" s="111"/>
      <c r="V179" s="111"/>
      <c r="W179" s="111"/>
      <c r="X179" s="111"/>
      <c r="Y179" s="111"/>
      <c r="Z179" s="111"/>
      <c r="AA179" s="111"/>
      <c r="AB179" s="111"/>
      <c r="AC179" s="111"/>
      <c r="AD179" s="111"/>
      <c r="AE179" s="111"/>
      <c r="AF179" s="29"/>
      <c r="AG179" s="102"/>
    </row>
    <row r="180" spans="1:33" x14ac:dyDescent="0.3">
      <c r="A180" s="115" t="s">
        <v>170</v>
      </c>
      <c r="B180" s="116">
        <f>J180+L180+N180+P180+R180+T180+V180+X180+Z180+AB180+AD180+H180</f>
        <v>0</v>
      </c>
      <c r="C180" s="117">
        <f>SUM(H180)</f>
        <v>0</v>
      </c>
      <c r="D180" s="118">
        <f>E180</f>
        <v>0</v>
      </c>
      <c r="E180" s="117">
        <f>SUM(I180,K180,M180,O180,Q180,S180,U180,W180,Y180,AA180,AC180,AE180)</f>
        <v>0</v>
      </c>
      <c r="F180" s="116">
        <f>IFERROR(E180/B180*100,0)</f>
        <v>0</v>
      </c>
      <c r="G180" s="116">
        <f>IFERROR(E180/C180*100,0)</f>
        <v>0</v>
      </c>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29"/>
      <c r="AG180" s="102"/>
    </row>
    <row r="181" spans="1:33" ht="37.5" x14ac:dyDescent="0.3">
      <c r="A181" s="124" t="s">
        <v>200</v>
      </c>
      <c r="B181" s="107"/>
      <c r="C181" s="136"/>
      <c r="D181" s="136"/>
      <c r="E181" s="136"/>
      <c r="F181" s="136"/>
      <c r="G181" s="136"/>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1"/>
      <c r="AG181" s="102"/>
    </row>
    <row r="182" spans="1:33" x14ac:dyDescent="0.3">
      <c r="A182" s="103" t="s">
        <v>31</v>
      </c>
      <c r="B182" s="104">
        <f>B183+B184+B185+B186</f>
        <v>169091.10200000004</v>
      </c>
      <c r="C182" s="104">
        <f>C183+C184+C185+C186</f>
        <v>55555.400000000009</v>
      </c>
      <c r="D182" s="104">
        <f>D183+D184+D185+D186</f>
        <v>92210.81700000001</v>
      </c>
      <c r="E182" s="104">
        <f>E183+E184+E185+E186</f>
        <v>92210.816999999995</v>
      </c>
      <c r="F182" s="107">
        <v>0</v>
      </c>
      <c r="G182" s="107">
        <v>0</v>
      </c>
      <c r="H182" s="104">
        <f>H183+H184+H185+H186</f>
        <v>16944.11</v>
      </c>
      <c r="I182" s="104">
        <f t="shared" ref="I182:AE182" si="39">I183+I184+I185+I186</f>
        <v>13353.019</v>
      </c>
      <c r="J182" s="104">
        <f t="shared" si="39"/>
        <v>13239.59</v>
      </c>
      <c r="K182" s="104">
        <f t="shared" si="39"/>
        <v>10800.120999999999</v>
      </c>
      <c r="L182" s="104">
        <f t="shared" si="39"/>
        <v>9777.57</v>
      </c>
      <c r="M182" s="104">
        <f t="shared" si="39"/>
        <v>9469.74</v>
      </c>
      <c r="N182" s="104">
        <f t="shared" si="39"/>
        <v>15594.13</v>
      </c>
      <c r="O182" s="104">
        <f t="shared" si="39"/>
        <v>12064.380000000001</v>
      </c>
      <c r="P182" s="104">
        <f t="shared" si="39"/>
        <v>14082.019999999999</v>
      </c>
      <c r="Q182" s="104">
        <f t="shared" si="39"/>
        <v>9187.514000000001</v>
      </c>
      <c r="R182" s="104">
        <f t="shared" si="39"/>
        <v>15228.46</v>
      </c>
      <c r="S182" s="104">
        <f t="shared" si="39"/>
        <v>19816.169000000002</v>
      </c>
      <c r="T182" s="104">
        <f t="shared" si="39"/>
        <v>16342.57</v>
      </c>
      <c r="U182" s="104">
        <f t="shared" si="39"/>
        <v>17519.874</v>
      </c>
      <c r="V182" s="104">
        <f t="shared" si="39"/>
        <v>11373.369999999999</v>
      </c>
      <c r="W182" s="104">
        <f t="shared" si="39"/>
        <v>0</v>
      </c>
      <c r="X182" s="104">
        <f t="shared" si="39"/>
        <v>12042.312</v>
      </c>
      <c r="Y182" s="104">
        <f t="shared" si="39"/>
        <v>0</v>
      </c>
      <c r="Z182" s="104">
        <f t="shared" si="39"/>
        <v>15258.235000000001</v>
      </c>
      <c r="AA182" s="104">
        <f t="shared" si="39"/>
        <v>0</v>
      </c>
      <c r="AB182" s="104">
        <f t="shared" si="39"/>
        <v>9675.9930000000004</v>
      </c>
      <c r="AC182" s="104">
        <f t="shared" si="39"/>
        <v>0</v>
      </c>
      <c r="AD182" s="104">
        <f t="shared" si="39"/>
        <v>19532.741999999998</v>
      </c>
      <c r="AE182" s="104">
        <f t="shared" si="39"/>
        <v>0</v>
      </c>
      <c r="AF182" s="101"/>
      <c r="AG182" s="102"/>
    </row>
    <row r="183" spans="1:33" x14ac:dyDescent="0.3">
      <c r="A183" s="106" t="s">
        <v>169</v>
      </c>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1"/>
      <c r="AG183" s="102"/>
    </row>
    <row r="184" spans="1:33" x14ac:dyDescent="0.3">
      <c r="A184" s="106" t="s">
        <v>32</v>
      </c>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1"/>
      <c r="AG184" s="102"/>
    </row>
    <row r="185" spans="1:33" x14ac:dyDescent="0.3">
      <c r="A185" s="106" t="s">
        <v>33</v>
      </c>
      <c r="B185" s="107">
        <f>B191+B197+B203+B209+B215</f>
        <v>169091.10200000004</v>
      </c>
      <c r="C185" s="107">
        <f>C191+C197+C203+C209+C215</f>
        <v>55555.400000000009</v>
      </c>
      <c r="D185" s="107">
        <f>D191+D197+D203+D209+D215</f>
        <v>92210.81700000001</v>
      </c>
      <c r="E185" s="107">
        <f>SUM(I185,K185,M185,O185,Q185,S185,U185,W185,Y185,AA185,AC185,AE185)</f>
        <v>92210.816999999995</v>
      </c>
      <c r="F185" s="107">
        <f>IFERROR(E185/B185*100,0)</f>
        <v>54.53321665619044</v>
      </c>
      <c r="G185" s="107">
        <f>IFERROR(E185/C185*100,0)</f>
        <v>165.97993534381891</v>
      </c>
      <c r="H185" s="107">
        <f>H191+H197+H203+H209+H215</f>
        <v>16944.11</v>
      </c>
      <c r="I185" s="107">
        <f t="shared" ref="I185:AE185" si="40">I191+I197+I203+I209+I215</f>
        <v>13353.019</v>
      </c>
      <c r="J185" s="107">
        <f t="shared" si="40"/>
        <v>13239.59</v>
      </c>
      <c r="K185" s="107">
        <f t="shared" si="40"/>
        <v>10800.120999999999</v>
      </c>
      <c r="L185" s="107">
        <f t="shared" si="40"/>
        <v>9777.57</v>
      </c>
      <c r="M185" s="107">
        <f t="shared" si="40"/>
        <v>9469.74</v>
      </c>
      <c r="N185" s="107">
        <f t="shared" si="40"/>
        <v>15594.13</v>
      </c>
      <c r="O185" s="107">
        <f t="shared" si="40"/>
        <v>12064.380000000001</v>
      </c>
      <c r="P185" s="107">
        <f t="shared" si="40"/>
        <v>14082.019999999999</v>
      </c>
      <c r="Q185" s="107">
        <f t="shared" si="40"/>
        <v>9187.514000000001</v>
      </c>
      <c r="R185" s="107">
        <f t="shared" si="40"/>
        <v>15228.46</v>
      </c>
      <c r="S185" s="107">
        <f t="shared" si="40"/>
        <v>19816.169000000002</v>
      </c>
      <c r="T185" s="107">
        <f t="shared" si="40"/>
        <v>16342.57</v>
      </c>
      <c r="U185" s="107">
        <f t="shared" si="40"/>
        <v>17519.874</v>
      </c>
      <c r="V185" s="107">
        <f t="shared" si="40"/>
        <v>11373.369999999999</v>
      </c>
      <c r="W185" s="107">
        <f t="shared" si="40"/>
        <v>0</v>
      </c>
      <c r="X185" s="107">
        <f t="shared" si="40"/>
        <v>12042.312</v>
      </c>
      <c r="Y185" s="107">
        <f t="shared" si="40"/>
        <v>0</v>
      </c>
      <c r="Z185" s="107">
        <f t="shared" si="40"/>
        <v>15258.235000000001</v>
      </c>
      <c r="AA185" s="107">
        <f t="shared" si="40"/>
        <v>0</v>
      </c>
      <c r="AB185" s="107">
        <f t="shared" si="40"/>
        <v>9675.9930000000004</v>
      </c>
      <c r="AC185" s="107">
        <f t="shared" si="40"/>
        <v>0</v>
      </c>
      <c r="AD185" s="107">
        <f t="shared" si="40"/>
        <v>19532.741999999998</v>
      </c>
      <c r="AE185" s="107">
        <f t="shared" si="40"/>
        <v>0</v>
      </c>
      <c r="AF185" s="101"/>
      <c r="AG185" s="102"/>
    </row>
    <row r="186" spans="1:33" x14ac:dyDescent="0.3">
      <c r="A186" s="106" t="s">
        <v>170</v>
      </c>
      <c r="B186" s="107">
        <f>B192</f>
        <v>0</v>
      </c>
      <c r="C186" s="107"/>
      <c r="D186" s="107"/>
      <c r="E186" s="107"/>
      <c r="F186" s="107"/>
      <c r="G186" s="107"/>
      <c r="H186" s="107">
        <f>H192</f>
        <v>0</v>
      </c>
      <c r="I186" s="107">
        <f t="shared" ref="I186:AE186" si="41">I192</f>
        <v>0</v>
      </c>
      <c r="J186" s="107">
        <f t="shared" si="41"/>
        <v>0</v>
      </c>
      <c r="K186" s="107">
        <f t="shared" si="41"/>
        <v>0</v>
      </c>
      <c r="L186" s="107">
        <f t="shared" si="41"/>
        <v>0</v>
      </c>
      <c r="M186" s="107">
        <f t="shared" si="41"/>
        <v>0</v>
      </c>
      <c r="N186" s="107">
        <f t="shared" si="41"/>
        <v>0</v>
      </c>
      <c r="O186" s="107">
        <f t="shared" si="41"/>
        <v>0</v>
      </c>
      <c r="P186" s="107">
        <f t="shared" si="41"/>
        <v>0</v>
      </c>
      <c r="Q186" s="107">
        <f t="shared" si="41"/>
        <v>0</v>
      </c>
      <c r="R186" s="107">
        <f t="shared" si="41"/>
        <v>0</v>
      </c>
      <c r="S186" s="107">
        <f t="shared" si="41"/>
        <v>0</v>
      </c>
      <c r="T186" s="107">
        <f t="shared" si="41"/>
        <v>0</v>
      </c>
      <c r="U186" s="107">
        <f t="shared" si="41"/>
        <v>0</v>
      </c>
      <c r="V186" s="107">
        <f t="shared" si="41"/>
        <v>0</v>
      </c>
      <c r="W186" s="107">
        <f t="shared" si="41"/>
        <v>0</v>
      </c>
      <c r="X186" s="107">
        <f t="shared" si="41"/>
        <v>0</v>
      </c>
      <c r="Y186" s="107">
        <f t="shared" si="41"/>
        <v>0</v>
      </c>
      <c r="Z186" s="107">
        <f t="shared" si="41"/>
        <v>0</v>
      </c>
      <c r="AA186" s="107">
        <f t="shared" si="41"/>
        <v>0</v>
      </c>
      <c r="AB186" s="107">
        <f t="shared" si="41"/>
        <v>0</v>
      </c>
      <c r="AC186" s="107">
        <f t="shared" si="41"/>
        <v>0</v>
      </c>
      <c r="AD186" s="107">
        <f t="shared" si="41"/>
        <v>0</v>
      </c>
      <c r="AE186" s="107">
        <f t="shared" si="41"/>
        <v>0</v>
      </c>
      <c r="AF186" s="101"/>
      <c r="AG186" s="102"/>
    </row>
    <row r="187" spans="1:33" ht="37.5" x14ac:dyDescent="0.3">
      <c r="A187" s="108" t="s">
        <v>201</v>
      </c>
      <c r="B187" s="109"/>
      <c r="C187" s="110"/>
      <c r="D187" s="110"/>
      <c r="E187" s="110"/>
      <c r="F187" s="110"/>
      <c r="G187" s="110"/>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027"/>
      <c r="AG187" s="102"/>
    </row>
    <row r="188" spans="1:33" x14ac:dyDescent="0.3">
      <c r="A188" s="112" t="s">
        <v>31</v>
      </c>
      <c r="B188" s="642">
        <f>B190+B191+B189+B192</f>
        <v>10692.602000000001</v>
      </c>
      <c r="C188" s="113">
        <f>C190+C191+C189+C192</f>
        <v>3221.2300000000005</v>
      </c>
      <c r="D188" s="113">
        <f>D190+D191+D189+D192</f>
        <v>3742.6019999999999</v>
      </c>
      <c r="E188" s="113">
        <f>E190+E191+E189+E192</f>
        <v>3742.6019999999999</v>
      </c>
      <c r="F188" s="113">
        <f>F189+F190+F191+F193</f>
        <v>35.001789087445687</v>
      </c>
      <c r="G188" s="113">
        <f>G189+G190+G191+G193</f>
        <v>116.1854943608497</v>
      </c>
      <c r="H188" s="113">
        <f t="shared" ref="H188:AE188" si="42">H190+H191+H189+H192</f>
        <v>576.6</v>
      </c>
      <c r="I188" s="113">
        <f t="shared" si="42"/>
        <v>132.07</v>
      </c>
      <c r="J188" s="113">
        <f t="shared" si="42"/>
        <v>1143.6099999999999</v>
      </c>
      <c r="K188" s="113">
        <f t="shared" si="42"/>
        <v>848.18299999999999</v>
      </c>
      <c r="L188" s="113">
        <f t="shared" si="42"/>
        <v>636.47</v>
      </c>
      <c r="M188" s="113">
        <f t="shared" si="42"/>
        <v>692.9</v>
      </c>
      <c r="N188" s="113">
        <f t="shared" si="42"/>
        <v>864.55</v>
      </c>
      <c r="O188" s="113">
        <f t="shared" si="42"/>
        <v>774.59</v>
      </c>
      <c r="P188" s="113">
        <f t="shared" si="42"/>
        <v>822.05</v>
      </c>
      <c r="Q188" s="113">
        <f t="shared" si="42"/>
        <v>232.87700000000001</v>
      </c>
      <c r="R188" s="113">
        <f t="shared" si="42"/>
        <v>252.3</v>
      </c>
      <c r="S188" s="113">
        <f t="shared" si="42"/>
        <v>964.98199999999997</v>
      </c>
      <c r="T188" s="113">
        <f t="shared" si="42"/>
        <v>0</v>
      </c>
      <c r="U188" s="113">
        <f t="shared" si="42"/>
        <v>97</v>
      </c>
      <c r="V188" s="113">
        <f t="shared" si="42"/>
        <v>566.71</v>
      </c>
      <c r="W188" s="113">
        <f t="shared" si="42"/>
        <v>0</v>
      </c>
      <c r="X188" s="113">
        <f t="shared" si="42"/>
        <v>2445.4569999999999</v>
      </c>
      <c r="Y188" s="113">
        <f t="shared" si="42"/>
        <v>0</v>
      </c>
      <c r="Z188" s="113">
        <f t="shared" si="42"/>
        <v>2488.8000000000002</v>
      </c>
      <c r="AA188" s="113">
        <f t="shared" si="42"/>
        <v>0</v>
      </c>
      <c r="AB188" s="113">
        <f t="shared" si="42"/>
        <v>19.878</v>
      </c>
      <c r="AC188" s="113">
        <f t="shared" si="42"/>
        <v>0</v>
      </c>
      <c r="AD188" s="113">
        <f t="shared" si="42"/>
        <v>876.17700000000002</v>
      </c>
      <c r="AE188" s="113">
        <f t="shared" si="42"/>
        <v>0</v>
      </c>
      <c r="AF188" s="1025"/>
      <c r="AG188" s="102"/>
    </row>
    <row r="189" spans="1:33" x14ac:dyDescent="0.3">
      <c r="A189" s="115" t="s">
        <v>169</v>
      </c>
      <c r="B189" s="116"/>
      <c r="C189" s="117"/>
      <c r="D189" s="118"/>
      <c r="E189" s="117"/>
      <c r="F189" s="117"/>
      <c r="G189" s="117"/>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025"/>
      <c r="AG189" s="102"/>
    </row>
    <row r="190" spans="1:33" x14ac:dyDescent="0.3">
      <c r="A190" s="115" t="s">
        <v>32</v>
      </c>
      <c r="B190" s="116"/>
      <c r="C190" s="117"/>
      <c r="D190" s="118"/>
      <c r="E190" s="117"/>
      <c r="F190" s="117"/>
      <c r="G190" s="117"/>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026"/>
      <c r="AG190" s="102"/>
    </row>
    <row r="191" spans="1:33" x14ac:dyDescent="0.3">
      <c r="A191" s="115" t="s">
        <v>33</v>
      </c>
      <c r="B191" s="116">
        <f>J191+L191+N191+P191+R191+T191+V191+X191+Z191+AB191+AD191+H191</f>
        <v>10692.602000000001</v>
      </c>
      <c r="C191" s="117">
        <f>SUM(H191+J191+L191+N191)</f>
        <v>3221.2300000000005</v>
      </c>
      <c r="D191" s="118">
        <f>E191</f>
        <v>3742.6019999999999</v>
      </c>
      <c r="E191" s="117">
        <f>SUM(I191,K191,M191,O191,Q191,S191,U191,W191,Y191,AA191,AC191,AE191)</f>
        <v>3742.6019999999999</v>
      </c>
      <c r="F191" s="117">
        <f>IFERROR(E191/B191*100,0)</f>
        <v>35.001789087445687</v>
      </c>
      <c r="G191" s="117">
        <f>IFERROR(E191/C191*100,0)</f>
        <v>116.1854943608497</v>
      </c>
      <c r="H191" s="111">
        <v>576.6</v>
      </c>
      <c r="I191" s="111">
        <v>132.07</v>
      </c>
      <c r="J191" s="111">
        <v>1143.6099999999999</v>
      </c>
      <c r="K191" s="111">
        <v>848.18299999999999</v>
      </c>
      <c r="L191" s="111">
        <v>636.47</v>
      </c>
      <c r="M191" s="111">
        <v>692.9</v>
      </c>
      <c r="N191" s="111">
        <v>864.55</v>
      </c>
      <c r="O191" s="111">
        <v>774.59</v>
      </c>
      <c r="P191" s="111">
        <v>822.05</v>
      </c>
      <c r="Q191" s="111">
        <v>232.87700000000001</v>
      </c>
      <c r="R191" s="111">
        <v>252.3</v>
      </c>
      <c r="S191" s="111">
        <v>964.98199999999997</v>
      </c>
      <c r="T191" s="111">
        <v>0</v>
      </c>
      <c r="U191" s="111">
        <v>97</v>
      </c>
      <c r="V191" s="111">
        <v>566.71</v>
      </c>
      <c r="W191" s="111"/>
      <c r="X191" s="111">
        <v>2445.4569999999999</v>
      </c>
      <c r="Y191" s="111"/>
      <c r="Z191" s="111">
        <v>2488.8000000000002</v>
      </c>
      <c r="AA191" s="111"/>
      <c r="AB191" s="111">
        <v>19.878</v>
      </c>
      <c r="AC191" s="111"/>
      <c r="AD191" s="111">
        <v>876.17700000000002</v>
      </c>
      <c r="AE191" s="111"/>
      <c r="AF191" s="520"/>
      <c r="AG191" s="102"/>
    </row>
    <row r="192" spans="1:33" x14ac:dyDescent="0.3">
      <c r="A192" s="115" t="s">
        <v>170</v>
      </c>
      <c r="B192" s="116">
        <f>J192+L192+N192+P192+R192+T192+V192+X192+Z192+AB192+AD192+H192</f>
        <v>0</v>
      </c>
      <c r="C192" s="117"/>
      <c r="D192" s="118"/>
      <c r="E192" s="117"/>
      <c r="F192" s="117"/>
      <c r="G192" s="117"/>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29"/>
      <c r="AG192" s="102"/>
    </row>
    <row r="193" spans="1:33" ht="37.5" x14ac:dyDescent="0.3">
      <c r="A193" s="122" t="s">
        <v>202</v>
      </c>
      <c r="B193" s="113"/>
      <c r="C193" s="121"/>
      <c r="D193" s="121"/>
      <c r="E193" s="121"/>
      <c r="F193" s="121"/>
      <c r="G193" s="12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29"/>
      <c r="AG193" s="102"/>
    </row>
    <row r="194" spans="1:33" x14ac:dyDescent="0.3">
      <c r="A194" s="112" t="s">
        <v>31</v>
      </c>
      <c r="B194" s="642">
        <f>B196+B197+B195+B198</f>
        <v>50</v>
      </c>
      <c r="C194" s="642">
        <f>C196+C197+C195+C198</f>
        <v>0</v>
      </c>
      <c r="D194" s="113">
        <f>D196+D197+D195+D198</f>
        <v>0</v>
      </c>
      <c r="E194" s="113">
        <f>E196+E197+E195+E198</f>
        <v>0</v>
      </c>
      <c r="F194" s="113">
        <f>IFERROR(E194/B194*100,0)</f>
        <v>0</v>
      </c>
      <c r="G194" s="113">
        <f>IFERROR(E194/C194*100,0)</f>
        <v>0</v>
      </c>
      <c r="H194" s="113">
        <f t="shared" ref="H194:AE194" si="43">H196+H197+H195+H198</f>
        <v>0</v>
      </c>
      <c r="I194" s="113">
        <f t="shared" si="43"/>
        <v>0</v>
      </c>
      <c r="J194" s="113">
        <f t="shared" si="43"/>
        <v>0</v>
      </c>
      <c r="K194" s="113">
        <f t="shared" si="43"/>
        <v>0</v>
      </c>
      <c r="L194" s="113">
        <f t="shared" si="43"/>
        <v>0</v>
      </c>
      <c r="M194" s="113">
        <f t="shared" si="43"/>
        <v>0</v>
      </c>
      <c r="N194" s="113">
        <f t="shared" si="43"/>
        <v>0</v>
      </c>
      <c r="O194" s="113">
        <f t="shared" si="43"/>
        <v>0</v>
      </c>
      <c r="P194" s="113">
        <f t="shared" si="43"/>
        <v>0</v>
      </c>
      <c r="Q194" s="113">
        <f t="shared" si="43"/>
        <v>0</v>
      </c>
      <c r="R194" s="113">
        <f t="shared" si="43"/>
        <v>0</v>
      </c>
      <c r="S194" s="113">
        <f t="shared" si="43"/>
        <v>0</v>
      </c>
      <c r="T194" s="113">
        <f t="shared" si="43"/>
        <v>0</v>
      </c>
      <c r="U194" s="113">
        <f t="shared" si="43"/>
        <v>0</v>
      </c>
      <c r="V194" s="113">
        <f t="shared" si="43"/>
        <v>0</v>
      </c>
      <c r="W194" s="113">
        <f t="shared" si="43"/>
        <v>0</v>
      </c>
      <c r="X194" s="113">
        <f t="shared" si="43"/>
        <v>0</v>
      </c>
      <c r="Y194" s="113">
        <f t="shared" si="43"/>
        <v>0</v>
      </c>
      <c r="Z194" s="113">
        <f t="shared" si="43"/>
        <v>0</v>
      </c>
      <c r="AA194" s="113">
        <f t="shared" si="43"/>
        <v>0</v>
      </c>
      <c r="AB194" s="113">
        <f t="shared" si="43"/>
        <v>50</v>
      </c>
      <c r="AC194" s="113">
        <f t="shared" si="43"/>
        <v>0</v>
      </c>
      <c r="AD194" s="113">
        <f t="shared" si="43"/>
        <v>0</v>
      </c>
      <c r="AE194" s="113">
        <f t="shared" si="43"/>
        <v>0</v>
      </c>
      <c r="AF194" s="29"/>
      <c r="AG194" s="102"/>
    </row>
    <row r="195" spans="1:33" x14ac:dyDescent="0.3">
      <c r="A195" s="115" t="s">
        <v>169</v>
      </c>
      <c r="B195" s="116"/>
      <c r="C195" s="117"/>
      <c r="D195" s="118"/>
      <c r="E195" s="117"/>
      <c r="F195" s="116"/>
      <c r="G195" s="116"/>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29"/>
      <c r="AG195" s="102"/>
    </row>
    <row r="196" spans="1:33" x14ac:dyDescent="0.3">
      <c r="A196" s="115" t="s">
        <v>32</v>
      </c>
      <c r="B196" s="116"/>
      <c r="C196" s="117"/>
      <c r="D196" s="118"/>
      <c r="E196" s="117"/>
      <c r="F196" s="116"/>
      <c r="G196" s="116"/>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29"/>
      <c r="AG196" s="102"/>
    </row>
    <row r="197" spans="1:33" x14ac:dyDescent="0.3">
      <c r="A197" s="115" t="s">
        <v>33</v>
      </c>
      <c r="B197" s="116">
        <f>J197+L197+N197+P197+R197+T197+V197+X197+Z197+AB197+AD197+H197</f>
        <v>50</v>
      </c>
      <c r="C197" s="117">
        <f>SUM(H197)</f>
        <v>0</v>
      </c>
      <c r="D197" s="118">
        <f>E197</f>
        <v>0</v>
      </c>
      <c r="E197" s="117">
        <f>SUM(I197,K197,M197,O197,Q197,S197,U197,W197,Y197,AA197,AC197,AE197)</f>
        <v>0</v>
      </c>
      <c r="F197" s="116">
        <f>IFERROR(E197/B197*100,0)</f>
        <v>0</v>
      </c>
      <c r="G197" s="116">
        <f>IFERROR(E197/C197*100,0)</f>
        <v>0</v>
      </c>
      <c r="H197" s="111">
        <v>0</v>
      </c>
      <c r="I197" s="111">
        <v>0</v>
      </c>
      <c r="J197" s="111">
        <v>0</v>
      </c>
      <c r="K197" s="111">
        <v>0</v>
      </c>
      <c r="L197" s="111">
        <v>0</v>
      </c>
      <c r="M197" s="111">
        <v>0</v>
      </c>
      <c r="N197" s="111">
        <v>0</v>
      </c>
      <c r="O197" s="111">
        <v>0</v>
      </c>
      <c r="P197" s="111">
        <v>0</v>
      </c>
      <c r="Q197" s="111">
        <v>0</v>
      </c>
      <c r="R197" s="111">
        <v>0</v>
      </c>
      <c r="S197" s="111">
        <v>0</v>
      </c>
      <c r="T197" s="111">
        <v>0</v>
      </c>
      <c r="U197" s="111">
        <v>0</v>
      </c>
      <c r="V197" s="111"/>
      <c r="W197" s="111"/>
      <c r="X197" s="111"/>
      <c r="Y197" s="111"/>
      <c r="Z197" s="111"/>
      <c r="AA197" s="111"/>
      <c r="AB197" s="111">
        <v>50</v>
      </c>
      <c r="AC197" s="111"/>
      <c r="AD197" s="111"/>
      <c r="AE197" s="111"/>
      <c r="AF197" s="29"/>
      <c r="AG197" s="102"/>
    </row>
    <row r="198" spans="1:33" x14ac:dyDescent="0.3">
      <c r="A198" s="115" t="s">
        <v>170</v>
      </c>
      <c r="B198" s="116"/>
      <c r="C198" s="117"/>
      <c r="D198" s="118"/>
      <c r="E198" s="117"/>
      <c r="F198" s="116"/>
      <c r="G198" s="116"/>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29"/>
      <c r="AG198" s="102"/>
    </row>
    <row r="199" spans="1:33" ht="56.25" x14ac:dyDescent="0.3">
      <c r="A199" s="122" t="s">
        <v>203</v>
      </c>
      <c r="B199" s="113"/>
      <c r="C199" s="121"/>
      <c r="D199" s="121"/>
      <c r="E199" s="121"/>
      <c r="F199" s="121"/>
      <c r="G199" s="12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027"/>
      <c r="AG199" s="102"/>
    </row>
    <row r="200" spans="1:33" x14ac:dyDescent="0.3">
      <c r="A200" s="112" t="s">
        <v>31</v>
      </c>
      <c r="B200" s="642">
        <f>B202+B203+B201+B204</f>
        <v>150433.60000000003</v>
      </c>
      <c r="C200" s="113">
        <f>C202+C203+C201+C204</f>
        <v>44419.270000000004</v>
      </c>
      <c r="D200" s="113">
        <f>D202+D203+D201+D204</f>
        <v>80553.316000000006</v>
      </c>
      <c r="E200" s="113">
        <f>E202+E203+E201+E204</f>
        <v>80553.316000000006</v>
      </c>
      <c r="F200" s="113">
        <f>IFERROR(E200/B200*100,0)</f>
        <v>53.547422916157018</v>
      </c>
      <c r="G200" s="113">
        <f>IFERROR(E200/C200*100,0)</f>
        <v>181.34768086013119</v>
      </c>
      <c r="H200" s="113">
        <f t="shared" ref="H200:AE200" si="44">H202+H203+H201+H204</f>
        <v>8452.61</v>
      </c>
      <c r="I200" s="113">
        <f t="shared" si="44"/>
        <v>5306.05</v>
      </c>
      <c r="J200" s="113">
        <f t="shared" si="44"/>
        <v>12095.98</v>
      </c>
      <c r="K200" s="113">
        <f t="shared" si="44"/>
        <v>9951.9380000000001</v>
      </c>
      <c r="L200" s="113">
        <f t="shared" si="44"/>
        <v>9141.1</v>
      </c>
      <c r="M200" s="113">
        <f t="shared" si="44"/>
        <v>8776.84</v>
      </c>
      <c r="N200" s="113">
        <f t="shared" si="44"/>
        <v>14729.58</v>
      </c>
      <c r="O200" s="113">
        <f t="shared" si="44"/>
        <v>11289.79</v>
      </c>
      <c r="P200" s="113">
        <f t="shared" si="44"/>
        <v>13259.97</v>
      </c>
      <c r="Q200" s="113">
        <f t="shared" si="44"/>
        <v>8954.6370000000006</v>
      </c>
      <c r="R200" s="113">
        <f t="shared" si="44"/>
        <v>14976.16</v>
      </c>
      <c r="S200" s="113">
        <f t="shared" si="44"/>
        <v>18851.187000000002</v>
      </c>
      <c r="T200" s="113">
        <f t="shared" si="44"/>
        <v>16342.57</v>
      </c>
      <c r="U200" s="113">
        <f t="shared" si="44"/>
        <v>17422.874</v>
      </c>
      <c r="V200" s="113">
        <f t="shared" si="44"/>
        <v>10806.66</v>
      </c>
      <c r="W200" s="113">
        <f t="shared" si="44"/>
        <v>0</v>
      </c>
      <c r="X200" s="113">
        <f t="shared" si="44"/>
        <v>9596.8549999999996</v>
      </c>
      <c r="Y200" s="113">
        <f t="shared" si="44"/>
        <v>0</v>
      </c>
      <c r="Z200" s="113">
        <f t="shared" si="44"/>
        <v>12769.434999999999</v>
      </c>
      <c r="AA200" s="113">
        <f t="shared" si="44"/>
        <v>0</v>
      </c>
      <c r="AB200" s="113">
        <f t="shared" si="44"/>
        <v>9606.1149999999998</v>
      </c>
      <c r="AC200" s="113">
        <f t="shared" si="44"/>
        <v>0</v>
      </c>
      <c r="AD200" s="113">
        <f t="shared" si="44"/>
        <v>18656.564999999999</v>
      </c>
      <c r="AE200" s="113">
        <f t="shared" si="44"/>
        <v>0</v>
      </c>
      <c r="AF200" s="1028"/>
      <c r="AG200" s="102"/>
    </row>
    <row r="201" spans="1:33" x14ac:dyDescent="0.3">
      <c r="A201" s="115" t="s">
        <v>169</v>
      </c>
      <c r="B201" s="116"/>
      <c r="C201" s="117"/>
      <c r="D201" s="118"/>
      <c r="E201" s="117"/>
      <c r="F201" s="116"/>
      <c r="G201" s="116"/>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028"/>
      <c r="AG201" s="102"/>
    </row>
    <row r="202" spans="1:33" x14ac:dyDescent="0.3">
      <c r="A202" s="115" t="s">
        <v>32</v>
      </c>
      <c r="B202" s="116"/>
      <c r="C202" s="117"/>
      <c r="D202" s="118"/>
      <c r="E202" s="117"/>
      <c r="F202" s="116"/>
      <c r="G202" s="116"/>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028"/>
      <c r="AG202" s="102"/>
    </row>
    <row r="203" spans="1:33" x14ac:dyDescent="0.3">
      <c r="A203" s="115" t="s">
        <v>33</v>
      </c>
      <c r="B203" s="116">
        <f>J203+L203+N203+P203+R203+T203+V203+X203+Z203+AB203+AD203+H203</f>
        <v>150433.60000000003</v>
      </c>
      <c r="C203" s="117">
        <f>SUM(H203+J203+L203+N203)</f>
        <v>44419.270000000004</v>
      </c>
      <c r="D203" s="118">
        <f>E203</f>
        <v>80553.316000000006</v>
      </c>
      <c r="E203" s="117">
        <f>SUM(I203,K203,M203,O203,Q203,S203,U203,W203,Y203,AA203,AC203,AE203)</f>
        <v>80553.316000000006</v>
      </c>
      <c r="F203" s="116">
        <f>IFERROR(E203/B203*100,0)</f>
        <v>53.547422916157018</v>
      </c>
      <c r="G203" s="116">
        <f>IFERROR(E203/C203*100,0)</f>
        <v>181.34768086013119</v>
      </c>
      <c r="H203" s="111">
        <v>8452.61</v>
      </c>
      <c r="I203" s="111">
        <v>5306.05</v>
      </c>
      <c r="J203" s="111">
        <v>12095.98</v>
      </c>
      <c r="K203" s="111">
        <v>9951.9380000000001</v>
      </c>
      <c r="L203" s="111">
        <v>9141.1</v>
      </c>
      <c r="M203" s="111">
        <v>8776.84</v>
      </c>
      <c r="N203" s="111">
        <v>14729.58</v>
      </c>
      <c r="O203" s="111">
        <v>11289.79</v>
      </c>
      <c r="P203" s="111">
        <v>13259.97</v>
      </c>
      <c r="Q203" s="882">
        <f>-1.55+8956.187</f>
        <v>8954.6370000000006</v>
      </c>
      <c r="R203" s="111">
        <v>14976.16</v>
      </c>
      <c r="S203" s="111">
        <v>18851.187000000002</v>
      </c>
      <c r="T203" s="111">
        <v>16342.57</v>
      </c>
      <c r="U203" s="111">
        <v>17422.874</v>
      </c>
      <c r="V203" s="111">
        <v>10806.66</v>
      </c>
      <c r="W203" s="111"/>
      <c r="X203" s="111">
        <v>9596.8549999999996</v>
      </c>
      <c r="Y203" s="111"/>
      <c r="Z203" s="111">
        <v>12769.434999999999</v>
      </c>
      <c r="AA203" s="111"/>
      <c r="AB203" s="111">
        <v>9606.1149999999998</v>
      </c>
      <c r="AC203" s="111"/>
      <c r="AD203" s="111">
        <v>18656.564999999999</v>
      </c>
      <c r="AE203" s="111"/>
      <c r="AF203" s="1028"/>
      <c r="AG203" s="102"/>
    </row>
    <row r="204" spans="1:33" x14ac:dyDescent="0.3">
      <c r="A204" s="115" t="s">
        <v>170</v>
      </c>
      <c r="B204" s="116"/>
      <c r="C204" s="117"/>
      <c r="D204" s="118"/>
      <c r="E204" s="117"/>
      <c r="F204" s="116"/>
      <c r="G204" s="116"/>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029"/>
      <c r="AG204" s="102"/>
    </row>
    <row r="205" spans="1:33" ht="75" x14ac:dyDescent="0.3">
      <c r="A205" s="108" t="s">
        <v>204</v>
      </c>
      <c r="B205" s="109"/>
      <c r="C205" s="110"/>
      <c r="D205" s="110"/>
      <c r="E205" s="110"/>
      <c r="F205" s="110"/>
      <c r="G205" s="110"/>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29"/>
      <c r="AG205" s="102"/>
    </row>
    <row r="206" spans="1:33" x14ac:dyDescent="0.3">
      <c r="A206" s="112" t="s">
        <v>31</v>
      </c>
      <c r="B206" s="642">
        <f>B208+B209+B207+B210</f>
        <v>7792.4</v>
      </c>
      <c r="C206" s="642">
        <f>C208+C209+C207+C210</f>
        <v>7792.4</v>
      </c>
      <c r="D206" s="113">
        <f>D208+D209+D207+D210</f>
        <v>7792.3990000000003</v>
      </c>
      <c r="E206" s="113">
        <f>E208+E209+E207+E210</f>
        <v>7792.3990000000003</v>
      </c>
      <c r="F206" s="113">
        <f>IFERROR(E206/B206*100,0)</f>
        <v>99.999987166983232</v>
      </c>
      <c r="G206" s="113">
        <f>IFERROR(E206/C206*100,0)</f>
        <v>99.999987166983232</v>
      </c>
      <c r="H206" s="113">
        <f t="shared" ref="H206:AE206" si="45">H208+H209+H207+H210</f>
        <v>7792.4</v>
      </c>
      <c r="I206" s="113">
        <f t="shared" si="45"/>
        <v>7792.3990000000003</v>
      </c>
      <c r="J206" s="113">
        <f t="shared" si="45"/>
        <v>0</v>
      </c>
      <c r="K206" s="113">
        <f t="shared" si="45"/>
        <v>0</v>
      </c>
      <c r="L206" s="113">
        <f t="shared" si="45"/>
        <v>0</v>
      </c>
      <c r="M206" s="113">
        <f t="shared" si="45"/>
        <v>0</v>
      </c>
      <c r="N206" s="113">
        <f t="shared" si="45"/>
        <v>0</v>
      </c>
      <c r="O206" s="113">
        <f t="shared" si="45"/>
        <v>0</v>
      </c>
      <c r="P206" s="113">
        <f t="shared" si="45"/>
        <v>0</v>
      </c>
      <c r="Q206" s="113">
        <f t="shared" si="45"/>
        <v>0</v>
      </c>
      <c r="R206" s="113">
        <f t="shared" si="45"/>
        <v>0</v>
      </c>
      <c r="S206" s="113">
        <f t="shared" si="45"/>
        <v>0</v>
      </c>
      <c r="T206" s="113">
        <f t="shared" si="45"/>
        <v>0</v>
      </c>
      <c r="U206" s="113">
        <f t="shared" si="45"/>
        <v>0</v>
      </c>
      <c r="V206" s="113">
        <f t="shared" si="45"/>
        <v>0</v>
      </c>
      <c r="W206" s="113">
        <f t="shared" si="45"/>
        <v>0</v>
      </c>
      <c r="X206" s="113">
        <f t="shared" si="45"/>
        <v>0</v>
      </c>
      <c r="Y206" s="113">
        <f t="shared" si="45"/>
        <v>0</v>
      </c>
      <c r="Z206" s="113">
        <f t="shared" si="45"/>
        <v>0</v>
      </c>
      <c r="AA206" s="113">
        <f t="shared" si="45"/>
        <v>0</v>
      </c>
      <c r="AB206" s="113">
        <f t="shared" si="45"/>
        <v>0</v>
      </c>
      <c r="AC206" s="113">
        <f t="shared" si="45"/>
        <v>0</v>
      </c>
      <c r="AD206" s="113">
        <f t="shared" si="45"/>
        <v>0</v>
      </c>
      <c r="AE206" s="113">
        <f t="shared" si="45"/>
        <v>0</v>
      </c>
      <c r="AF206" s="29"/>
      <c r="AG206" s="102"/>
    </row>
    <row r="207" spans="1:33" x14ac:dyDescent="0.3">
      <c r="A207" s="115" t="s">
        <v>169</v>
      </c>
      <c r="B207" s="116"/>
      <c r="C207" s="117"/>
      <c r="D207" s="118"/>
      <c r="E207" s="117"/>
      <c r="F207" s="116"/>
      <c r="G207" s="116"/>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29"/>
      <c r="AG207" s="102"/>
    </row>
    <row r="208" spans="1:33" x14ac:dyDescent="0.3">
      <c r="A208" s="115" t="s">
        <v>32</v>
      </c>
      <c r="B208" s="116"/>
      <c r="C208" s="117"/>
      <c r="D208" s="118"/>
      <c r="E208" s="117"/>
      <c r="F208" s="116"/>
      <c r="G208" s="116"/>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29"/>
      <c r="AG208" s="102"/>
    </row>
    <row r="209" spans="1:33" x14ac:dyDescent="0.3">
      <c r="A209" s="115" t="s">
        <v>33</v>
      </c>
      <c r="B209" s="116">
        <f>J209+L209+N209+P209+R209+T209+V209+X209+Z209+AB209+AD209+H209</f>
        <v>7792.4</v>
      </c>
      <c r="C209" s="117">
        <f>SUM(H209)</f>
        <v>7792.4</v>
      </c>
      <c r="D209" s="118">
        <f>E209</f>
        <v>7792.3990000000003</v>
      </c>
      <c r="E209" s="117">
        <f>SUM(I209,K209,M209,O209,Q209,S209,U209,W209,Y209,AA209,AC209,AE209)</f>
        <v>7792.3990000000003</v>
      </c>
      <c r="F209" s="116">
        <f>IFERROR(E209/B209*100,0)</f>
        <v>99.999987166983232</v>
      </c>
      <c r="G209" s="116">
        <f>IFERROR(E209/C209*100,0)</f>
        <v>99.999987166983232</v>
      </c>
      <c r="H209" s="137">
        <f>723.5+760.1+6308.8</f>
        <v>7792.4</v>
      </c>
      <c r="I209" s="111">
        <v>7792.3990000000003</v>
      </c>
      <c r="J209" s="111">
        <v>0</v>
      </c>
      <c r="K209" s="111">
        <v>0</v>
      </c>
      <c r="L209" s="111">
        <v>0</v>
      </c>
      <c r="M209" s="111">
        <v>0</v>
      </c>
      <c r="N209" s="111">
        <v>0</v>
      </c>
      <c r="O209" s="111">
        <v>0</v>
      </c>
      <c r="P209" s="111">
        <v>0</v>
      </c>
      <c r="Q209" s="111">
        <v>0</v>
      </c>
      <c r="R209" s="111">
        <v>0</v>
      </c>
      <c r="S209" s="111">
        <v>0</v>
      </c>
      <c r="T209" s="111">
        <v>0</v>
      </c>
      <c r="U209" s="111">
        <v>0</v>
      </c>
      <c r="V209" s="111"/>
      <c r="W209" s="111"/>
      <c r="X209" s="111"/>
      <c r="Y209" s="111"/>
      <c r="Z209" s="111"/>
      <c r="AA209" s="111"/>
      <c r="AB209" s="111"/>
      <c r="AC209" s="111"/>
      <c r="AD209" s="111"/>
      <c r="AE209" s="111"/>
      <c r="AF209" s="29"/>
      <c r="AG209" s="102"/>
    </row>
    <row r="210" spans="1:33" x14ac:dyDescent="0.3">
      <c r="A210" s="115" t="s">
        <v>170</v>
      </c>
      <c r="B210" s="116"/>
      <c r="C210" s="117"/>
      <c r="D210" s="118"/>
      <c r="E210" s="117"/>
      <c r="F210" s="116"/>
      <c r="G210" s="116"/>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29"/>
      <c r="AG210" s="102"/>
    </row>
    <row r="211" spans="1:33" ht="75" x14ac:dyDescent="0.3">
      <c r="A211" s="108" t="s">
        <v>205</v>
      </c>
      <c r="B211" s="109"/>
      <c r="C211" s="110"/>
      <c r="D211" s="110"/>
      <c r="E211" s="110"/>
      <c r="F211" s="110"/>
      <c r="G211" s="110"/>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29"/>
      <c r="AG211" s="102"/>
    </row>
    <row r="212" spans="1:33" x14ac:dyDescent="0.3">
      <c r="A212" s="112" t="s">
        <v>31</v>
      </c>
      <c r="B212" s="642">
        <f>B214+B215+B213+B216</f>
        <v>122.5</v>
      </c>
      <c r="C212" s="642">
        <f>C214+C215+C213+C216</f>
        <v>122.5</v>
      </c>
      <c r="D212" s="113">
        <f>D214+D215+D213+D216</f>
        <v>122.5</v>
      </c>
      <c r="E212" s="113">
        <f>E214+E215+E213+E216</f>
        <v>122.5</v>
      </c>
      <c r="F212" s="113">
        <f>IFERROR(E212/B212*100,0)</f>
        <v>100</v>
      </c>
      <c r="G212" s="113">
        <f>IFERROR(E212/C212*100,0)</f>
        <v>100</v>
      </c>
      <c r="H212" s="113">
        <f t="shared" ref="H212:AE212" si="46">H214+H215+H213+H216</f>
        <v>122.5</v>
      </c>
      <c r="I212" s="113">
        <f t="shared" si="46"/>
        <v>122.5</v>
      </c>
      <c r="J212" s="113">
        <f t="shared" si="46"/>
        <v>0</v>
      </c>
      <c r="K212" s="113">
        <f t="shared" si="46"/>
        <v>0</v>
      </c>
      <c r="L212" s="113">
        <f t="shared" si="46"/>
        <v>0</v>
      </c>
      <c r="M212" s="113">
        <f t="shared" si="46"/>
        <v>0</v>
      </c>
      <c r="N212" s="113">
        <f t="shared" si="46"/>
        <v>0</v>
      </c>
      <c r="O212" s="113">
        <f t="shared" si="46"/>
        <v>0</v>
      </c>
      <c r="P212" s="113">
        <f t="shared" si="46"/>
        <v>0</v>
      </c>
      <c r="Q212" s="113">
        <f t="shared" si="46"/>
        <v>0</v>
      </c>
      <c r="R212" s="113">
        <f t="shared" si="46"/>
        <v>0</v>
      </c>
      <c r="S212" s="113">
        <f t="shared" si="46"/>
        <v>0</v>
      </c>
      <c r="T212" s="113">
        <f t="shared" si="46"/>
        <v>0</v>
      </c>
      <c r="U212" s="113">
        <f t="shared" si="46"/>
        <v>0</v>
      </c>
      <c r="V212" s="113">
        <f t="shared" si="46"/>
        <v>0</v>
      </c>
      <c r="W212" s="113">
        <f t="shared" si="46"/>
        <v>0</v>
      </c>
      <c r="X212" s="113">
        <f t="shared" si="46"/>
        <v>0</v>
      </c>
      <c r="Y212" s="113">
        <f t="shared" si="46"/>
        <v>0</v>
      </c>
      <c r="Z212" s="113">
        <f t="shared" si="46"/>
        <v>0</v>
      </c>
      <c r="AA212" s="113">
        <f t="shared" si="46"/>
        <v>0</v>
      </c>
      <c r="AB212" s="113">
        <f t="shared" si="46"/>
        <v>0</v>
      </c>
      <c r="AC212" s="113">
        <f t="shared" si="46"/>
        <v>0</v>
      </c>
      <c r="AD212" s="113">
        <f t="shared" si="46"/>
        <v>0</v>
      </c>
      <c r="AE212" s="113">
        <f t="shared" si="46"/>
        <v>0</v>
      </c>
      <c r="AF212" s="29"/>
      <c r="AG212" s="102"/>
    </row>
    <row r="213" spans="1:33" x14ac:dyDescent="0.3">
      <c r="A213" s="115" t="s">
        <v>169</v>
      </c>
      <c r="B213" s="116"/>
      <c r="C213" s="117"/>
      <c r="D213" s="118"/>
      <c r="E213" s="117"/>
      <c r="F213" s="116"/>
      <c r="G213" s="116"/>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29"/>
      <c r="AG213" s="102"/>
    </row>
    <row r="214" spans="1:33" x14ac:dyDescent="0.3">
      <c r="A214" s="115" t="s">
        <v>32</v>
      </c>
      <c r="B214" s="116"/>
      <c r="C214" s="117"/>
      <c r="D214" s="118"/>
      <c r="E214" s="117"/>
      <c r="F214" s="116"/>
      <c r="G214" s="116"/>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29"/>
      <c r="AG214" s="102"/>
    </row>
    <row r="215" spans="1:33" x14ac:dyDescent="0.3">
      <c r="A215" s="115" t="s">
        <v>33</v>
      </c>
      <c r="B215" s="116">
        <f>J215+L215+N215+P215+R215+T215+V215+X215+Z215+AB215+AD215+H215</f>
        <v>122.5</v>
      </c>
      <c r="C215" s="117">
        <f>SUM(H215)</f>
        <v>122.5</v>
      </c>
      <c r="D215" s="118">
        <f>E215</f>
        <v>122.5</v>
      </c>
      <c r="E215" s="117">
        <f>SUM(I215,K215,M215,O215,Q215,S215,U215,W215,Y215,AA215,AC215,AE215)</f>
        <v>122.5</v>
      </c>
      <c r="F215" s="116">
        <f>IFERROR(E215/B215*100,0)</f>
        <v>100</v>
      </c>
      <c r="G215" s="116">
        <f>IFERROR(E215/C215*100,0)</f>
        <v>100</v>
      </c>
      <c r="H215" s="111">
        <v>122.5</v>
      </c>
      <c r="I215" s="111">
        <v>122.5</v>
      </c>
      <c r="J215" s="111">
        <v>0</v>
      </c>
      <c r="K215" s="111">
        <v>0</v>
      </c>
      <c r="L215" s="111">
        <v>0</v>
      </c>
      <c r="M215" s="111">
        <v>0</v>
      </c>
      <c r="N215" s="111">
        <v>0</v>
      </c>
      <c r="O215" s="111">
        <v>0</v>
      </c>
      <c r="P215" s="111">
        <v>0</v>
      </c>
      <c r="Q215" s="111">
        <v>0</v>
      </c>
      <c r="R215" s="111">
        <v>0</v>
      </c>
      <c r="S215" s="111">
        <v>0</v>
      </c>
      <c r="T215" s="111">
        <v>0</v>
      </c>
      <c r="U215" s="111">
        <v>0</v>
      </c>
      <c r="V215" s="111"/>
      <c r="W215" s="111"/>
      <c r="X215" s="111"/>
      <c r="Y215" s="111"/>
      <c r="Z215" s="111"/>
      <c r="AA215" s="111"/>
      <c r="AB215" s="111"/>
      <c r="AC215" s="111"/>
      <c r="AD215" s="111"/>
      <c r="AE215" s="111"/>
      <c r="AF215" s="29"/>
      <c r="AG215" s="102"/>
    </row>
    <row r="216" spans="1:33" x14ac:dyDescent="0.3">
      <c r="A216" s="115" t="s">
        <v>170</v>
      </c>
      <c r="B216" s="116"/>
      <c r="C216" s="117"/>
      <c r="D216" s="118"/>
      <c r="E216" s="117"/>
      <c r="F216" s="116"/>
      <c r="G216" s="116"/>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29"/>
      <c r="AG216" s="102"/>
    </row>
    <row r="217" spans="1:33" x14ac:dyDescent="0.3">
      <c r="A217" s="1058" t="s">
        <v>206</v>
      </c>
      <c r="B217" s="1059"/>
      <c r="C217" s="1059"/>
      <c r="D217" s="1059"/>
      <c r="E217" s="1059"/>
      <c r="F217" s="1059"/>
      <c r="G217" s="1059"/>
      <c r="H217" s="1059"/>
      <c r="I217" s="1059"/>
      <c r="J217" s="1059"/>
      <c r="K217" s="1059"/>
      <c r="L217" s="1059"/>
      <c r="M217" s="1059"/>
      <c r="N217" s="1059"/>
      <c r="O217" s="1059"/>
      <c r="P217" s="1059"/>
      <c r="Q217" s="1059"/>
      <c r="R217" s="1059"/>
      <c r="S217" s="1059"/>
      <c r="T217" s="1059"/>
      <c r="U217" s="1059"/>
      <c r="V217" s="1059"/>
      <c r="W217" s="1059"/>
      <c r="X217" s="1059"/>
      <c r="Y217" s="1059"/>
      <c r="Z217" s="1059"/>
      <c r="AA217" s="1059"/>
      <c r="AB217" s="1059"/>
      <c r="AC217" s="1059"/>
      <c r="AD217" s="1059"/>
      <c r="AE217" s="1059"/>
      <c r="AF217" s="1060"/>
      <c r="AG217" s="102"/>
    </row>
    <row r="218" spans="1:33" x14ac:dyDescent="0.3">
      <c r="A218" s="1058" t="s">
        <v>54</v>
      </c>
      <c r="B218" s="1059"/>
      <c r="C218" s="1059"/>
      <c r="D218" s="1059"/>
      <c r="E218" s="1059"/>
      <c r="F218" s="1059"/>
      <c r="G218" s="1059"/>
      <c r="H218" s="1059"/>
      <c r="I218" s="1059"/>
      <c r="J218" s="1059"/>
      <c r="K218" s="1059"/>
      <c r="L218" s="1059"/>
      <c r="M218" s="1059"/>
      <c r="N218" s="1059"/>
      <c r="O218" s="1059"/>
      <c r="P218" s="1059"/>
      <c r="Q218" s="1059"/>
      <c r="R218" s="1059"/>
      <c r="S218" s="1059"/>
      <c r="T218" s="1059"/>
      <c r="U218" s="1059"/>
      <c r="V218" s="1059"/>
      <c r="W218" s="1059"/>
      <c r="X218" s="1059"/>
      <c r="Y218" s="1059"/>
      <c r="Z218" s="1059"/>
      <c r="AA218" s="1059"/>
      <c r="AB218" s="1059"/>
      <c r="AC218" s="1059"/>
      <c r="AD218" s="1059"/>
      <c r="AE218" s="1059"/>
      <c r="AF218" s="1060"/>
      <c r="AG218" s="102"/>
    </row>
    <row r="219" spans="1:33" ht="56.25" x14ac:dyDescent="0.3">
      <c r="A219" s="138" t="s">
        <v>207</v>
      </c>
      <c r="B219" s="139"/>
      <c r="C219" s="140"/>
      <c r="D219" s="140"/>
      <c r="E219" s="140"/>
      <c r="F219" s="140"/>
      <c r="G219" s="140"/>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01"/>
      <c r="AG219" s="102"/>
    </row>
    <row r="220" spans="1:33" x14ac:dyDescent="0.3">
      <c r="A220" s="103" t="s">
        <v>31</v>
      </c>
      <c r="B220" s="104">
        <f>B221+B222+B223+B224</f>
        <v>22205.080999999998</v>
      </c>
      <c r="C220" s="104">
        <f>C221+C222+C223+C224</f>
        <v>8344.1</v>
      </c>
      <c r="D220" s="104">
        <f>D221+D222+D223+D224</f>
        <v>12009.003000000001</v>
      </c>
      <c r="E220" s="104">
        <f>E221+E222+E223+E224</f>
        <v>12009.003000000001</v>
      </c>
      <c r="F220" s="107">
        <f>IFERROR(E220/B220*100,0)</f>
        <v>54.082230098597705</v>
      </c>
      <c r="G220" s="107">
        <f>IFERROR(E220/C220*100,0)</f>
        <v>143.92208866144941</v>
      </c>
      <c r="H220" s="104">
        <f>H221+H222+H223+H224</f>
        <v>2852.02</v>
      </c>
      <c r="I220" s="104">
        <f t="shared" ref="I220:AE220" si="47">I221+I222+I223+I224</f>
        <v>1319.77</v>
      </c>
      <c r="J220" s="104">
        <f t="shared" si="47"/>
        <v>1872.26</v>
      </c>
      <c r="K220" s="104">
        <f t="shared" si="47"/>
        <v>2121.1849999999999</v>
      </c>
      <c r="L220" s="104">
        <f t="shared" si="47"/>
        <v>1462.1100000000001</v>
      </c>
      <c r="M220" s="104">
        <f t="shared" si="47"/>
        <v>1640.8960000000002</v>
      </c>
      <c r="N220" s="104">
        <f t="shared" si="47"/>
        <v>2157.71</v>
      </c>
      <c r="O220" s="104">
        <f t="shared" si="47"/>
        <v>1314.7869999999998</v>
      </c>
      <c r="P220" s="104">
        <f t="shared" si="47"/>
        <v>1900.1779999999999</v>
      </c>
      <c r="Q220" s="104">
        <f t="shared" si="47"/>
        <v>1623.702</v>
      </c>
      <c r="R220" s="104">
        <f t="shared" si="47"/>
        <v>1462.12</v>
      </c>
      <c r="S220" s="104">
        <f t="shared" si="47"/>
        <v>1786.8870000000002</v>
      </c>
      <c r="T220" s="104">
        <f t="shared" si="47"/>
        <v>2157.712</v>
      </c>
      <c r="U220" s="104">
        <f t="shared" si="47"/>
        <v>2201.7759999999998</v>
      </c>
      <c r="V220" s="104">
        <f t="shared" si="47"/>
        <v>1672.193</v>
      </c>
      <c r="W220" s="104">
        <f t="shared" si="47"/>
        <v>0</v>
      </c>
      <c r="X220" s="104">
        <f t="shared" si="47"/>
        <v>1648.6129999999998</v>
      </c>
      <c r="Y220" s="104">
        <f t="shared" si="47"/>
        <v>0</v>
      </c>
      <c r="Z220" s="104">
        <f t="shared" si="47"/>
        <v>2157.712</v>
      </c>
      <c r="AA220" s="104">
        <f t="shared" si="47"/>
        <v>0</v>
      </c>
      <c r="AB220" s="104">
        <f t="shared" si="47"/>
        <v>1672.1799999999998</v>
      </c>
      <c r="AC220" s="104">
        <f t="shared" si="47"/>
        <v>0</v>
      </c>
      <c r="AD220" s="104">
        <f t="shared" si="47"/>
        <v>1190.2729999999999</v>
      </c>
      <c r="AE220" s="104">
        <f t="shared" si="47"/>
        <v>0</v>
      </c>
      <c r="AF220" s="101"/>
      <c r="AG220" s="102"/>
    </row>
    <row r="221" spans="1:33" x14ac:dyDescent="0.3">
      <c r="A221" s="106" t="s">
        <v>169</v>
      </c>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1"/>
      <c r="AG221" s="102"/>
    </row>
    <row r="222" spans="1:33" x14ac:dyDescent="0.3">
      <c r="A222" s="106" t="s">
        <v>32</v>
      </c>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1"/>
      <c r="AG222" s="102"/>
    </row>
    <row r="223" spans="1:33" x14ac:dyDescent="0.3">
      <c r="A223" s="106" t="s">
        <v>33</v>
      </c>
      <c r="B223" s="107">
        <f>B229+B235</f>
        <v>22205.080999999998</v>
      </c>
      <c r="C223" s="107">
        <f>C229+C235</f>
        <v>8344.1</v>
      </c>
      <c r="D223" s="107">
        <f>D229+D235</f>
        <v>12009.003000000001</v>
      </c>
      <c r="E223" s="107">
        <f>E229+E235</f>
        <v>12009.003000000001</v>
      </c>
      <c r="F223" s="107">
        <f>IFERROR(E223/B223*100,0)</f>
        <v>54.082230098597705</v>
      </c>
      <c r="G223" s="107">
        <f>IFERROR(E223/C223*100,0)</f>
        <v>143.92208866144941</v>
      </c>
      <c r="H223" s="107">
        <f>H229+H235</f>
        <v>2852.02</v>
      </c>
      <c r="I223" s="107">
        <f t="shared" ref="I223:AE223" si="48">I229+I235</f>
        <v>1319.77</v>
      </c>
      <c r="J223" s="107">
        <f t="shared" si="48"/>
        <v>1872.26</v>
      </c>
      <c r="K223" s="107">
        <f t="shared" si="48"/>
        <v>2121.1849999999999</v>
      </c>
      <c r="L223" s="107">
        <f t="shared" si="48"/>
        <v>1462.1100000000001</v>
      </c>
      <c r="M223" s="107">
        <f t="shared" si="48"/>
        <v>1640.8960000000002</v>
      </c>
      <c r="N223" s="107">
        <f t="shared" si="48"/>
        <v>2157.71</v>
      </c>
      <c r="O223" s="107">
        <f t="shared" si="48"/>
        <v>1314.7869999999998</v>
      </c>
      <c r="P223" s="107">
        <f t="shared" si="48"/>
        <v>1900.1779999999999</v>
      </c>
      <c r="Q223" s="107">
        <f t="shared" si="48"/>
        <v>1623.702</v>
      </c>
      <c r="R223" s="107">
        <f t="shared" si="48"/>
        <v>1462.12</v>
      </c>
      <c r="S223" s="107">
        <f t="shared" si="48"/>
        <v>1786.8870000000002</v>
      </c>
      <c r="T223" s="107">
        <f t="shared" si="48"/>
        <v>2157.712</v>
      </c>
      <c r="U223" s="107">
        <f t="shared" si="48"/>
        <v>2201.7759999999998</v>
      </c>
      <c r="V223" s="107">
        <f t="shared" si="48"/>
        <v>1672.193</v>
      </c>
      <c r="W223" s="107">
        <f t="shared" si="48"/>
        <v>0</v>
      </c>
      <c r="X223" s="107">
        <f t="shared" si="48"/>
        <v>1648.6129999999998</v>
      </c>
      <c r="Y223" s="107">
        <f t="shared" si="48"/>
        <v>0</v>
      </c>
      <c r="Z223" s="107">
        <f t="shared" si="48"/>
        <v>2157.712</v>
      </c>
      <c r="AA223" s="107">
        <f t="shared" si="48"/>
        <v>0</v>
      </c>
      <c r="AB223" s="107">
        <f t="shared" si="48"/>
        <v>1672.1799999999998</v>
      </c>
      <c r="AC223" s="107">
        <f t="shared" si="48"/>
        <v>0</v>
      </c>
      <c r="AD223" s="107">
        <f t="shared" si="48"/>
        <v>1190.2729999999999</v>
      </c>
      <c r="AE223" s="107">
        <f t="shared" si="48"/>
        <v>0</v>
      </c>
      <c r="AF223" s="101"/>
      <c r="AG223" s="102"/>
    </row>
    <row r="224" spans="1:33" x14ac:dyDescent="0.3">
      <c r="A224" s="106" t="s">
        <v>170</v>
      </c>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1"/>
      <c r="AG224" s="102"/>
    </row>
    <row r="225" spans="1:33" ht="56.25" x14ac:dyDescent="0.3">
      <c r="A225" s="122" t="s">
        <v>208</v>
      </c>
      <c r="B225" s="113"/>
      <c r="C225" s="121"/>
      <c r="D225" s="121"/>
      <c r="E225" s="121"/>
      <c r="F225" s="121"/>
      <c r="G225" s="12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29"/>
      <c r="AG225" s="102"/>
    </row>
    <row r="226" spans="1:33" x14ac:dyDescent="0.3">
      <c r="A226" s="112" t="s">
        <v>31</v>
      </c>
      <c r="B226" s="642">
        <f>B228+B229+B227+B230</f>
        <v>14582.985000000001</v>
      </c>
      <c r="C226" s="113">
        <f>C228+C229+C227+C230</f>
        <v>5493.29</v>
      </c>
      <c r="D226" s="113">
        <f>D228+D229+D227+D230</f>
        <v>7724.8909999999996</v>
      </c>
      <c r="E226" s="113">
        <f>E228+E229+E227+E230</f>
        <v>7724.8909999999996</v>
      </c>
      <c r="F226" s="113">
        <f>IFERROR(E226/B226*100,0)</f>
        <v>52.971946415634385</v>
      </c>
      <c r="G226" s="113">
        <f>IFERROR(E226/C226*100,0)</f>
        <v>140.62412506894773</v>
      </c>
      <c r="H226" s="113">
        <f t="shared" ref="H226:AE226" si="49">H228+H229+H227+H230</f>
        <v>1862.93</v>
      </c>
      <c r="I226" s="113">
        <f t="shared" si="49"/>
        <v>860.83</v>
      </c>
      <c r="J226" s="113">
        <f t="shared" si="49"/>
        <v>1244.2</v>
      </c>
      <c r="K226" s="113">
        <f t="shared" si="49"/>
        <v>1369.52</v>
      </c>
      <c r="L226" s="113">
        <f t="shared" si="49"/>
        <v>963.08</v>
      </c>
      <c r="M226" s="113">
        <f t="shared" si="49"/>
        <v>1162.2280000000001</v>
      </c>
      <c r="N226" s="113">
        <f t="shared" si="49"/>
        <v>1423.08</v>
      </c>
      <c r="O226" s="113">
        <f t="shared" si="49"/>
        <v>799.68499999999995</v>
      </c>
      <c r="P226" s="113">
        <f t="shared" si="49"/>
        <v>1329.998</v>
      </c>
      <c r="Q226" s="113">
        <f t="shared" si="49"/>
        <v>1019.106</v>
      </c>
      <c r="R226" s="113">
        <f t="shared" si="49"/>
        <v>963.09</v>
      </c>
      <c r="S226" s="113">
        <f t="shared" si="49"/>
        <v>1269.3420000000001</v>
      </c>
      <c r="T226" s="113">
        <f t="shared" si="49"/>
        <v>1423.08</v>
      </c>
      <c r="U226" s="113">
        <f t="shared" si="49"/>
        <v>1244.18</v>
      </c>
      <c r="V226" s="113">
        <f t="shared" si="49"/>
        <v>1102.01</v>
      </c>
      <c r="W226" s="113">
        <f t="shared" si="49"/>
        <v>0</v>
      </c>
      <c r="X226" s="113">
        <f t="shared" si="49"/>
        <v>963.08199999999999</v>
      </c>
      <c r="Y226" s="113">
        <f t="shared" si="49"/>
        <v>0</v>
      </c>
      <c r="Z226" s="113">
        <f t="shared" si="49"/>
        <v>1423.0820000000001</v>
      </c>
      <c r="AA226" s="113">
        <f t="shared" si="49"/>
        <v>0</v>
      </c>
      <c r="AB226" s="113">
        <f t="shared" si="49"/>
        <v>1102</v>
      </c>
      <c r="AC226" s="113">
        <f t="shared" si="49"/>
        <v>0</v>
      </c>
      <c r="AD226" s="113">
        <f t="shared" si="49"/>
        <v>783.35299999999995</v>
      </c>
      <c r="AE226" s="113">
        <f t="shared" si="49"/>
        <v>0</v>
      </c>
      <c r="AF226" s="29"/>
      <c r="AG226" s="102"/>
    </row>
    <row r="227" spans="1:33" x14ac:dyDescent="0.3">
      <c r="A227" s="115" t="s">
        <v>169</v>
      </c>
      <c r="B227" s="116"/>
      <c r="C227" s="117"/>
      <c r="D227" s="118"/>
      <c r="E227" s="117"/>
      <c r="F227" s="116"/>
      <c r="G227" s="116"/>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29"/>
      <c r="AG227" s="102"/>
    </row>
    <row r="228" spans="1:33" x14ac:dyDescent="0.3">
      <c r="A228" s="127" t="s">
        <v>32</v>
      </c>
      <c r="B228" s="116"/>
      <c r="C228" s="117"/>
      <c r="D228" s="118"/>
      <c r="E228" s="117"/>
      <c r="F228" s="116"/>
      <c r="G228" s="116"/>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29"/>
      <c r="AG228" s="102"/>
    </row>
    <row r="229" spans="1:33" x14ac:dyDescent="0.3">
      <c r="A229" s="115" t="s">
        <v>33</v>
      </c>
      <c r="B229" s="116">
        <f>J229+L229+N229+P229+R229+T229+V229+X229+Z229+AB229+AD229+H229</f>
        <v>14582.985000000001</v>
      </c>
      <c r="C229" s="117">
        <f>SUM(H229+J229+L229+N229)</f>
        <v>5493.29</v>
      </c>
      <c r="D229" s="118">
        <f>E229</f>
        <v>7724.8909999999996</v>
      </c>
      <c r="E229" s="117">
        <f>SUM(I229,K229,M229,O229,Q229,S229,U229,W229,Y229,AA229,AC229,AE229)</f>
        <v>7724.8909999999996</v>
      </c>
      <c r="F229" s="116">
        <f>IFERROR(E229/B229*100,0)</f>
        <v>52.971946415634385</v>
      </c>
      <c r="G229" s="116">
        <f>IFERROR(E229/C229*100,0)</f>
        <v>140.62412506894773</v>
      </c>
      <c r="H229" s="111">
        <v>1862.93</v>
      </c>
      <c r="I229" s="111">
        <v>860.83</v>
      </c>
      <c r="J229" s="111">
        <v>1244.2</v>
      </c>
      <c r="K229" s="111">
        <v>1369.52</v>
      </c>
      <c r="L229" s="111">
        <v>963.08</v>
      </c>
      <c r="M229" s="111">
        <v>1162.2280000000001</v>
      </c>
      <c r="N229" s="111">
        <v>1423.08</v>
      </c>
      <c r="O229" s="111">
        <v>799.68499999999995</v>
      </c>
      <c r="P229" s="111">
        <v>1329.998</v>
      </c>
      <c r="Q229" s="111">
        <v>1019.106</v>
      </c>
      <c r="R229" s="111">
        <v>963.09</v>
      </c>
      <c r="S229" s="111">
        <v>1269.3420000000001</v>
      </c>
      <c r="T229" s="111">
        <v>1423.08</v>
      </c>
      <c r="U229" s="111">
        <v>1244.18</v>
      </c>
      <c r="V229" s="111">
        <v>1102.01</v>
      </c>
      <c r="W229" s="111"/>
      <c r="X229" s="111">
        <v>963.08199999999999</v>
      </c>
      <c r="Y229" s="111"/>
      <c r="Z229" s="111">
        <v>1423.0820000000001</v>
      </c>
      <c r="AA229" s="111"/>
      <c r="AB229" s="111">
        <v>1102</v>
      </c>
      <c r="AC229" s="111"/>
      <c r="AD229" s="111">
        <v>783.35299999999995</v>
      </c>
      <c r="AE229" s="111"/>
      <c r="AF229" s="29"/>
      <c r="AG229" s="102"/>
    </row>
    <row r="230" spans="1:33" x14ac:dyDescent="0.3">
      <c r="A230" s="115" t="s">
        <v>170</v>
      </c>
      <c r="B230" s="116"/>
      <c r="C230" s="117"/>
      <c r="D230" s="118"/>
      <c r="E230" s="117"/>
      <c r="F230" s="116"/>
      <c r="G230" s="116"/>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29"/>
      <c r="AG230" s="102"/>
    </row>
    <row r="231" spans="1:33" ht="56.25" x14ac:dyDescent="0.3">
      <c r="A231" s="122" t="s">
        <v>209</v>
      </c>
      <c r="B231" s="113"/>
      <c r="C231" s="121"/>
      <c r="D231" s="121"/>
      <c r="E231" s="121"/>
      <c r="F231" s="121"/>
      <c r="G231" s="12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29"/>
      <c r="AG231" s="102"/>
    </row>
    <row r="232" spans="1:33" x14ac:dyDescent="0.3">
      <c r="A232" s="112" t="s">
        <v>31</v>
      </c>
      <c r="B232" s="642">
        <f>B234+B235+B233+B236</f>
        <v>7622.0959999999995</v>
      </c>
      <c r="C232" s="113">
        <f>C234+C235+C233+C236</f>
        <v>2850.8100000000004</v>
      </c>
      <c r="D232" s="113">
        <f>D234+D235+D233+D236</f>
        <v>4284.1120000000001</v>
      </c>
      <c r="E232" s="113">
        <f>E234+E235+E233+E236</f>
        <v>4284.1120000000001</v>
      </c>
      <c r="F232" s="113">
        <f>IFERROR(E232/B232*100,0)</f>
        <v>56.206481786637177</v>
      </c>
      <c r="G232" s="113">
        <f>IFERROR(E232/C232*100,0)</f>
        <v>150.27700899042728</v>
      </c>
      <c r="H232" s="113">
        <f t="shared" ref="H232:AE232" si="50">H234+H235+H233+H236</f>
        <v>989.09</v>
      </c>
      <c r="I232" s="113">
        <f t="shared" si="50"/>
        <v>458.94</v>
      </c>
      <c r="J232" s="113">
        <f t="shared" si="50"/>
        <v>628.05999999999995</v>
      </c>
      <c r="K232" s="113">
        <f t="shared" si="50"/>
        <v>751.66499999999996</v>
      </c>
      <c r="L232" s="113">
        <f t="shared" si="50"/>
        <v>499.03</v>
      </c>
      <c r="M232" s="113">
        <f t="shared" si="50"/>
        <v>478.66800000000001</v>
      </c>
      <c r="N232" s="113">
        <f t="shared" si="50"/>
        <v>734.63</v>
      </c>
      <c r="O232" s="113">
        <f t="shared" si="50"/>
        <v>515.10199999999998</v>
      </c>
      <c r="P232" s="113">
        <f t="shared" si="50"/>
        <v>570.17999999999995</v>
      </c>
      <c r="Q232" s="113">
        <f t="shared" si="50"/>
        <v>604.596</v>
      </c>
      <c r="R232" s="113">
        <f t="shared" si="50"/>
        <v>499.03</v>
      </c>
      <c r="S232" s="113">
        <f t="shared" si="50"/>
        <v>517.54499999999996</v>
      </c>
      <c r="T232" s="113">
        <f t="shared" si="50"/>
        <v>734.63199999999995</v>
      </c>
      <c r="U232" s="113">
        <f t="shared" si="50"/>
        <v>957.596</v>
      </c>
      <c r="V232" s="113">
        <f t="shared" si="50"/>
        <v>570.18299999999999</v>
      </c>
      <c r="W232" s="113">
        <f t="shared" si="50"/>
        <v>0</v>
      </c>
      <c r="X232" s="113">
        <f t="shared" si="50"/>
        <v>685.53099999999995</v>
      </c>
      <c r="Y232" s="113">
        <f t="shared" si="50"/>
        <v>0</v>
      </c>
      <c r="Z232" s="113">
        <f t="shared" si="50"/>
        <v>734.63</v>
      </c>
      <c r="AA232" s="113">
        <f t="shared" si="50"/>
        <v>0</v>
      </c>
      <c r="AB232" s="113">
        <f t="shared" si="50"/>
        <v>570.17999999999995</v>
      </c>
      <c r="AC232" s="113">
        <f t="shared" si="50"/>
        <v>0</v>
      </c>
      <c r="AD232" s="113">
        <f t="shared" si="50"/>
        <v>406.92</v>
      </c>
      <c r="AE232" s="113">
        <f t="shared" si="50"/>
        <v>0</v>
      </c>
      <c r="AF232" s="29"/>
      <c r="AG232" s="102"/>
    </row>
    <row r="233" spans="1:33" x14ac:dyDescent="0.3">
      <c r="A233" s="115" t="s">
        <v>169</v>
      </c>
      <c r="B233" s="116"/>
      <c r="C233" s="117"/>
      <c r="D233" s="118"/>
      <c r="E233" s="117"/>
      <c r="F233" s="116"/>
      <c r="G233" s="116"/>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29"/>
      <c r="AG233" s="102"/>
    </row>
    <row r="234" spans="1:33" x14ac:dyDescent="0.3">
      <c r="A234" s="127" t="s">
        <v>32</v>
      </c>
      <c r="B234" s="116"/>
      <c r="C234" s="117"/>
      <c r="D234" s="118"/>
      <c r="E234" s="117"/>
      <c r="F234" s="116"/>
      <c r="G234" s="116"/>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29"/>
      <c r="AG234" s="102"/>
    </row>
    <row r="235" spans="1:33" x14ac:dyDescent="0.3">
      <c r="A235" s="115" t="s">
        <v>33</v>
      </c>
      <c r="B235" s="116">
        <f>J235+L235+N235+P235+R235+T235+V235+X235+Z235+AB235+AD235+H235</f>
        <v>7622.0959999999995</v>
      </c>
      <c r="C235" s="117">
        <f>SUM(H235+J235+L235+N235)</f>
        <v>2850.8100000000004</v>
      </c>
      <c r="D235" s="118">
        <f>E235</f>
        <v>4284.1120000000001</v>
      </c>
      <c r="E235" s="117">
        <f>SUM(I235,K235,M235,O235,Q235,S235,U235,W235,Y235,AA235,AC235,AE235)</f>
        <v>4284.1120000000001</v>
      </c>
      <c r="F235" s="116">
        <f>IFERROR(E235/B235*100,0)</f>
        <v>56.206481786637177</v>
      </c>
      <c r="G235" s="116">
        <f>IFERROR(E235/C235*100,0)</f>
        <v>150.27700899042728</v>
      </c>
      <c r="H235" s="111">
        <v>989.09</v>
      </c>
      <c r="I235" s="111">
        <v>458.94</v>
      </c>
      <c r="J235" s="111">
        <v>628.05999999999995</v>
      </c>
      <c r="K235" s="111">
        <v>751.66499999999996</v>
      </c>
      <c r="L235" s="111">
        <v>499.03</v>
      </c>
      <c r="M235" s="111">
        <v>478.66800000000001</v>
      </c>
      <c r="N235" s="111">
        <v>734.63</v>
      </c>
      <c r="O235" s="111">
        <v>515.10199999999998</v>
      </c>
      <c r="P235" s="111">
        <v>570.17999999999995</v>
      </c>
      <c r="Q235" s="111">
        <v>604.596</v>
      </c>
      <c r="R235" s="111">
        <v>499.03</v>
      </c>
      <c r="S235" s="111">
        <v>517.54499999999996</v>
      </c>
      <c r="T235" s="111">
        <v>734.63199999999995</v>
      </c>
      <c r="U235" s="111">
        <v>957.596</v>
      </c>
      <c r="V235" s="111">
        <v>570.18299999999999</v>
      </c>
      <c r="W235" s="111"/>
      <c r="X235" s="111">
        <v>685.53099999999995</v>
      </c>
      <c r="Y235" s="111"/>
      <c r="Z235" s="111">
        <v>734.63</v>
      </c>
      <c r="AA235" s="111"/>
      <c r="AB235" s="111">
        <v>570.17999999999995</v>
      </c>
      <c r="AC235" s="111"/>
      <c r="AD235" s="111">
        <v>406.92</v>
      </c>
      <c r="AE235" s="111"/>
      <c r="AF235" s="29"/>
      <c r="AG235" s="102"/>
    </row>
    <row r="236" spans="1:33" x14ac:dyDescent="0.3">
      <c r="A236" s="115" t="s">
        <v>170</v>
      </c>
      <c r="B236" s="116"/>
      <c r="C236" s="117"/>
      <c r="D236" s="118"/>
      <c r="E236" s="117"/>
      <c r="F236" s="116"/>
      <c r="G236" s="116"/>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29"/>
      <c r="AG236" s="102"/>
    </row>
    <row r="237" spans="1:33" x14ac:dyDescent="0.3">
      <c r="A237" s="124" t="s">
        <v>210</v>
      </c>
      <c r="B237" s="104"/>
      <c r="C237" s="125"/>
      <c r="D237" s="125"/>
      <c r="E237" s="125"/>
      <c r="F237" s="125"/>
      <c r="G237" s="125"/>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1"/>
      <c r="AG237" s="102"/>
    </row>
    <row r="238" spans="1:33" x14ac:dyDescent="0.3">
      <c r="A238" s="103" t="s">
        <v>31</v>
      </c>
      <c r="B238" s="104">
        <f>B239+B240+B241+B242</f>
        <v>74</v>
      </c>
      <c r="C238" s="104">
        <f>C239+C240+C241+C242</f>
        <v>0</v>
      </c>
      <c r="D238" s="104">
        <f>D239+D240+D241+D242</f>
        <v>0</v>
      </c>
      <c r="E238" s="104">
        <f>E239+E240+E241+E242</f>
        <v>0</v>
      </c>
      <c r="F238" s="107">
        <f>IFERROR(E238/B238*100,0)</f>
        <v>0</v>
      </c>
      <c r="G238" s="107">
        <f>IFERROR(E238/C238*100,0)</f>
        <v>0</v>
      </c>
      <c r="H238" s="104">
        <f t="shared" ref="H238:AE238" si="51">H239+H240+H241+H242</f>
        <v>0</v>
      </c>
      <c r="I238" s="104">
        <f t="shared" si="51"/>
        <v>0</v>
      </c>
      <c r="J238" s="104">
        <f t="shared" si="51"/>
        <v>0</v>
      </c>
      <c r="K238" s="104">
        <f t="shared" si="51"/>
        <v>0</v>
      </c>
      <c r="L238" s="104">
        <f t="shared" si="51"/>
        <v>0</v>
      </c>
      <c r="M238" s="104">
        <f t="shared" si="51"/>
        <v>0</v>
      </c>
      <c r="N238" s="104">
        <f t="shared" si="51"/>
        <v>0</v>
      </c>
      <c r="O238" s="104">
        <f t="shared" si="51"/>
        <v>0</v>
      </c>
      <c r="P238" s="104">
        <f t="shared" si="51"/>
        <v>0</v>
      </c>
      <c r="Q238" s="104">
        <f t="shared" si="51"/>
        <v>0</v>
      </c>
      <c r="R238" s="104">
        <f t="shared" si="51"/>
        <v>0</v>
      </c>
      <c r="S238" s="104">
        <f t="shared" si="51"/>
        <v>0</v>
      </c>
      <c r="T238" s="104">
        <f t="shared" si="51"/>
        <v>0</v>
      </c>
      <c r="U238" s="104">
        <f t="shared" si="51"/>
        <v>0</v>
      </c>
      <c r="V238" s="104">
        <f t="shared" si="51"/>
        <v>0</v>
      </c>
      <c r="W238" s="104">
        <f t="shared" si="51"/>
        <v>0</v>
      </c>
      <c r="X238" s="104">
        <f t="shared" si="51"/>
        <v>74</v>
      </c>
      <c r="Y238" s="104">
        <f t="shared" si="51"/>
        <v>0</v>
      </c>
      <c r="Z238" s="104">
        <f t="shared" si="51"/>
        <v>0</v>
      </c>
      <c r="AA238" s="104">
        <f t="shared" si="51"/>
        <v>0</v>
      </c>
      <c r="AB238" s="104">
        <f t="shared" si="51"/>
        <v>0</v>
      </c>
      <c r="AC238" s="104">
        <f t="shared" si="51"/>
        <v>0</v>
      </c>
      <c r="AD238" s="104">
        <f t="shared" si="51"/>
        <v>0</v>
      </c>
      <c r="AE238" s="104">
        <f t="shared" si="51"/>
        <v>0</v>
      </c>
      <c r="AF238" s="101"/>
      <c r="AG238" s="102"/>
    </row>
    <row r="239" spans="1:33" x14ac:dyDescent="0.3">
      <c r="A239" s="106" t="s">
        <v>169</v>
      </c>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1"/>
      <c r="AG239" s="102"/>
    </row>
    <row r="240" spans="1:33" x14ac:dyDescent="0.3">
      <c r="A240" s="106" t="s">
        <v>32</v>
      </c>
      <c r="B240" s="107">
        <f>B246</f>
        <v>74</v>
      </c>
      <c r="C240" s="107">
        <f>C246</f>
        <v>0</v>
      </c>
      <c r="D240" s="107">
        <f>D246</f>
        <v>0</v>
      </c>
      <c r="E240" s="107">
        <f>E246</f>
        <v>0</v>
      </c>
      <c r="F240" s="107">
        <f>IFERROR(E240/B240*100,0)</f>
        <v>0</v>
      </c>
      <c r="G240" s="107">
        <f>IFERROR(E240/C240*100,0)</f>
        <v>0</v>
      </c>
      <c r="H240" s="107">
        <f t="shared" ref="H240:AE240" si="52">H246</f>
        <v>0</v>
      </c>
      <c r="I240" s="107">
        <f t="shared" si="52"/>
        <v>0</v>
      </c>
      <c r="J240" s="107">
        <f t="shared" si="52"/>
        <v>0</v>
      </c>
      <c r="K240" s="107">
        <f t="shared" si="52"/>
        <v>0</v>
      </c>
      <c r="L240" s="107">
        <f t="shared" si="52"/>
        <v>0</v>
      </c>
      <c r="M240" s="107">
        <f t="shared" si="52"/>
        <v>0</v>
      </c>
      <c r="N240" s="107">
        <f t="shared" si="52"/>
        <v>0</v>
      </c>
      <c r="O240" s="107">
        <f t="shared" si="52"/>
        <v>0</v>
      </c>
      <c r="P240" s="107">
        <f t="shared" si="52"/>
        <v>0</v>
      </c>
      <c r="Q240" s="107">
        <f t="shared" si="52"/>
        <v>0</v>
      </c>
      <c r="R240" s="107">
        <f t="shared" si="52"/>
        <v>0</v>
      </c>
      <c r="S240" s="107">
        <f t="shared" si="52"/>
        <v>0</v>
      </c>
      <c r="T240" s="107">
        <f t="shared" si="52"/>
        <v>0</v>
      </c>
      <c r="U240" s="107">
        <f t="shared" si="52"/>
        <v>0</v>
      </c>
      <c r="V240" s="107">
        <f t="shared" si="52"/>
        <v>0</v>
      </c>
      <c r="W240" s="107">
        <f t="shared" si="52"/>
        <v>0</v>
      </c>
      <c r="X240" s="107">
        <f t="shared" si="52"/>
        <v>74</v>
      </c>
      <c r="Y240" s="107">
        <f t="shared" si="52"/>
        <v>0</v>
      </c>
      <c r="Z240" s="107">
        <f t="shared" si="52"/>
        <v>0</v>
      </c>
      <c r="AA240" s="107">
        <f t="shared" si="52"/>
        <v>0</v>
      </c>
      <c r="AB240" s="107">
        <f t="shared" si="52"/>
        <v>0</v>
      </c>
      <c r="AC240" s="107">
        <f t="shared" si="52"/>
        <v>0</v>
      </c>
      <c r="AD240" s="107">
        <f t="shared" si="52"/>
        <v>0</v>
      </c>
      <c r="AE240" s="107">
        <f t="shared" si="52"/>
        <v>0</v>
      </c>
      <c r="AF240" s="101"/>
      <c r="AG240" s="102"/>
    </row>
    <row r="241" spans="1:33" x14ac:dyDescent="0.3">
      <c r="A241" s="106" t="s">
        <v>33</v>
      </c>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1"/>
      <c r="AG241" s="102"/>
    </row>
    <row r="242" spans="1:33" x14ac:dyDescent="0.3">
      <c r="A242" s="106" t="s">
        <v>170</v>
      </c>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1"/>
      <c r="AG242" s="102"/>
    </row>
    <row r="243" spans="1:33" ht="93.75" x14ac:dyDescent="0.3">
      <c r="A243" s="122" t="s">
        <v>211</v>
      </c>
      <c r="B243" s="116"/>
      <c r="C243" s="123"/>
      <c r="D243" s="123"/>
      <c r="E243" s="123"/>
      <c r="F243" s="123"/>
      <c r="G243" s="123"/>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29"/>
      <c r="AG243" s="102"/>
    </row>
    <row r="244" spans="1:33" x14ac:dyDescent="0.3">
      <c r="A244" s="112" t="s">
        <v>31</v>
      </c>
      <c r="B244" s="642">
        <f>B246+B247+B245+B248</f>
        <v>74</v>
      </c>
      <c r="C244" s="642">
        <f>C246+C247+C245+C248</f>
        <v>0</v>
      </c>
      <c r="D244" s="113">
        <f>D246+D247+D245+D248</f>
        <v>0</v>
      </c>
      <c r="E244" s="113">
        <f>E246+E247+E245+E248</f>
        <v>0</v>
      </c>
      <c r="F244" s="113">
        <f>IFERROR(E244/B244*100,0)</f>
        <v>0</v>
      </c>
      <c r="G244" s="113">
        <f>IFERROR(E244/C244*100,0)</f>
        <v>0</v>
      </c>
      <c r="H244" s="113">
        <f t="shared" ref="H244:AE244" si="53">H246+H247+H245+H248</f>
        <v>0</v>
      </c>
      <c r="I244" s="113">
        <f t="shared" si="53"/>
        <v>0</v>
      </c>
      <c r="J244" s="113">
        <f t="shared" si="53"/>
        <v>0</v>
      </c>
      <c r="K244" s="113">
        <f t="shared" si="53"/>
        <v>0</v>
      </c>
      <c r="L244" s="113">
        <f t="shared" si="53"/>
        <v>0</v>
      </c>
      <c r="M244" s="113">
        <f t="shared" si="53"/>
        <v>0</v>
      </c>
      <c r="N244" s="113">
        <f t="shared" si="53"/>
        <v>0</v>
      </c>
      <c r="O244" s="113">
        <f t="shared" si="53"/>
        <v>0</v>
      </c>
      <c r="P244" s="113">
        <f t="shared" si="53"/>
        <v>0</v>
      </c>
      <c r="Q244" s="113">
        <f t="shared" si="53"/>
        <v>0</v>
      </c>
      <c r="R244" s="113">
        <f t="shared" si="53"/>
        <v>0</v>
      </c>
      <c r="S244" s="113">
        <f t="shared" si="53"/>
        <v>0</v>
      </c>
      <c r="T244" s="113">
        <f t="shared" si="53"/>
        <v>0</v>
      </c>
      <c r="U244" s="113">
        <f t="shared" si="53"/>
        <v>0</v>
      </c>
      <c r="V244" s="113">
        <f t="shared" si="53"/>
        <v>0</v>
      </c>
      <c r="W244" s="113">
        <f t="shared" si="53"/>
        <v>0</v>
      </c>
      <c r="X244" s="113">
        <f t="shared" si="53"/>
        <v>74</v>
      </c>
      <c r="Y244" s="113">
        <f t="shared" si="53"/>
        <v>0</v>
      </c>
      <c r="Z244" s="113">
        <f t="shared" si="53"/>
        <v>0</v>
      </c>
      <c r="AA244" s="113">
        <f t="shared" si="53"/>
        <v>0</v>
      </c>
      <c r="AB244" s="113">
        <f t="shared" si="53"/>
        <v>0</v>
      </c>
      <c r="AC244" s="113">
        <f t="shared" si="53"/>
        <v>0</v>
      </c>
      <c r="AD244" s="113">
        <f t="shared" si="53"/>
        <v>0</v>
      </c>
      <c r="AE244" s="113">
        <f t="shared" si="53"/>
        <v>0</v>
      </c>
      <c r="AF244" s="29"/>
      <c r="AG244" s="102"/>
    </row>
    <row r="245" spans="1:33" x14ac:dyDescent="0.3">
      <c r="A245" s="115" t="s">
        <v>169</v>
      </c>
      <c r="B245" s="116"/>
      <c r="C245" s="117"/>
      <c r="D245" s="118"/>
      <c r="E245" s="117"/>
      <c r="F245" s="116"/>
      <c r="G245" s="116"/>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29"/>
      <c r="AG245" s="102"/>
    </row>
    <row r="246" spans="1:33" x14ac:dyDescent="0.3">
      <c r="A246" s="127" t="s">
        <v>32</v>
      </c>
      <c r="B246" s="116">
        <f>J246+L246+N246+P246+R246+T246+V246+X246+Z246+AB246+AD246+H246</f>
        <v>74</v>
      </c>
      <c r="C246" s="117">
        <f>SUM(H246)</f>
        <v>0</v>
      </c>
      <c r="D246" s="118">
        <f>E246</f>
        <v>0</v>
      </c>
      <c r="E246" s="117">
        <f>SUM(I246,K246,M246,O246,Q246,S246,U246,W246,Y246,AA246,AC246,AE246)</f>
        <v>0</v>
      </c>
      <c r="F246" s="116">
        <f>IFERROR(E246/B246*100,0)</f>
        <v>0</v>
      </c>
      <c r="G246" s="116">
        <f>IFERROR(E246/C246*100,0)</f>
        <v>0</v>
      </c>
      <c r="H246" s="111">
        <v>0</v>
      </c>
      <c r="I246" s="111">
        <v>0</v>
      </c>
      <c r="J246" s="111">
        <v>0</v>
      </c>
      <c r="K246" s="111">
        <v>0</v>
      </c>
      <c r="L246" s="111">
        <v>0</v>
      </c>
      <c r="M246" s="111">
        <v>0</v>
      </c>
      <c r="N246" s="111">
        <v>0</v>
      </c>
      <c r="O246" s="111">
        <v>0</v>
      </c>
      <c r="P246" s="111">
        <v>0</v>
      </c>
      <c r="Q246" s="111">
        <v>0</v>
      </c>
      <c r="R246" s="111">
        <v>0</v>
      </c>
      <c r="S246" s="111">
        <v>0</v>
      </c>
      <c r="T246" s="111">
        <v>0</v>
      </c>
      <c r="U246" s="111">
        <v>0</v>
      </c>
      <c r="V246" s="111"/>
      <c r="W246" s="111"/>
      <c r="X246" s="111">
        <v>74</v>
      </c>
      <c r="Y246" s="111"/>
      <c r="Z246" s="111">
        <v>0</v>
      </c>
      <c r="AA246" s="111"/>
      <c r="AB246" s="111">
        <v>0</v>
      </c>
      <c r="AC246" s="111"/>
      <c r="AD246" s="111">
        <v>0</v>
      </c>
      <c r="AE246" s="111"/>
      <c r="AF246" s="29"/>
      <c r="AG246" s="102"/>
    </row>
    <row r="247" spans="1:33" x14ac:dyDescent="0.3">
      <c r="A247" s="115" t="s">
        <v>33</v>
      </c>
      <c r="B247" s="116"/>
      <c r="C247" s="117"/>
      <c r="D247" s="118"/>
      <c r="E247" s="117"/>
      <c r="F247" s="116"/>
      <c r="G247" s="116"/>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29"/>
      <c r="AG247" s="102"/>
    </row>
    <row r="248" spans="1:33" x14ac:dyDescent="0.3">
      <c r="A248" s="115" t="s">
        <v>170</v>
      </c>
      <c r="B248" s="116"/>
      <c r="C248" s="117"/>
      <c r="D248" s="118"/>
      <c r="E248" s="117"/>
      <c r="F248" s="116"/>
      <c r="G248" s="116"/>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29"/>
      <c r="AG248" s="102"/>
    </row>
    <row r="249" spans="1:33" ht="56.25" x14ac:dyDescent="0.3">
      <c r="A249" s="124" t="s">
        <v>212</v>
      </c>
      <c r="B249" s="107"/>
      <c r="C249" s="136"/>
      <c r="D249" s="136"/>
      <c r="E249" s="136"/>
      <c r="F249" s="136"/>
      <c r="G249" s="136"/>
      <c r="H249" s="141"/>
      <c r="I249" s="141"/>
      <c r="J249" s="141"/>
      <c r="K249" s="141"/>
      <c r="L249" s="141"/>
      <c r="M249" s="141"/>
      <c r="N249" s="141"/>
      <c r="O249" s="141"/>
      <c r="P249" s="141"/>
      <c r="Q249" s="141"/>
      <c r="R249" s="141"/>
      <c r="S249" s="141"/>
      <c r="T249" s="141"/>
      <c r="U249" s="141"/>
      <c r="V249" s="141"/>
      <c r="W249" s="141"/>
      <c r="X249" s="141"/>
      <c r="Y249" s="141"/>
      <c r="Z249" s="141"/>
      <c r="AA249" s="141"/>
      <c r="AB249" s="141"/>
      <c r="AC249" s="141"/>
      <c r="AD249" s="141"/>
      <c r="AE249" s="141"/>
      <c r="AF249" s="724"/>
      <c r="AG249" s="102"/>
    </row>
    <row r="250" spans="1:33" x14ac:dyDescent="0.3">
      <c r="A250" s="103" t="s">
        <v>31</v>
      </c>
      <c r="B250" s="642">
        <f>B252+B253+B251+B254</f>
        <v>55033.595999999998</v>
      </c>
      <c r="C250" s="104">
        <f>C252+C253+C251+C254</f>
        <v>16746.47</v>
      </c>
      <c r="D250" s="104">
        <f>D252+D253+D251+D254</f>
        <v>25138.486000000001</v>
      </c>
      <c r="E250" s="104">
        <f>E252+E253+E251+E254</f>
        <v>25138.486000000001</v>
      </c>
      <c r="F250" s="104">
        <f>IFERROR(E250/B250*100,0)</f>
        <v>45.678436131994722</v>
      </c>
      <c r="G250" s="104">
        <f>IFERROR(E250/C250*100,0)</f>
        <v>150.1121490081193</v>
      </c>
      <c r="H250" s="104">
        <f t="shared" ref="H250:AE250" si="54">H252+H253+H251+H254</f>
        <v>2814.28</v>
      </c>
      <c r="I250" s="104">
        <f t="shared" si="54"/>
        <v>1088.49</v>
      </c>
      <c r="J250" s="104">
        <f t="shared" si="54"/>
        <v>4509.2539999999999</v>
      </c>
      <c r="K250" s="104">
        <f t="shared" si="54"/>
        <v>4107.49</v>
      </c>
      <c r="L250" s="104">
        <f t="shared" si="54"/>
        <v>4719.3559999999998</v>
      </c>
      <c r="M250" s="104">
        <f t="shared" si="54"/>
        <v>2574.5309999999999</v>
      </c>
      <c r="N250" s="104">
        <f t="shared" si="54"/>
        <v>4703.58</v>
      </c>
      <c r="O250" s="104">
        <f t="shared" si="54"/>
        <v>2956.0169999999998</v>
      </c>
      <c r="P250" s="104">
        <f t="shared" si="54"/>
        <v>4804.1009999999997</v>
      </c>
      <c r="Q250" s="104">
        <f t="shared" si="54"/>
        <v>3524.0940000000001</v>
      </c>
      <c r="R250" s="104">
        <f t="shared" si="54"/>
        <v>4784.3459999999995</v>
      </c>
      <c r="S250" s="104">
        <f t="shared" si="54"/>
        <v>5490.43</v>
      </c>
      <c r="T250" s="104">
        <f t="shared" si="54"/>
        <v>4682.0810000000001</v>
      </c>
      <c r="U250" s="104">
        <f t="shared" si="54"/>
        <v>5397.4340000000002</v>
      </c>
      <c r="V250" s="104">
        <f t="shared" si="54"/>
        <v>4478.241</v>
      </c>
      <c r="W250" s="104">
        <f t="shared" si="54"/>
        <v>0</v>
      </c>
      <c r="X250" s="104">
        <f t="shared" si="54"/>
        <v>4478.22</v>
      </c>
      <c r="Y250" s="104">
        <f t="shared" si="54"/>
        <v>0</v>
      </c>
      <c r="Z250" s="104">
        <f t="shared" si="54"/>
        <v>4495.4390000000003</v>
      </c>
      <c r="AA250" s="104">
        <f t="shared" si="54"/>
        <v>0</v>
      </c>
      <c r="AB250" s="104">
        <f t="shared" si="54"/>
        <v>4829.21</v>
      </c>
      <c r="AC250" s="104">
        <f t="shared" si="54"/>
        <v>0</v>
      </c>
      <c r="AD250" s="104">
        <f t="shared" si="54"/>
        <v>5735.4880000000003</v>
      </c>
      <c r="AE250" s="104">
        <f t="shared" si="54"/>
        <v>0</v>
      </c>
      <c r="AF250" s="142"/>
      <c r="AG250" s="102"/>
    </row>
    <row r="251" spans="1:33" x14ac:dyDescent="0.3">
      <c r="A251" s="106" t="s">
        <v>169</v>
      </c>
      <c r="B251" s="107"/>
      <c r="C251" s="107"/>
      <c r="D251" s="107"/>
      <c r="E251" s="107"/>
      <c r="F251" s="107"/>
      <c r="G251" s="107"/>
      <c r="H251" s="141"/>
      <c r="I251" s="141"/>
      <c r="J251" s="141"/>
      <c r="K251" s="141"/>
      <c r="L251" s="141"/>
      <c r="M251" s="141"/>
      <c r="N251" s="141"/>
      <c r="O251" s="141"/>
      <c r="P251" s="141"/>
      <c r="Q251" s="141"/>
      <c r="R251" s="141"/>
      <c r="S251" s="141"/>
      <c r="T251" s="141"/>
      <c r="U251" s="141"/>
      <c r="V251" s="141"/>
      <c r="W251" s="141"/>
      <c r="X251" s="141"/>
      <c r="Y251" s="141"/>
      <c r="Z251" s="141"/>
      <c r="AA251" s="141"/>
      <c r="AB251" s="141"/>
      <c r="AC251" s="141"/>
      <c r="AD251" s="141"/>
      <c r="AE251" s="141"/>
      <c r="AF251" s="142"/>
      <c r="AG251" s="102"/>
    </row>
    <row r="252" spans="1:33" x14ac:dyDescent="0.3">
      <c r="A252" s="106" t="s">
        <v>32</v>
      </c>
      <c r="B252" s="107"/>
      <c r="C252" s="107"/>
      <c r="D252" s="107"/>
      <c r="E252" s="107"/>
      <c r="F252" s="107"/>
      <c r="G252" s="107"/>
      <c r="H252" s="141"/>
      <c r="I252" s="141"/>
      <c r="J252" s="141"/>
      <c r="K252" s="141"/>
      <c r="L252" s="141"/>
      <c r="M252" s="141"/>
      <c r="N252" s="141"/>
      <c r="O252" s="141"/>
      <c r="P252" s="141"/>
      <c r="Q252" s="141"/>
      <c r="R252" s="141"/>
      <c r="S252" s="141"/>
      <c r="T252" s="141"/>
      <c r="U252" s="141"/>
      <c r="V252" s="141"/>
      <c r="W252" s="141"/>
      <c r="X252" s="141"/>
      <c r="Y252" s="141"/>
      <c r="Z252" s="141"/>
      <c r="AA252" s="141"/>
      <c r="AB252" s="141"/>
      <c r="AC252" s="141"/>
      <c r="AD252" s="141"/>
      <c r="AE252" s="141"/>
      <c r="AF252" s="142"/>
      <c r="AG252" s="102"/>
    </row>
    <row r="253" spans="1:33" x14ac:dyDescent="0.3">
      <c r="A253" s="106" t="s">
        <v>33</v>
      </c>
      <c r="B253" s="107">
        <f>J253+L253+N253+P253+R253+T253+V253+X253+Z253+AB253+AD253+H253</f>
        <v>55033.595999999998</v>
      </c>
      <c r="C253" s="107">
        <f>SUM(H253+J253+L253+N253)</f>
        <v>16746.47</v>
      </c>
      <c r="D253" s="107">
        <f>E253</f>
        <v>25138.486000000001</v>
      </c>
      <c r="E253" s="107">
        <f>SUM(I253,K253,M253,O253,Q253,S253,U253,W253,Y253,AA253,AC253,AE253)</f>
        <v>25138.486000000001</v>
      </c>
      <c r="F253" s="107">
        <f>IFERROR(E253/B253*100,0)</f>
        <v>45.678436131994722</v>
      </c>
      <c r="G253" s="107">
        <f>IFERROR(E253/C253*100,0)</f>
        <v>150.1121490081193</v>
      </c>
      <c r="H253" s="141">
        <v>2814.28</v>
      </c>
      <c r="I253" s="141">
        <v>1088.49</v>
      </c>
      <c r="J253" s="141">
        <v>4509.2539999999999</v>
      </c>
      <c r="K253" s="141">
        <v>4107.49</v>
      </c>
      <c r="L253" s="141">
        <v>4719.3559999999998</v>
      </c>
      <c r="M253" s="141">
        <v>2574.5309999999999</v>
      </c>
      <c r="N253" s="141">
        <v>4703.58</v>
      </c>
      <c r="O253" s="141">
        <v>2956.0169999999998</v>
      </c>
      <c r="P253" s="141">
        <v>4804.1009999999997</v>
      </c>
      <c r="Q253" s="141">
        <v>3524.0940000000001</v>
      </c>
      <c r="R253" s="141">
        <v>4784.3459999999995</v>
      </c>
      <c r="S253" s="141">
        <v>5490.43</v>
      </c>
      <c r="T253" s="141">
        <v>4682.0810000000001</v>
      </c>
      <c r="U253" s="141">
        <v>5397.4340000000002</v>
      </c>
      <c r="V253" s="141">
        <v>4478.241</v>
      </c>
      <c r="W253" s="141"/>
      <c r="X253" s="141">
        <v>4478.22</v>
      </c>
      <c r="Y253" s="141"/>
      <c r="Z253" s="141">
        <v>4495.4390000000003</v>
      </c>
      <c r="AA253" s="141"/>
      <c r="AB253" s="141">
        <v>4829.21</v>
      </c>
      <c r="AC253" s="141"/>
      <c r="AD253" s="141">
        <v>5735.4880000000003</v>
      </c>
      <c r="AE253" s="141"/>
      <c r="AF253" s="142"/>
      <c r="AG253" s="102"/>
    </row>
    <row r="254" spans="1:33" x14ac:dyDescent="0.3">
      <c r="A254" s="106" t="s">
        <v>170</v>
      </c>
      <c r="B254" s="107"/>
      <c r="C254" s="107"/>
      <c r="D254" s="107"/>
      <c r="E254" s="107"/>
      <c r="F254" s="107"/>
      <c r="G254" s="107"/>
      <c r="H254" s="141"/>
      <c r="I254" s="141"/>
      <c r="J254" s="141"/>
      <c r="K254" s="141"/>
      <c r="L254" s="141"/>
      <c r="M254" s="141"/>
      <c r="N254" s="141"/>
      <c r="O254" s="141"/>
      <c r="P254" s="141"/>
      <c r="Q254" s="141"/>
      <c r="R254" s="141"/>
      <c r="S254" s="141"/>
      <c r="T254" s="141"/>
      <c r="U254" s="141"/>
      <c r="V254" s="141"/>
      <c r="W254" s="141"/>
      <c r="X254" s="141"/>
      <c r="Y254" s="141"/>
      <c r="Z254" s="141"/>
      <c r="AA254" s="141"/>
      <c r="AB254" s="141"/>
      <c r="AC254" s="141"/>
      <c r="AD254" s="141"/>
      <c r="AE254" s="141"/>
      <c r="AF254" s="142"/>
      <c r="AG254" s="102"/>
    </row>
    <row r="255" spans="1:33" x14ac:dyDescent="0.3">
      <c r="A255" s="1058" t="s">
        <v>213</v>
      </c>
      <c r="B255" s="1059"/>
      <c r="C255" s="1059"/>
      <c r="D255" s="1059"/>
      <c r="E255" s="1059"/>
      <c r="F255" s="1059"/>
      <c r="G255" s="1059"/>
      <c r="H255" s="1059"/>
      <c r="I255" s="1059"/>
      <c r="J255" s="1059"/>
      <c r="K255" s="1059"/>
      <c r="L255" s="1059"/>
      <c r="M255" s="1059"/>
      <c r="N255" s="1059"/>
      <c r="O255" s="1059"/>
      <c r="P255" s="1059"/>
      <c r="Q255" s="1059"/>
      <c r="R255" s="1059"/>
      <c r="S255" s="1059"/>
      <c r="T255" s="1059"/>
      <c r="U255" s="1059"/>
      <c r="V255" s="1059"/>
      <c r="W255" s="1059"/>
      <c r="X255" s="1059"/>
      <c r="Y255" s="1059"/>
      <c r="Z255" s="1059"/>
      <c r="AA255" s="1059"/>
      <c r="AB255" s="1059"/>
      <c r="AC255" s="1059"/>
      <c r="AD255" s="1059"/>
      <c r="AE255" s="1059"/>
      <c r="AF255" s="1060"/>
      <c r="AG255" s="102"/>
    </row>
    <row r="256" spans="1:33" x14ac:dyDescent="0.3">
      <c r="A256" s="1058" t="s">
        <v>54</v>
      </c>
      <c r="B256" s="1059"/>
      <c r="C256" s="1059"/>
      <c r="D256" s="1059"/>
      <c r="E256" s="1059"/>
      <c r="F256" s="1059"/>
      <c r="G256" s="1059"/>
      <c r="H256" s="1059"/>
      <c r="I256" s="1059"/>
      <c r="J256" s="1059"/>
      <c r="K256" s="1059"/>
      <c r="L256" s="1059"/>
      <c r="M256" s="1059"/>
      <c r="N256" s="1059"/>
      <c r="O256" s="1059"/>
      <c r="P256" s="1059"/>
      <c r="Q256" s="1059"/>
      <c r="R256" s="1059"/>
      <c r="S256" s="1059"/>
      <c r="T256" s="1059"/>
      <c r="U256" s="1059"/>
      <c r="V256" s="1059"/>
      <c r="W256" s="1059"/>
      <c r="X256" s="1059"/>
      <c r="Y256" s="1059"/>
      <c r="Z256" s="1059"/>
      <c r="AA256" s="1059"/>
      <c r="AB256" s="1059"/>
      <c r="AC256" s="1059"/>
      <c r="AD256" s="1059"/>
      <c r="AE256" s="1059"/>
      <c r="AF256" s="1060"/>
      <c r="AG256" s="102"/>
    </row>
    <row r="257" spans="1:33" ht="37.5" x14ac:dyDescent="0.3">
      <c r="A257" s="98" t="s">
        <v>214</v>
      </c>
      <c r="B257" s="143"/>
      <c r="C257" s="144"/>
      <c r="D257" s="144"/>
      <c r="E257" s="144"/>
      <c r="F257" s="144"/>
      <c r="G257" s="144"/>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01"/>
      <c r="AG257" s="102"/>
    </row>
    <row r="258" spans="1:33" x14ac:dyDescent="0.3">
      <c r="A258" s="145" t="s">
        <v>31</v>
      </c>
      <c r="B258" s="104">
        <f>B259+B260+B261+B262</f>
        <v>7056.83</v>
      </c>
      <c r="C258" s="104">
        <f>C259+C260+C261+C262</f>
        <v>3470.2000000000003</v>
      </c>
      <c r="D258" s="104">
        <f>D259+D260+D261+D262</f>
        <v>3386.203</v>
      </c>
      <c r="E258" s="104">
        <f>E259+E260+E261+E262</f>
        <v>3386.203</v>
      </c>
      <c r="F258" s="107">
        <f>IFERROR(E258/B258*100,0)</f>
        <v>47.984760862880357</v>
      </c>
      <c r="G258" s="107">
        <f>IFERROR(E258/C258*100,0)</f>
        <v>97.579476687222638</v>
      </c>
      <c r="H258" s="104">
        <f t="shared" ref="H258:AE258" si="55">H259+H260+H261+H262</f>
        <v>0</v>
      </c>
      <c r="I258" s="104">
        <f t="shared" si="55"/>
        <v>0</v>
      </c>
      <c r="J258" s="104">
        <f t="shared" si="55"/>
        <v>2608.4</v>
      </c>
      <c r="K258" s="104">
        <f t="shared" si="55"/>
        <v>2571.3150000000001</v>
      </c>
      <c r="L258" s="104">
        <f t="shared" si="55"/>
        <v>710.24</v>
      </c>
      <c r="M258" s="104">
        <f t="shared" si="55"/>
        <v>435.7</v>
      </c>
      <c r="N258" s="104">
        <f t="shared" si="55"/>
        <v>151.56</v>
      </c>
      <c r="O258" s="104">
        <f t="shared" si="55"/>
        <v>105.6</v>
      </c>
      <c r="P258" s="104">
        <f t="shared" si="55"/>
        <v>154.83000000000001</v>
      </c>
      <c r="Q258" s="104">
        <f t="shared" si="55"/>
        <v>261.69</v>
      </c>
      <c r="R258" s="104">
        <f t="shared" si="55"/>
        <v>55.4</v>
      </c>
      <c r="S258" s="104">
        <f t="shared" si="55"/>
        <v>11.898</v>
      </c>
      <c r="T258" s="104">
        <f t="shared" si="55"/>
        <v>0</v>
      </c>
      <c r="U258" s="104">
        <f t="shared" si="55"/>
        <v>0</v>
      </c>
      <c r="V258" s="104">
        <f t="shared" si="55"/>
        <v>3289.1</v>
      </c>
      <c r="W258" s="104">
        <f t="shared" si="55"/>
        <v>0</v>
      </c>
      <c r="X258" s="104">
        <f t="shared" si="55"/>
        <v>55.4</v>
      </c>
      <c r="Y258" s="104">
        <f t="shared" si="55"/>
        <v>0</v>
      </c>
      <c r="Z258" s="104">
        <f t="shared" si="55"/>
        <v>0</v>
      </c>
      <c r="AA258" s="104">
        <f t="shared" si="55"/>
        <v>0</v>
      </c>
      <c r="AB258" s="104">
        <f t="shared" si="55"/>
        <v>23.7</v>
      </c>
      <c r="AC258" s="104">
        <f t="shared" si="55"/>
        <v>0</v>
      </c>
      <c r="AD258" s="104">
        <f t="shared" si="55"/>
        <v>8.1999999999999993</v>
      </c>
      <c r="AE258" s="104">
        <f t="shared" si="55"/>
        <v>0</v>
      </c>
      <c r="AF258" s="101"/>
      <c r="AG258" s="102"/>
    </row>
    <row r="259" spans="1:33" x14ac:dyDescent="0.3">
      <c r="A259" s="146" t="s">
        <v>169</v>
      </c>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1"/>
      <c r="AG259" s="102"/>
    </row>
    <row r="260" spans="1:33" x14ac:dyDescent="0.3">
      <c r="A260" s="146" t="s">
        <v>32</v>
      </c>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1"/>
      <c r="AG260" s="102"/>
    </row>
    <row r="261" spans="1:33" x14ac:dyDescent="0.3">
      <c r="A261" s="146" t="s">
        <v>33</v>
      </c>
      <c r="B261" s="107">
        <f>B267+B273</f>
        <v>7056.83</v>
      </c>
      <c r="C261" s="107">
        <f>C267+C273</f>
        <v>3470.2000000000003</v>
      </c>
      <c r="D261" s="107">
        <f>D267+D273</f>
        <v>3386.203</v>
      </c>
      <c r="E261" s="107">
        <f>E267+E273</f>
        <v>3386.203</v>
      </c>
      <c r="F261" s="107">
        <f>IFERROR(E261/B261*100,0)</f>
        <v>47.984760862880357</v>
      </c>
      <c r="G261" s="107">
        <f>IFERROR(E261/C261*100,0)</f>
        <v>97.579476687222638</v>
      </c>
      <c r="H261" s="107">
        <f t="shared" ref="H261:AE261" si="56">H267+H273</f>
        <v>0</v>
      </c>
      <c r="I261" s="107">
        <f t="shared" si="56"/>
        <v>0</v>
      </c>
      <c r="J261" s="107">
        <f t="shared" si="56"/>
        <v>2608.4</v>
      </c>
      <c r="K261" s="107">
        <f t="shared" si="56"/>
        <v>2571.3150000000001</v>
      </c>
      <c r="L261" s="107">
        <f t="shared" si="56"/>
        <v>710.24</v>
      </c>
      <c r="M261" s="107">
        <f t="shared" si="56"/>
        <v>435.7</v>
      </c>
      <c r="N261" s="107">
        <f t="shared" si="56"/>
        <v>151.56</v>
      </c>
      <c r="O261" s="107">
        <f t="shared" si="56"/>
        <v>105.6</v>
      </c>
      <c r="P261" s="107">
        <f t="shared" si="56"/>
        <v>154.83000000000001</v>
      </c>
      <c r="Q261" s="107">
        <f t="shared" si="56"/>
        <v>261.69</v>
      </c>
      <c r="R261" s="107">
        <f t="shared" si="56"/>
        <v>55.4</v>
      </c>
      <c r="S261" s="107">
        <f t="shared" si="56"/>
        <v>11.898</v>
      </c>
      <c r="T261" s="107">
        <f t="shared" si="56"/>
        <v>0</v>
      </c>
      <c r="U261" s="107">
        <f t="shared" si="56"/>
        <v>0</v>
      </c>
      <c r="V261" s="107">
        <f t="shared" si="56"/>
        <v>3289.1</v>
      </c>
      <c r="W261" s="107">
        <f t="shared" si="56"/>
        <v>0</v>
      </c>
      <c r="X261" s="107">
        <f t="shared" si="56"/>
        <v>55.4</v>
      </c>
      <c r="Y261" s="107">
        <f t="shared" si="56"/>
        <v>0</v>
      </c>
      <c r="Z261" s="107">
        <f t="shared" si="56"/>
        <v>0</v>
      </c>
      <c r="AA261" s="107">
        <f t="shared" si="56"/>
        <v>0</v>
      </c>
      <c r="AB261" s="107">
        <f t="shared" si="56"/>
        <v>23.7</v>
      </c>
      <c r="AC261" s="107">
        <f t="shared" si="56"/>
        <v>0</v>
      </c>
      <c r="AD261" s="107">
        <f t="shared" si="56"/>
        <v>8.1999999999999993</v>
      </c>
      <c r="AE261" s="107">
        <f t="shared" si="56"/>
        <v>0</v>
      </c>
      <c r="AF261" s="101"/>
      <c r="AG261" s="102"/>
    </row>
    <row r="262" spans="1:33" x14ac:dyDescent="0.3">
      <c r="A262" s="146" t="s">
        <v>170</v>
      </c>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1"/>
      <c r="AG262" s="102"/>
    </row>
    <row r="263" spans="1:33" ht="37.5" x14ac:dyDescent="0.3">
      <c r="A263" s="88" t="s">
        <v>215</v>
      </c>
      <c r="B263" s="116"/>
      <c r="C263" s="123"/>
      <c r="D263" s="123"/>
      <c r="E263" s="123"/>
      <c r="F263" s="123"/>
      <c r="G263" s="123"/>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842"/>
      <c r="AG263" s="102"/>
    </row>
    <row r="264" spans="1:33" x14ac:dyDescent="0.3">
      <c r="A264" s="11" t="s">
        <v>31</v>
      </c>
      <c r="B264" s="642">
        <f>B266+B267+B265+B268</f>
        <v>7056.83</v>
      </c>
      <c r="C264" s="113">
        <f>C266+C267+C265+C268</f>
        <v>3470.2000000000003</v>
      </c>
      <c r="D264" s="113">
        <f>D266+D267+D265+D268</f>
        <v>3386.203</v>
      </c>
      <c r="E264" s="113">
        <f>E266+E267+E265+E268</f>
        <v>3386.203</v>
      </c>
      <c r="F264" s="113">
        <f>IFERROR(E264/B264*100,0)</f>
        <v>47.984760862880357</v>
      </c>
      <c r="G264" s="113">
        <f>IFERROR(E264/C264*100,0)</f>
        <v>97.579476687222638</v>
      </c>
      <c r="H264" s="113">
        <f t="shared" ref="H264:AE264" si="57">H266+H267+H265+H268</f>
        <v>0</v>
      </c>
      <c r="I264" s="113">
        <f t="shared" si="57"/>
        <v>0</v>
      </c>
      <c r="J264" s="113">
        <f t="shared" si="57"/>
        <v>2608.4</v>
      </c>
      <c r="K264" s="113">
        <f t="shared" si="57"/>
        <v>2571.3150000000001</v>
      </c>
      <c r="L264" s="113">
        <f t="shared" si="57"/>
        <v>710.24</v>
      </c>
      <c r="M264" s="113">
        <f t="shared" si="57"/>
        <v>435.7</v>
      </c>
      <c r="N264" s="113">
        <f t="shared" si="57"/>
        <v>151.56</v>
      </c>
      <c r="O264" s="113">
        <f t="shared" si="57"/>
        <v>105.6</v>
      </c>
      <c r="P264" s="113">
        <f t="shared" si="57"/>
        <v>154.83000000000001</v>
      </c>
      <c r="Q264" s="113">
        <f t="shared" si="57"/>
        <v>261.69</v>
      </c>
      <c r="R264" s="113">
        <f t="shared" si="57"/>
        <v>55.4</v>
      </c>
      <c r="S264" s="113">
        <f t="shared" si="57"/>
        <v>11.898</v>
      </c>
      <c r="T264" s="113">
        <f t="shared" si="57"/>
        <v>0</v>
      </c>
      <c r="U264" s="113">
        <f t="shared" si="57"/>
        <v>0</v>
      </c>
      <c r="V264" s="113">
        <f t="shared" si="57"/>
        <v>3289.1</v>
      </c>
      <c r="W264" s="113">
        <f t="shared" si="57"/>
        <v>0</v>
      </c>
      <c r="X264" s="113">
        <f t="shared" si="57"/>
        <v>55.4</v>
      </c>
      <c r="Y264" s="113">
        <f t="shared" si="57"/>
        <v>0</v>
      </c>
      <c r="Z264" s="113">
        <f t="shared" si="57"/>
        <v>0</v>
      </c>
      <c r="AA264" s="113">
        <f t="shared" si="57"/>
        <v>0</v>
      </c>
      <c r="AB264" s="113">
        <f t="shared" si="57"/>
        <v>23.7</v>
      </c>
      <c r="AC264" s="113">
        <f t="shared" si="57"/>
        <v>0</v>
      </c>
      <c r="AD264" s="113">
        <f t="shared" si="57"/>
        <v>8.1999999999999993</v>
      </c>
      <c r="AE264" s="113">
        <f t="shared" si="57"/>
        <v>0</v>
      </c>
      <c r="AF264" s="29"/>
      <c r="AG264" s="102"/>
    </row>
    <row r="265" spans="1:33" x14ac:dyDescent="0.3">
      <c r="A265" s="7" t="s">
        <v>169</v>
      </c>
      <c r="B265" s="116"/>
      <c r="C265" s="117"/>
      <c r="D265" s="118"/>
      <c r="E265" s="117"/>
      <c r="F265" s="116"/>
      <c r="G265" s="116"/>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29"/>
      <c r="AG265" s="102"/>
    </row>
    <row r="266" spans="1:33" x14ac:dyDescent="0.3">
      <c r="A266" s="147" t="s">
        <v>32</v>
      </c>
      <c r="B266" s="116"/>
      <c r="C266" s="117"/>
      <c r="D266" s="118"/>
      <c r="E266" s="117"/>
      <c r="F266" s="116"/>
      <c r="G266" s="116"/>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29"/>
      <c r="AG266" s="102"/>
    </row>
    <row r="267" spans="1:33" x14ac:dyDescent="0.3">
      <c r="A267" s="147" t="s">
        <v>33</v>
      </c>
      <c r="B267" s="116">
        <f>J267+L267+N267+P267+R267+T267+V267+X267+Z267+AB267+AD267+H267</f>
        <v>7056.83</v>
      </c>
      <c r="C267" s="117">
        <f>SUM(H267+J267+L267+N267)</f>
        <v>3470.2000000000003</v>
      </c>
      <c r="D267" s="118">
        <f>E267</f>
        <v>3386.203</v>
      </c>
      <c r="E267" s="117">
        <f>SUM(I267,K267,M267,O267,Q267,S267,U267,W267,Y267,AA267,AC267,AE267)</f>
        <v>3386.203</v>
      </c>
      <c r="F267" s="116">
        <f>IFERROR(E267/B267*100,0)</f>
        <v>47.984760862880357</v>
      </c>
      <c r="G267" s="116">
        <f>IFERROR(E267/C267*100,0)</f>
        <v>97.579476687222638</v>
      </c>
      <c r="H267" s="111">
        <v>0</v>
      </c>
      <c r="I267" s="111">
        <v>0</v>
      </c>
      <c r="J267" s="111">
        <v>2608.4</v>
      </c>
      <c r="K267" s="111">
        <v>2571.3150000000001</v>
      </c>
      <c r="L267" s="111">
        <v>710.24</v>
      </c>
      <c r="M267" s="111">
        <v>435.7</v>
      </c>
      <c r="N267" s="111">
        <v>151.56</v>
      </c>
      <c r="O267" s="111">
        <v>105.6</v>
      </c>
      <c r="P267" s="111">
        <v>154.83000000000001</v>
      </c>
      <c r="Q267" s="111">
        <v>261.69</v>
      </c>
      <c r="R267" s="111">
        <v>55.4</v>
      </c>
      <c r="S267" s="111">
        <v>11.898</v>
      </c>
      <c r="T267" s="111">
        <v>0</v>
      </c>
      <c r="U267" s="111">
        <v>0</v>
      </c>
      <c r="V267" s="111">
        <v>3289.1</v>
      </c>
      <c r="W267" s="111"/>
      <c r="X267" s="111">
        <v>55.4</v>
      </c>
      <c r="Y267" s="111"/>
      <c r="Z267" s="111"/>
      <c r="AA267" s="111"/>
      <c r="AB267" s="111">
        <v>23.7</v>
      </c>
      <c r="AC267" s="111"/>
      <c r="AD267" s="111">
        <v>8.1999999999999993</v>
      </c>
      <c r="AE267" s="111"/>
      <c r="AF267" s="29"/>
      <c r="AG267" s="102"/>
    </row>
    <row r="268" spans="1:33" x14ac:dyDescent="0.3">
      <c r="A268" s="7" t="s">
        <v>170</v>
      </c>
      <c r="B268" s="116"/>
      <c r="C268" s="117"/>
      <c r="D268" s="118"/>
      <c r="E268" s="117"/>
      <c r="F268" s="116"/>
      <c r="G268" s="116"/>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29"/>
      <c r="AG268" s="102"/>
    </row>
    <row r="269" spans="1:33" ht="41.25" customHeight="1" x14ac:dyDescent="0.3">
      <c r="A269" s="88" t="s">
        <v>216</v>
      </c>
      <c r="B269" s="116"/>
      <c r="C269" s="123"/>
      <c r="D269" s="123"/>
      <c r="E269" s="123"/>
      <c r="F269" s="123"/>
      <c r="G269" s="123"/>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29"/>
      <c r="AG269" s="102"/>
    </row>
    <row r="270" spans="1:33" x14ac:dyDescent="0.3">
      <c r="A270" s="11" t="s">
        <v>31</v>
      </c>
      <c r="B270" s="642">
        <f>B272+B273+B271+B274</f>
        <v>0</v>
      </c>
      <c r="C270" s="642">
        <f>C272+C273+C271+C274</f>
        <v>0</v>
      </c>
      <c r="D270" s="113">
        <f>D272+D273+D271+D274</f>
        <v>0</v>
      </c>
      <c r="E270" s="113">
        <f>E272+E273+E271+E274</f>
        <v>0</v>
      </c>
      <c r="F270" s="113">
        <f>IFERROR(E270/B270*100,0)</f>
        <v>0</v>
      </c>
      <c r="G270" s="113">
        <f>IFERROR(E270/C270*100,0)</f>
        <v>0</v>
      </c>
      <c r="H270" s="113">
        <f t="shared" ref="H270:AE270" si="58">H272+H273+H271+H274</f>
        <v>0</v>
      </c>
      <c r="I270" s="113">
        <f t="shared" si="58"/>
        <v>0</v>
      </c>
      <c r="J270" s="113">
        <f t="shared" si="58"/>
        <v>0</v>
      </c>
      <c r="K270" s="113">
        <f t="shared" si="58"/>
        <v>0</v>
      </c>
      <c r="L270" s="113">
        <f t="shared" si="58"/>
        <v>0</v>
      </c>
      <c r="M270" s="113">
        <f t="shared" si="58"/>
        <v>0</v>
      </c>
      <c r="N270" s="113">
        <f t="shared" si="58"/>
        <v>0</v>
      </c>
      <c r="O270" s="113">
        <f t="shared" si="58"/>
        <v>0</v>
      </c>
      <c r="P270" s="113">
        <f t="shared" si="58"/>
        <v>0</v>
      </c>
      <c r="Q270" s="113">
        <f t="shared" si="58"/>
        <v>0</v>
      </c>
      <c r="R270" s="113">
        <f t="shared" si="58"/>
        <v>0</v>
      </c>
      <c r="S270" s="113">
        <f t="shared" si="58"/>
        <v>0</v>
      </c>
      <c r="T270" s="113">
        <f t="shared" si="58"/>
        <v>0</v>
      </c>
      <c r="U270" s="113">
        <f t="shared" si="58"/>
        <v>0</v>
      </c>
      <c r="V270" s="113">
        <f t="shared" si="58"/>
        <v>0</v>
      </c>
      <c r="W270" s="113">
        <f t="shared" si="58"/>
        <v>0</v>
      </c>
      <c r="X270" s="113">
        <f t="shared" si="58"/>
        <v>0</v>
      </c>
      <c r="Y270" s="113">
        <f t="shared" si="58"/>
        <v>0</v>
      </c>
      <c r="Z270" s="113">
        <f t="shared" si="58"/>
        <v>0</v>
      </c>
      <c r="AA270" s="113">
        <f t="shared" si="58"/>
        <v>0</v>
      </c>
      <c r="AB270" s="113">
        <f t="shared" si="58"/>
        <v>0</v>
      </c>
      <c r="AC270" s="113">
        <f t="shared" si="58"/>
        <v>0</v>
      </c>
      <c r="AD270" s="113">
        <f t="shared" si="58"/>
        <v>0</v>
      </c>
      <c r="AE270" s="113">
        <f t="shared" si="58"/>
        <v>0</v>
      </c>
      <c r="AF270" s="29"/>
      <c r="AG270" s="102"/>
    </row>
    <row r="271" spans="1:33" x14ac:dyDescent="0.3">
      <c r="A271" s="7" t="s">
        <v>169</v>
      </c>
      <c r="B271" s="116"/>
      <c r="C271" s="117"/>
      <c r="D271" s="118"/>
      <c r="E271" s="117"/>
      <c r="F271" s="116"/>
      <c r="G271" s="116"/>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29"/>
      <c r="AG271" s="102"/>
    </row>
    <row r="272" spans="1:33" x14ac:dyDescent="0.3">
      <c r="A272" s="147" t="s">
        <v>32</v>
      </c>
      <c r="B272" s="116"/>
      <c r="C272" s="117"/>
      <c r="D272" s="118"/>
      <c r="E272" s="117"/>
      <c r="F272" s="116"/>
      <c r="G272" s="116"/>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29"/>
      <c r="AG272" s="102"/>
    </row>
    <row r="273" spans="1:33" x14ac:dyDescent="0.3">
      <c r="A273" s="147" t="s">
        <v>33</v>
      </c>
      <c r="B273" s="116">
        <f>J273+L273+N273+P273+R273+T273+V273+X273+Z273+AB273+AD273+H273</f>
        <v>0</v>
      </c>
      <c r="C273" s="117">
        <f>SUM(H273)</f>
        <v>0</v>
      </c>
      <c r="D273" s="118">
        <f>E273</f>
        <v>0</v>
      </c>
      <c r="E273" s="117">
        <f>SUM(I273,K273,M273,O273,Q273,S273,U273,W273,Y273,AA273,AC273,AE273)</f>
        <v>0</v>
      </c>
      <c r="F273" s="116">
        <f>IFERROR(E273/B273*100,0)</f>
        <v>0</v>
      </c>
      <c r="G273" s="116">
        <f>IFERROR(E273/C273*100,0)</f>
        <v>0</v>
      </c>
      <c r="H273" s="111">
        <v>0</v>
      </c>
      <c r="I273" s="111">
        <v>0</v>
      </c>
      <c r="J273" s="111">
        <v>0</v>
      </c>
      <c r="K273" s="111">
        <v>0</v>
      </c>
      <c r="L273" s="111">
        <v>0</v>
      </c>
      <c r="M273" s="111">
        <v>0</v>
      </c>
      <c r="N273" s="111">
        <v>0</v>
      </c>
      <c r="O273" s="111">
        <v>0</v>
      </c>
      <c r="P273" s="111">
        <v>0</v>
      </c>
      <c r="Q273" s="111">
        <v>0</v>
      </c>
      <c r="R273" s="111">
        <v>0</v>
      </c>
      <c r="S273" s="111">
        <v>0</v>
      </c>
      <c r="T273" s="111">
        <v>0</v>
      </c>
      <c r="U273" s="111">
        <v>0</v>
      </c>
      <c r="V273" s="111"/>
      <c r="W273" s="111"/>
      <c r="X273" s="111"/>
      <c r="Y273" s="111"/>
      <c r="Z273" s="111">
        <v>0</v>
      </c>
      <c r="AA273" s="111"/>
      <c r="AB273" s="111"/>
      <c r="AC273" s="111"/>
      <c r="AD273" s="111"/>
      <c r="AE273" s="111"/>
      <c r="AF273" s="29"/>
      <c r="AG273" s="102"/>
    </row>
    <row r="274" spans="1:33" x14ac:dyDescent="0.3">
      <c r="A274" s="7" t="s">
        <v>170</v>
      </c>
      <c r="B274" s="116"/>
      <c r="C274" s="117"/>
      <c r="D274" s="118"/>
      <c r="E274" s="117"/>
      <c r="F274" s="116"/>
      <c r="G274" s="116"/>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29"/>
      <c r="AG274" s="102"/>
    </row>
    <row r="275" spans="1:33" x14ac:dyDescent="0.3">
      <c r="A275" s="148" t="s">
        <v>217</v>
      </c>
      <c r="B275" s="149">
        <f>B276+B277+B278+B279</f>
        <v>516236.49900000007</v>
      </c>
      <c r="C275" s="149">
        <f>C276+C277+C278</f>
        <v>160035.30500000005</v>
      </c>
      <c r="D275" s="149">
        <f>D276+D277+D278</f>
        <v>278039.36916</v>
      </c>
      <c r="E275" s="149">
        <f>E276+E277+E278</f>
        <v>277945.74515999999</v>
      </c>
      <c r="F275" s="149">
        <f t="shared" ref="F275:F291" si="59">IFERROR(E275/B275*100,0)</f>
        <v>53.84077756966191</v>
      </c>
      <c r="G275" s="149">
        <f t="shared" ref="G275:G291" si="60">IFERROR(E275/C275*100,0)</f>
        <v>173.67776764008411</v>
      </c>
      <c r="H275" s="149">
        <f t="shared" ref="H275:AE275" si="61">H276+H277+H278+H279</f>
        <v>32995.699999999997</v>
      </c>
      <c r="I275" s="149">
        <f t="shared" si="61"/>
        <v>20436.099000000002</v>
      </c>
      <c r="J275" s="149">
        <f t="shared" si="61"/>
        <v>44891.183999999994</v>
      </c>
      <c r="K275" s="149">
        <f t="shared" si="61"/>
        <v>34681.274999999994</v>
      </c>
      <c r="L275" s="149">
        <f t="shared" si="61"/>
        <v>36327.866000000009</v>
      </c>
      <c r="M275" s="149">
        <f t="shared" si="61"/>
        <v>30773.211999999996</v>
      </c>
      <c r="N275" s="149">
        <f t="shared" si="61"/>
        <v>45619.455000000002</v>
      </c>
      <c r="O275" s="149">
        <f t="shared" si="61"/>
        <v>33197.404000000002</v>
      </c>
      <c r="P275" s="149">
        <f t="shared" si="61"/>
        <v>61194.959000000003</v>
      </c>
      <c r="Q275" s="149">
        <f t="shared" si="61"/>
        <v>36359.27016</v>
      </c>
      <c r="R275" s="149">
        <f t="shared" si="61"/>
        <v>46150.245999999999</v>
      </c>
      <c r="S275" s="149">
        <f t="shared" si="61"/>
        <v>60889.536</v>
      </c>
      <c r="T275" s="149">
        <f t="shared" si="61"/>
        <v>52970.154000000002</v>
      </c>
      <c r="U275" s="149">
        <f t="shared" si="61"/>
        <v>61756.472999999998</v>
      </c>
      <c r="V275" s="149">
        <f t="shared" si="61"/>
        <v>38300.198000000004</v>
      </c>
      <c r="W275" s="149">
        <f t="shared" si="61"/>
        <v>0</v>
      </c>
      <c r="X275" s="149">
        <f t="shared" si="61"/>
        <v>35657.273000000001</v>
      </c>
      <c r="Y275" s="149">
        <f t="shared" si="61"/>
        <v>0</v>
      </c>
      <c r="Z275" s="149">
        <f t="shared" si="61"/>
        <v>40028.75</v>
      </c>
      <c r="AA275" s="149">
        <f t="shared" si="61"/>
        <v>0</v>
      </c>
      <c r="AB275" s="149">
        <f t="shared" si="61"/>
        <v>33605.549000000006</v>
      </c>
      <c r="AC275" s="149">
        <f t="shared" si="61"/>
        <v>0</v>
      </c>
      <c r="AD275" s="149">
        <f t="shared" si="61"/>
        <v>48495.164999999994</v>
      </c>
      <c r="AE275" s="149">
        <f t="shared" si="61"/>
        <v>0</v>
      </c>
      <c r="AF275" s="149"/>
      <c r="AG275" s="102"/>
    </row>
    <row r="276" spans="1:33" x14ac:dyDescent="0.3">
      <c r="A276" s="150" t="s">
        <v>169</v>
      </c>
      <c r="B276" s="151">
        <f t="shared" ref="B276:E279" si="62">B26+B65+B101+B146+B183+B221+B239+B251+B259+B139+B125+B19+B13</f>
        <v>105.21</v>
      </c>
      <c r="C276" s="151">
        <f t="shared" si="62"/>
        <v>105.1</v>
      </c>
      <c r="D276" s="151">
        <f t="shared" si="62"/>
        <v>105.21</v>
      </c>
      <c r="E276" s="151">
        <f t="shared" si="62"/>
        <v>105.21</v>
      </c>
      <c r="F276" s="151">
        <f t="shared" si="59"/>
        <v>100</v>
      </c>
      <c r="G276" s="151">
        <f t="shared" si="60"/>
        <v>100.104662226451</v>
      </c>
      <c r="H276" s="151">
        <f t="shared" ref="H276:AE276" si="63">H26+H65+H101+H146+H183+H221+H239+H251+H259+H139+H125+H19+H13</f>
        <v>0</v>
      </c>
      <c r="I276" s="151">
        <f t="shared" si="63"/>
        <v>0</v>
      </c>
      <c r="J276" s="151">
        <f t="shared" si="63"/>
        <v>0</v>
      </c>
      <c r="K276" s="151">
        <f t="shared" si="63"/>
        <v>0</v>
      </c>
      <c r="L276" s="151">
        <f t="shared" si="63"/>
        <v>0</v>
      </c>
      <c r="M276" s="151">
        <f t="shared" si="63"/>
        <v>0</v>
      </c>
      <c r="N276" s="151">
        <f t="shared" si="63"/>
        <v>0</v>
      </c>
      <c r="O276" s="151">
        <f t="shared" si="63"/>
        <v>0</v>
      </c>
      <c r="P276" s="151">
        <f t="shared" si="63"/>
        <v>0</v>
      </c>
      <c r="Q276" s="151">
        <f t="shared" si="63"/>
        <v>0</v>
      </c>
      <c r="R276" s="151">
        <f t="shared" si="63"/>
        <v>105.21</v>
      </c>
      <c r="S276" s="151">
        <f t="shared" si="63"/>
        <v>105.21</v>
      </c>
      <c r="T276" s="151">
        <f t="shared" si="63"/>
        <v>0</v>
      </c>
      <c r="U276" s="151">
        <f t="shared" si="63"/>
        <v>0</v>
      </c>
      <c r="V276" s="151">
        <f t="shared" si="63"/>
        <v>0</v>
      </c>
      <c r="W276" s="151">
        <f t="shared" si="63"/>
        <v>0</v>
      </c>
      <c r="X276" s="151">
        <f t="shared" si="63"/>
        <v>0</v>
      </c>
      <c r="Y276" s="151">
        <f t="shared" si="63"/>
        <v>0</v>
      </c>
      <c r="Z276" s="151">
        <f t="shared" si="63"/>
        <v>0</v>
      </c>
      <c r="AA276" s="151">
        <f t="shared" si="63"/>
        <v>0</v>
      </c>
      <c r="AB276" s="151">
        <f t="shared" si="63"/>
        <v>0</v>
      </c>
      <c r="AC276" s="151">
        <f t="shared" si="63"/>
        <v>0</v>
      </c>
      <c r="AD276" s="151">
        <f t="shared" si="63"/>
        <v>0</v>
      </c>
      <c r="AE276" s="151">
        <f t="shared" si="63"/>
        <v>0</v>
      </c>
      <c r="AF276" s="151"/>
      <c r="AG276" s="102"/>
    </row>
    <row r="277" spans="1:33" x14ac:dyDescent="0.3">
      <c r="A277" s="150" t="s">
        <v>32</v>
      </c>
      <c r="B277" s="151">
        <f t="shared" si="62"/>
        <v>593.69000000000005</v>
      </c>
      <c r="C277" s="151">
        <f t="shared" si="62"/>
        <v>21.6</v>
      </c>
      <c r="D277" s="151">
        <f t="shared" si="62"/>
        <v>323.45999999999998</v>
      </c>
      <c r="E277" s="151">
        <f t="shared" si="62"/>
        <v>323.45999999999998</v>
      </c>
      <c r="F277" s="151">
        <f t="shared" si="59"/>
        <v>54.482979332648341</v>
      </c>
      <c r="G277" s="151">
        <f t="shared" si="60"/>
        <v>1497.4999999999998</v>
      </c>
      <c r="H277" s="151">
        <f t="shared" ref="H277:AE277" si="64">H27+H66+H102+H147+H184+H222+H240+H252+H260+H140+H126+H20+H14</f>
        <v>0</v>
      </c>
      <c r="I277" s="151">
        <f t="shared" si="64"/>
        <v>0</v>
      </c>
      <c r="J277" s="151">
        <f t="shared" si="64"/>
        <v>0</v>
      </c>
      <c r="K277" s="151">
        <f t="shared" si="64"/>
        <v>0</v>
      </c>
      <c r="L277" s="151">
        <f t="shared" si="64"/>
        <v>10.8</v>
      </c>
      <c r="M277" s="151">
        <f t="shared" si="64"/>
        <v>10.8</v>
      </c>
      <c r="N277" s="151">
        <f t="shared" si="64"/>
        <v>19.899999999999999</v>
      </c>
      <c r="O277" s="151">
        <f t="shared" si="64"/>
        <v>19.899999999999999</v>
      </c>
      <c r="P277" s="151">
        <f t="shared" si="64"/>
        <v>118.57</v>
      </c>
      <c r="Q277" s="151">
        <f t="shared" si="64"/>
        <v>118.57</v>
      </c>
      <c r="R277" s="151">
        <f t="shared" si="64"/>
        <v>151.39000000000001</v>
      </c>
      <c r="S277" s="151">
        <f t="shared" si="64"/>
        <v>151.39000000000001</v>
      </c>
      <c r="T277" s="151">
        <f t="shared" si="64"/>
        <v>22.8</v>
      </c>
      <c r="U277" s="151">
        <f t="shared" si="64"/>
        <v>22.8</v>
      </c>
      <c r="V277" s="151">
        <f t="shared" si="64"/>
        <v>22.8</v>
      </c>
      <c r="W277" s="151">
        <f t="shared" si="64"/>
        <v>0</v>
      </c>
      <c r="X277" s="151">
        <f t="shared" si="64"/>
        <v>168.2</v>
      </c>
      <c r="Y277" s="151">
        <f t="shared" si="64"/>
        <v>0</v>
      </c>
      <c r="Z277" s="151">
        <f t="shared" si="64"/>
        <v>22.8</v>
      </c>
      <c r="AA277" s="151">
        <f t="shared" si="64"/>
        <v>0</v>
      </c>
      <c r="AB277" s="151">
        <f t="shared" si="64"/>
        <v>22.8</v>
      </c>
      <c r="AC277" s="151">
        <f t="shared" si="64"/>
        <v>0</v>
      </c>
      <c r="AD277" s="151">
        <f t="shared" si="64"/>
        <v>33.629999999999995</v>
      </c>
      <c r="AE277" s="151">
        <f t="shared" si="64"/>
        <v>0</v>
      </c>
      <c r="AF277" s="151"/>
      <c r="AG277" s="102"/>
    </row>
    <row r="278" spans="1:33" x14ac:dyDescent="0.3">
      <c r="A278" s="150" t="s">
        <v>33</v>
      </c>
      <c r="B278" s="151">
        <f t="shared" si="62"/>
        <v>515537.59900000005</v>
      </c>
      <c r="C278" s="151">
        <f>C28+C67+C103+C148+C185+C223+C241+C253+C261+C141+C127+C21+C15</f>
        <v>159908.60500000004</v>
      </c>
      <c r="D278" s="151">
        <f t="shared" si="62"/>
        <v>277610.69916000002</v>
      </c>
      <c r="E278" s="151">
        <f t="shared" si="62"/>
        <v>277517.07516000001</v>
      </c>
      <c r="F278" s="151">
        <f t="shared" si="59"/>
        <v>53.830617921623201</v>
      </c>
      <c r="G278" s="151">
        <f t="shared" si="60"/>
        <v>173.5473054498849</v>
      </c>
      <c r="H278" s="151">
        <f t="shared" ref="H278:AE278" si="65">H28+H67+H103+H148+H185+H223+H241+H253+H261+H141+H127+H21+H15</f>
        <v>32995.699999999997</v>
      </c>
      <c r="I278" s="151">
        <f t="shared" si="65"/>
        <v>20436.099000000002</v>
      </c>
      <c r="J278" s="151">
        <f t="shared" si="65"/>
        <v>44891.183999999994</v>
      </c>
      <c r="K278" s="151">
        <f t="shared" si="65"/>
        <v>34681.274999999994</v>
      </c>
      <c r="L278" s="151">
        <f t="shared" si="65"/>
        <v>36317.066000000006</v>
      </c>
      <c r="M278" s="151">
        <f t="shared" si="65"/>
        <v>30762.411999999997</v>
      </c>
      <c r="N278" s="151">
        <f t="shared" si="65"/>
        <v>45599.555</v>
      </c>
      <c r="O278" s="151">
        <f t="shared" si="65"/>
        <v>33177.504000000001</v>
      </c>
      <c r="P278" s="151">
        <f t="shared" si="65"/>
        <v>61076.389000000003</v>
      </c>
      <c r="Q278" s="151">
        <f t="shared" si="65"/>
        <v>36229.500160000003</v>
      </c>
      <c r="R278" s="151">
        <f t="shared" si="65"/>
        <v>45893.646000000001</v>
      </c>
      <c r="S278" s="151">
        <f t="shared" si="65"/>
        <v>60590.936000000002</v>
      </c>
      <c r="T278" s="151">
        <f t="shared" si="65"/>
        <v>52947.353999999999</v>
      </c>
      <c r="U278" s="151">
        <f t="shared" si="65"/>
        <v>61732.972999999998</v>
      </c>
      <c r="V278" s="151">
        <f t="shared" si="65"/>
        <v>38277.398000000001</v>
      </c>
      <c r="W278" s="151">
        <f t="shared" si="65"/>
        <v>0</v>
      </c>
      <c r="X278" s="151">
        <f t="shared" si="65"/>
        <v>35489.073000000004</v>
      </c>
      <c r="Y278" s="151">
        <f t="shared" si="65"/>
        <v>0</v>
      </c>
      <c r="Z278" s="151">
        <f t="shared" si="65"/>
        <v>40005.949999999997</v>
      </c>
      <c r="AA278" s="151">
        <f t="shared" si="65"/>
        <v>0</v>
      </c>
      <c r="AB278" s="151">
        <f t="shared" si="65"/>
        <v>33582.749000000003</v>
      </c>
      <c r="AC278" s="151">
        <f t="shared" si="65"/>
        <v>0</v>
      </c>
      <c r="AD278" s="151">
        <f t="shared" si="65"/>
        <v>48461.534999999996</v>
      </c>
      <c r="AE278" s="151">
        <f t="shared" si="65"/>
        <v>0</v>
      </c>
      <c r="AF278" s="151"/>
      <c r="AG278" s="102"/>
    </row>
    <row r="279" spans="1:33" x14ac:dyDescent="0.3">
      <c r="A279" s="152" t="s">
        <v>170</v>
      </c>
      <c r="B279" s="151">
        <f t="shared" si="62"/>
        <v>0</v>
      </c>
      <c r="C279" s="151">
        <f t="shared" si="62"/>
        <v>105.1</v>
      </c>
      <c r="D279" s="151">
        <f t="shared" si="62"/>
        <v>0</v>
      </c>
      <c r="E279" s="151">
        <f t="shared" si="62"/>
        <v>93.623999999999995</v>
      </c>
      <c r="F279" s="151">
        <f t="shared" si="59"/>
        <v>0</v>
      </c>
      <c r="G279" s="151">
        <f t="shared" si="60"/>
        <v>89.080875356803048</v>
      </c>
      <c r="H279" s="151">
        <f t="shared" ref="H279:AE279" si="66">H29+H68+H104+H149+H186+H224+H242+H254+H262+H142+H128+H22+H16</f>
        <v>0</v>
      </c>
      <c r="I279" s="151">
        <f t="shared" si="66"/>
        <v>0</v>
      </c>
      <c r="J279" s="151">
        <f t="shared" si="66"/>
        <v>0</v>
      </c>
      <c r="K279" s="151">
        <f t="shared" si="66"/>
        <v>0</v>
      </c>
      <c r="L279" s="151">
        <f t="shared" si="66"/>
        <v>0</v>
      </c>
      <c r="M279" s="151">
        <f t="shared" si="66"/>
        <v>0</v>
      </c>
      <c r="N279" s="151">
        <f t="shared" si="66"/>
        <v>0</v>
      </c>
      <c r="O279" s="151">
        <f t="shared" si="66"/>
        <v>0</v>
      </c>
      <c r="P279" s="151">
        <f t="shared" si="66"/>
        <v>0</v>
      </c>
      <c r="Q279" s="151">
        <f t="shared" si="66"/>
        <v>11.2</v>
      </c>
      <c r="R279" s="151">
        <f t="shared" si="66"/>
        <v>0</v>
      </c>
      <c r="S279" s="151">
        <f t="shared" si="66"/>
        <v>42</v>
      </c>
      <c r="T279" s="151">
        <f t="shared" si="66"/>
        <v>0</v>
      </c>
      <c r="U279" s="151">
        <f t="shared" si="66"/>
        <v>0.7</v>
      </c>
      <c r="V279" s="151">
        <f t="shared" si="66"/>
        <v>0</v>
      </c>
      <c r="W279" s="151">
        <f t="shared" si="66"/>
        <v>0</v>
      </c>
      <c r="X279" s="151">
        <f t="shared" si="66"/>
        <v>0</v>
      </c>
      <c r="Y279" s="151">
        <f t="shared" si="66"/>
        <v>0</v>
      </c>
      <c r="Z279" s="151">
        <f t="shared" si="66"/>
        <v>0</v>
      </c>
      <c r="AA279" s="151">
        <f t="shared" si="66"/>
        <v>0</v>
      </c>
      <c r="AB279" s="151">
        <f t="shared" si="66"/>
        <v>0</v>
      </c>
      <c r="AC279" s="151">
        <f t="shared" si="66"/>
        <v>0</v>
      </c>
      <c r="AD279" s="151">
        <f t="shared" si="66"/>
        <v>0</v>
      </c>
      <c r="AE279" s="151">
        <f t="shared" si="66"/>
        <v>0</v>
      </c>
      <c r="AF279" s="151"/>
      <c r="AG279" s="102"/>
    </row>
    <row r="280" spans="1:33" ht="37.5" x14ac:dyDescent="0.3">
      <c r="A280" s="153" t="s">
        <v>174</v>
      </c>
      <c r="B280" s="154">
        <f>B35+B54</f>
        <v>41.7</v>
      </c>
      <c r="C280" s="154">
        <f>C35+C54</f>
        <v>13</v>
      </c>
      <c r="D280" s="154">
        <f>D35+D54</f>
        <v>66.899999999999991</v>
      </c>
      <c r="E280" s="154">
        <f>E35+E54</f>
        <v>66.899999999999991</v>
      </c>
      <c r="F280" s="154">
        <f t="shared" si="59"/>
        <v>160.43165467625897</v>
      </c>
      <c r="G280" s="154">
        <f t="shared" si="60"/>
        <v>514.61538461538453</v>
      </c>
      <c r="H280" s="154">
        <f t="shared" ref="H280:AE280" si="67">H35+H54</f>
        <v>0</v>
      </c>
      <c r="I280" s="154">
        <f t="shared" si="67"/>
        <v>0</v>
      </c>
      <c r="J280" s="154">
        <f t="shared" si="67"/>
        <v>0</v>
      </c>
      <c r="K280" s="154">
        <f t="shared" si="67"/>
        <v>0</v>
      </c>
      <c r="L280" s="154">
        <f t="shared" si="67"/>
        <v>9.4</v>
      </c>
      <c r="M280" s="154">
        <f t="shared" si="67"/>
        <v>9.4</v>
      </c>
      <c r="N280" s="154">
        <f t="shared" si="67"/>
        <v>3.6</v>
      </c>
      <c r="O280" s="154">
        <f t="shared" si="67"/>
        <v>3.6</v>
      </c>
      <c r="P280" s="154">
        <f t="shared" si="67"/>
        <v>11.2</v>
      </c>
      <c r="Q280" s="154">
        <f t="shared" si="67"/>
        <v>11.2</v>
      </c>
      <c r="R280" s="154">
        <f t="shared" si="67"/>
        <v>42</v>
      </c>
      <c r="S280" s="154">
        <f t="shared" si="67"/>
        <v>42</v>
      </c>
      <c r="T280" s="154">
        <f t="shared" si="67"/>
        <v>0.7</v>
      </c>
      <c r="U280" s="154">
        <f t="shared" si="67"/>
        <v>0.7</v>
      </c>
      <c r="V280" s="154">
        <f t="shared" si="67"/>
        <v>0.7</v>
      </c>
      <c r="W280" s="154">
        <f t="shared" si="67"/>
        <v>0</v>
      </c>
      <c r="X280" s="154">
        <f t="shared" si="67"/>
        <v>13.3</v>
      </c>
      <c r="Y280" s="154">
        <f t="shared" si="67"/>
        <v>0</v>
      </c>
      <c r="Z280" s="154">
        <f t="shared" si="67"/>
        <v>0.7</v>
      </c>
      <c r="AA280" s="154">
        <f t="shared" si="67"/>
        <v>0</v>
      </c>
      <c r="AB280" s="154">
        <f t="shared" si="67"/>
        <v>0.7</v>
      </c>
      <c r="AC280" s="154">
        <f t="shared" si="67"/>
        <v>0</v>
      </c>
      <c r="AD280" s="154">
        <f t="shared" si="67"/>
        <v>0.7</v>
      </c>
      <c r="AE280" s="154">
        <f t="shared" si="67"/>
        <v>0</v>
      </c>
      <c r="AF280" s="154"/>
      <c r="AG280" s="102"/>
    </row>
    <row r="281" spans="1:33" ht="37.5" x14ac:dyDescent="0.3">
      <c r="A281" s="148" t="s">
        <v>218</v>
      </c>
      <c r="B281" s="149">
        <f>B282+B283+B284+B285</f>
        <v>100</v>
      </c>
      <c r="C281" s="149">
        <f>C282+C283+C284</f>
        <v>100</v>
      </c>
      <c r="D281" s="149">
        <f>D282+D283+D284</f>
        <v>99.999999999999986</v>
      </c>
      <c r="E281" s="149">
        <f>E282+E283+E284</f>
        <v>99.999999999999986</v>
      </c>
      <c r="F281" s="149">
        <f t="shared" si="59"/>
        <v>99.999999999999986</v>
      </c>
      <c r="G281" s="149">
        <f t="shared" si="60"/>
        <v>99.999999999999986</v>
      </c>
      <c r="H281" s="149">
        <f t="shared" ref="H281:AE281" si="68">H282+H283+H284+H285</f>
        <v>0</v>
      </c>
      <c r="I281" s="149">
        <f t="shared" si="68"/>
        <v>0</v>
      </c>
      <c r="J281" s="149">
        <f t="shared" si="68"/>
        <v>0</v>
      </c>
      <c r="K281" s="149">
        <f t="shared" si="68"/>
        <v>0</v>
      </c>
      <c r="L281" s="149">
        <f t="shared" si="68"/>
        <v>100</v>
      </c>
      <c r="M281" s="149">
        <f t="shared" si="68"/>
        <v>68.11</v>
      </c>
      <c r="N281" s="149">
        <f t="shared" si="68"/>
        <v>0</v>
      </c>
      <c r="O281" s="149">
        <f t="shared" si="68"/>
        <v>17.399999999999999</v>
      </c>
      <c r="P281" s="149">
        <f t="shared" si="68"/>
        <v>0</v>
      </c>
      <c r="Q281" s="149">
        <f t="shared" si="68"/>
        <v>14.49</v>
      </c>
      <c r="R281" s="149">
        <f t="shared" si="68"/>
        <v>0</v>
      </c>
      <c r="S281" s="149">
        <f t="shared" si="68"/>
        <v>0</v>
      </c>
      <c r="T281" s="149">
        <f t="shared" si="68"/>
        <v>0</v>
      </c>
      <c r="U281" s="149">
        <f t="shared" si="68"/>
        <v>0</v>
      </c>
      <c r="V281" s="149">
        <f t="shared" si="68"/>
        <v>0</v>
      </c>
      <c r="W281" s="149">
        <f t="shared" si="68"/>
        <v>0</v>
      </c>
      <c r="X281" s="149">
        <f t="shared" si="68"/>
        <v>0</v>
      </c>
      <c r="Y281" s="149">
        <f t="shared" si="68"/>
        <v>0</v>
      </c>
      <c r="Z281" s="149">
        <f t="shared" si="68"/>
        <v>0</v>
      </c>
      <c r="AA281" s="149">
        <f t="shared" si="68"/>
        <v>0</v>
      </c>
      <c r="AB281" s="149">
        <f t="shared" si="68"/>
        <v>0</v>
      </c>
      <c r="AC281" s="149">
        <f t="shared" si="68"/>
        <v>0</v>
      </c>
      <c r="AD281" s="149">
        <f t="shared" si="68"/>
        <v>0</v>
      </c>
      <c r="AE281" s="149">
        <f t="shared" si="68"/>
        <v>0</v>
      </c>
      <c r="AF281" s="149"/>
      <c r="AG281" s="102"/>
    </row>
    <row r="282" spans="1:33" x14ac:dyDescent="0.3">
      <c r="A282" s="150" t="s">
        <v>169</v>
      </c>
      <c r="B282" s="151">
        <f t="shared" ref="B282:E285" si="69">B13+B19+B139</f>
        <v>0</v>
      </c>
      <c r="C282" s="151">
        <f t="shared" si="69"/>
        <v>0</v>
      </c>
      <c r="D282" s="151">
        <f t="shared" si="69"/>
        <v>0</v>
      </c>
      <c r="E282" s="151">
        <f t="shared" si="69"/>
        <v>0</v>
      </c>
      <c r="F282" s="151">
        <f t="shared" si="59"/>
        <v>0</v>
      </c>
      <c r="G282" s="151">
        <f t="shared" si="60"/>
        <v>0</v>
      </c>
      <c r="H282" s="151">
        <f t="shared" ref="H282:AE282" si="70">H13+H19+H139</f>
        <v>0</v>
      </c>
      <c r="I282" s="151">
        <f t="shared" si="70"/>
        <v>0</v>
      </c>
      <c r="J282" s="151">
        <f t="shared" si="70"/>
        <v>0</v>
      </c>
      <c r="K282" s="151">
        <f t="shared" si="70"/>
        <v>0</v>
      </c>
      <c r="L282" s="151">
        <f t="shared" si="70"/>
        <v>0</v>
      </c>
      <c r="M282" s="151">
        <f t="shared" si="70"/>
        <v>0</v>
      </c>
      <c r="N282" s="151">
        <f t="shared" si="70"/>
        <v>0</v>
      </c>
      <c r="O282" s="151">
        <f t="shared" si="70"/>
        <v>0</v>
      </c>
      <c r="P282" s="151">
        <f t="shared" si="70"/>
        <v>0</v>
      </c>
      <c r="Q282" s="151">
        <f t="shared" si="70"/>
        <v>0</v>
      </c>
      <c r="R282" s="151">
        <f t="shared" si="70"/>
        <v>0</v>
      </c>
      <c r="S282" s="151">
        <f t="shared" si="70"/>
        <v>0</v>
      </c>
      <c r="T282" s="151">
        <f t="shared" si="70"/>
        <v>0</v>
      </c>
      <c r="U282" s="151">
        <f t="shared" si="70"/>
        <v>0</v>
      </c>
      <c r="V282" s="151">
        <f t="shared" si="70"/>
        <v>0</v>
      </c>
      <c r="W282" s="151">
        <f t="shared" si="70"/>
        <v>0</v>
      </c>
      <c r="X282" s="151">
        <f t="shared" si="70"/>
        <v>0</v>
      </c>
      <c r="Y282" s="151">
        <f t="shared" si="70"/>
        <v>0</v>
      </c>
      <c r="Z282" s="151">
        <f t="shared" si="70"/>
        <v>0</v>
      </c>
      <c r="AA282" s="151">
        <f t="shared" si="70"/>
        <v>0</v>
      </c>
      <c r="AB282" s="151">
        <f t="shared" si="70"/>
        <v>0</v>
      </c>
      <c r="AC282" s="151">
        <f t="shared" si="70"/>
        <v>0</v>
      </c>
      <c r="AD282" s="151">
        <f t="shared" si="70"/>
        <v>0</v>
      </c>
      <c r="AE282" s="151">
        <f t="shared" si="70"/>
        <v>0</v>
      </c>
      <c r="AF282" s="151"/>
      <c r="AG282" s="102"/>
    </row>
    <row r="283" spans="1:33" x14ac:dyDescent="0.3">
      <c r="A283" s="150" t="s">
        <v>32</v>
      </c>
      <c r="B283" s="151">
        <f t="shared" si="69"/>
        <v>0</v>
      </c>
      <c r="C283" s="151">
        <f>C14+C20+C140</f>
        <v>0</v>
      </c>
      <c r="D283" s="151">
        <f t="shared" si="69"/>
        <v>0</v>
      </c>
      <c r="E283" s="151">
        <f t="shared" si="69"/>
        <v>0</v>
      </c>
      <c r="F283" s="151">
        <f t="shared" si="59"/>
        <v>0</v>
      </c>
      <c r="G283" s="151">
        <f t="shared" si="60"/>
        <v>0</v>
      </c>
      <c r="H283" s="151">
        <f t="shared" ref="H283:AE283" si="71">H14+H20+H140</f>
        <v>0</v>
      </c>
      <c r="I283" s="151">
        <f t="shared" si="71"/>
        <v>0</v>
      </c>
      <c r="J283" s="151">
        <f t="shared" si="71"/>
        <v>0</v>
      </c>
      <c r="K283" s="151">
        <f t="shared" si="71"/>
        <v>0</v>
      </c>
      <c r="L283" s="151">
        <f t="shared" si="71"/>
        <v>0</v>
      </c>
      <c r="M283" s="151">
        <f t="shared" si="71"/>
        <v>0</v>
      </c>
      <c r="N283" s="151">
        <f t="shared" si="71"/>
        <v>0</v>
      </c>
      <c r="O283" s="151">
        <f t="shared" si="71"/>
        <v>0</v>
      </c>
      <c r="P283" s="151">
        <f t="shared" si="71"/>
        <v>0</v>
      </c>
      <c r="Q283" s="151">
        <f t="shared" si="71"/>
        <v>0</v>
      </c>
      <c r="R283" s="151">
        <f t="shared" si="71"/>
        <v>0</v>
      </c>
      <c r="S283" s="151">
        <f t="shared" si="71"/>
        <v>0</v>
      </c>
      <c r="T283" s="151">
        <f t="shared" si="71"/>
        <v>0</v>
      </c>
      <c r="U283" s="151">
        <f t="shared" si="71"/>
        <v>0</v>
      </c>
      <c r="V283" s="151">
        <f t="shared" si="71"/>
        <v>0</v>
      </c>
      <c r="W283" s="151">
        <f t="shared" si="71"/>
        <v>0</v>
      </c>
      <c r="X283" s="151">
        <f t="shared" si="71"/>
        <v>0</v>
      </c>
      <c r="Y283" s="151">
        <f t="shared" si="71"/>
        <v>0</v>
      </c>
      <c r="Z283" s="151">
        <f t="shared" si="71"/>
        <v>0</v>
      </c>
      <c r="AA283" s="151">
        <f t="shared" si="71"/>
        <v>0</v>
      </c>
      <c r="AB283" s="151">
        <f t="shared" si="71"/>
        <v>0</v>
      </c>
      <c r="AC283" s="151">
        <f t="shared" si="71"/>
        <v>0</v>
      </c>
      <c r="AD283" s="151">
        <f t="shared" si="71"/>
        <v>0</v>
      </c>
      <c r="AE283" s="151">
        <f t="shared" si="71"/>
        <v>0</v>
      </c>
      <c r="AF283" s="151"/>
      <c r="AG283" s="102"/>
    </row>
    <row r="284" spans="1:33" x14ac:dyDescent="0.3">
      <c r="A284" s="150" t="s">
        <v>33</v>
      </c>
      <c r="B284" s="151">
        <f t="shared" si="69"/>
        <v>100</v>
      </c>
      <c r="C284" s="151">
        <f t="shared" si="69"/>
        <v>100</v>
      </c>
      <c r="D284" s="151">
        <f t="shared" si="69"/>
        <v>99.999999999999986</v>
      </c>
      <c r="E284" s="151">
        <f t="shared" si="69"/>
        <v>99.999999999999986</v>
      </c>
      <c r="F284" s="151">
        <f t="shared" si="59"/>
        <v>99.999999999999986</v>
      </c>
      <c r="G284" s="151">
        <f t="shared" si="60"/>
        <v>99.999999999999986</v>
      </c>
      <c r="H284" s="151">
        <f t="shared" ref="H284:AE284" si="72">H15+H21+H141</f>
        <v>0</v>
      </c>
      <c r="I284" s="151">
        <f t="shared" si="72"/>
        <v>0</v>
      </c>
      <c r="J284" s="151">
        <f t="shared" si="72"/>
        <v>0</v>
      </c>
      <c r="K284" s="151">
        <f t="shared" si="72"/>
        <v>0</v>
      </c>
      <c r="L284" s="151">
        <f t="shared" si="72"/>
        <v>100</v>
      </c>
      <c r="M284" s="151">
        <f t="shared" si="72"/>
        <v>68.11</v>
      </c>
      <c r="N284" s="151">
        <f t="shared" si="72"/>
        <v>0</v>
      </c>
      <c r="O284" s="151">
        <f t="shared" si="72"/>
        <v>17.399999999999999</v>
      </c>
      <c r="P284" s="151">
        <f t="shared" si="72"/>
        <v>0</v>
      </c>
      <c r="Q284" s="151">
        <f t="shared" si="72"/>
        <v>14.49</v>
      </c>
      <c r="R284" s="151">
        <f t="shared" si="72"/>
        <v>0</v>
      </c>
      <c r="S284" s="151">
        <f t="shared" si="72"/>
        <v>0</v>
      </c>
      <c r="T284" s="151">
        <f t="shared" si="72"/>
        <v>0</v>
      </c>
      <c r="U284" s="151">
        <f t="shared" si="72"/>
        <v>0</v>
      </c>
      <c r="V284" s="151">
        <f t="shared" si="72"/>
        <v>0</v>
      </c>
      <c r="W284" s="151">
        <f t="shared" si="72"/>
        <v>0</v>
      </c>
      <c r="X284" s="151">
        <f t="shared" si="72"/>
        <v>0</v>
      </c>
      <c r="Y284" s="151">
        <f t="shared" si="72"/>
        <v>0</v>
      </c>
      <c r="Z284" s="151">
        <f t="shared" si="72"/>
        <v>0</v>
      </c>
      <c r="AA284" s="151">
        <f t="shared" si="72"/>
        <v>0</v>
      </c>
      <c r="AB284" s="151">
        <f t="shared" si="72"/>
        <v>0</v>
      </c>
      <c r="AC284" s="151">
        <f t="shared" si="72"/>
        <v>0</v>
      </c>
      <c r="AD284" s="151">
        <f t="shared" si="72"/>
        <v>0</v>
      </c>
      <c r="AE284" s="151">
        <f t="shared" si="72"/>
        <v>0</v>
      </c>
      <c r="AF284" s="151"/>
      <c r="AG284" s="102"/>
    </row>
    <row r="285" spans="1:33" x14ac:dyDescent="0.3">
      <c r="A285" s="152" t="s">
        <v>170</v>
      </c>
      <c r="B285" s="151">
        <f t="shared" si="69"/>
        <v>0</v>
      </c>
      <c r="C285" s="151">
        <f t="shared" si="69"/>
        <v>0</v>
      </c>
      <c r="D285" s="151">
        <f t="shared" si="69"/>
        <v>0</v>
      </c>
      <c r="E285" s="151">
        <f t="shared" si="69"/>
        <v>0</v>
      </c>
      <c r="F285" s="151">
        <f t="shared" si="59"/>
        <v>0</v>
      </c>
      <c r="G285" s="151">
        <f t="shared" si="60"/>
        <v>0</v>
      </c>
      <c r="H285" s="151">
        <f t="shared" ref="H285:AE285" si="73">H16+H22+H142</f>
        <v>0</v>
      </c>
      <c r="I285" s="151">
        <f t="shared" si="73"/>
        <v>0</v>
      </c>
      <c r="J285" s="151">
        <f t="shared" si="73"/>
        <v>0</v>
      </c>
      <c r="K285" s="151">
        <f t="shared" si="73"/>
        <v>0</v>
      </c>
      <c r="L285" s="151">
        <f t="shared" si="73"/>
        <v>0</v>
      </c>
      <c r="M285" s="151">
        <f t="shared" si="73"/>
        <v>0</v>
      </c>
      <c r="N285" s="151">
        <f t="shared" si="73"/>
        <v>0</v>
      </c>
      <c r="O285" s="151">
        <f t="shared" si="73"/>
        <v>0</v>
      </c>
      <c r="P285" s="151">
        <f t="shared" si="73"/>
        <v>0</v>
      </c>
      <c r="Q285" s="151">
        <f t="shared" si="73"/>
        <v>0</v>
      </c>
      <c r="R285" s="151">
        <f t="shared" si="73"/>
        <v>0</v>
      </c>
      <c r="S285" s="151">
        <f t="shared" si="73"/>
        <v>0</v>
      </c>
      <c r="T285" s="151">
        <f t="shared" si="73"/>
        <v>0</v>
      </c>
      <c r="U285" s="151">
        <f t="shared" si="73"/>
        <v>0</v>
      </c>
      <c r="V285" s="151">
        <f t="shared" si="73"/>
        <v>0</v>
      </c>
      <c r="W285" s="151">
        <f t="shared" si="73"/>
        <v>0</v>
      </c>
      <c r="X285" s="151">
        <f t="shared" si="73"/>
        <v>0</v>
      </c>
      <c r="Y285" s="151">
        <f t="shared" si="73"/>
        <v>0</v>
      </c>
      <c r="Z285" s="151">
        <f t="shared" si="73"/>
        <v>0</v>
      </c>
      <c r="AA285" s="151">
        <f t="shared" si="73"/>
        <v>0</v>
      </c>
      <c r="AB285" s="151">
        <f t="shared" si="73"/>
        <v>0</v>
      </c>
      <c r="AC285" s="151">
        <f t="shared" si="73"/>
        <v>0</v>
      </c>
      <c r="AD285" s="151">
        <f t="shared" si="73"/>
        <v>0</v>
      </c>
      <c r="AE285" s="151">
        <f t="shared" si="73"/>
        <v>0</v>
      </c>
      <c r="AF285" s="151"/>
      <c r="AG285" s="102"/>
    </row>
    <row r="286" spans="1:33" ht="37.5" x14ac:dyDescent="0.3">
      <c r="A286" s="148" t="s">
        <v>219</v>
      </c>
      <c r="B286" s="149">
        <f>B287+B288+B289+B290</f>
        <v>516178.19900000014</v>
      </c>
      <c r="C286" s="149">
        <f>C287+C288+C289</f>
        <v>159725.10500000001</v>
      </c>
      <c r="D286" s="149">
        <f>D287+D288+D289</f>
        <v>277939.36916</v>
      </c>
      <c r="E286" s="149">
        <f>E287+E288+E289</f>
        <v>277845.74515999999</v>
      </c>
      <c r="F286" s="149">
        <f t="shared" si="59"/>
        <v>53.827485488204417</v>
      </c>
      <c r="G286" s="149">
        <f t="shared" si="60"/>
        <v>173.95245735477837</v>
      </c>
      <c r="H286" s="149">
        <f t="shared" ref="H286:AE286" si="74">H287+H288+H289+H290</f>
        <v>32995.699999999997</v>
      </c>
      <c r="I286" s="149">
        <f t="shared" si="74"/>
        <v>20436.099000000006</v>
      </c>
      <c r="J286" s="149">
        <f t="shared" si="74"/>
        <v>44891.184000000001</v>
      </c>
      <c r="K286" s="149">
        <f t="shared" si="74"/>
        <v>34681.275000000001</v>
      </c>
      <c r="L286" s="149">
        <f t="shared" si="74"/>
        <v>36237.266000000003</v>
      </c>
      <c r="M286" s="149">
        <f t="shared" si="74"/>
        <v>30714.501999999997</v>
      </c>
      <c r="N286" s="149">
        <f t="shared" si="74"/>
        <v>45623.054999999993</v>
      </c>
      <c r="O286" s="149">
        <f t="shared" si="74"/>
        <v>33183.603999999999</v>
      </c>
      <c r="P286" s="149">
        <f t="shared" si="74"/>
        <v>61206.159</v>
      </c>
      <c r="Q286" s="149">
        <f t="shared" si="74"/>
        <v>36344.780160000002</v>
      </c>
      <c r="R286" s="149">
        <f t="shared" si="74"/>
        <v>46192.245999999999</v>
      </c>
      <c r="S286" s="149">
        <f t="shared" si="74"/>
        <v>60889.535999999993</v>
      </c>
      <c r="T286" s="149">
        <f t="shared" si="74"/>
        <v>52970.853999999992</v>
      </c>
      <c r="U286" s="149">
        <f t="shared" si="74"/>
        <v>61756.472999999998</v>
      </c>
      <c r="V286" s="149">
        <f t="shared" si="74"/>
        <v>38300.897999999994</v>
      </c>
      <c r="W286" s="149">
        <f t="shared" si="74"/>
        <v>0</v>
      </c>
      <c r="X286" s="149">
        <f t="shared" si="74"/>
        <v>35670.572999999997</v>
      </c>
      <c r="Y286" s="149">
        <f t="shared" si="74"/>
        <v>0</v>
      </c>
      <c r="Z286" s="149">
        <f t="shared" si="74"/>
        <v>40029.44999999999</v>
      </c>
      <c r="AA286" s="149">
        <f t="shared" si="74"/>
        <v>0</v>
      </c>
      <c r="AB286" s="149">
        <f t="shared" si="74"/>
        <v>33606.248999999996</v>
      </c>
      <c r="AC286" s="149">
        <f t="shared" si="74"/>
        <v>0</v>
      </c>
      <c r="AD286" s="149">
        <f t="shared" si="74"/>
        <v>48495.864999999983</v>
      </c>
      <c r="AE286" s="149">
        <f t="shared" si="74"/>
        <v>0</v>
      </c>
      <c r="AF286" s="149"/>
      <c r="AG286" s="102"/>
    </row>
    <row r="287" spans="1:33" x14ac:dyDescent="0.3">
      <c r="A287" s="150" t="s">
        <v>169</v>
      </c>
      <c r="B287" s="151">
        <f>B32+B39+B45+B51++B71+B77+B83+B89+B95+B107+B113+B119+B152+B177+B189+B195+B201+B207+B213+B227+B233+B245+B251+B265+B131+B271+B58</f>
        <v>105.21</v>
      </c>
      <c r="C287" s="151">
        <f>C32+C39+C45+C51++C71+C77+C83+C89+C95+C107+C113+C119+C152+C177+C189+C195+C201+C207+C213+C227+C233+C245+C251+C265+C131+C271+C58</f>
        <v>105.1</v>
      </c>
      <c r="D287" s="151">
        <f>D32+D39+D45+D51++D71+D77+D83+D89+D95+D107+D113+D119+D152+D177+D189+D195+D201+D207+D213+D227+D233+D245+D251+D265+D131+D271+D58</f>
        <v>105.21</v>
      </c>
      <c r="E287" s="151">
        <f>E32+E39+E45+E51++E71+E77+E83+E89+E95+E107+E113+E119+E152+E177+E189+E195+E201+E207+E213+E227+E233+E245+E251+E265+E131+E271+E58</f>
        <v>105.21</v>
      </c>
      <c r="F287" s="151">
        <f t="shared" si="59"/>
        <v>100</v>
      </c>
      <c r="G287" s="151">
        <f t="shared" si="60"/>
        <v>100.104662226451</v>
      </c>
      <c r="H287" s="151">
        <f t="shared" ref="H287:AE287" si="75">H32+H39+H45+H51++H71+H77+H83+H89+H95+H107+H113+H119+H152+H177+H189+H195+H201+H207+H213+H227+H233+H245+H251+H265+H131+H271+H58</f>
        <v>0</v>
      </c>
      <c r="I287" s="151">
        <f t="shared" si="75"/>
        <v>0</v>
      </c>
      <c r="J287" s="151">
        <f t="shared" si="75"/>
        <v>0</v>
      </c>
      <c r="K287" s="151">
        <f t="shared" si="75"/>
        <v>0</v>
      </c>
      <c r="L287" s="151">
        <f t="shared" si="75"/>
        <v>0</v>
      </c>
      <c r="M287" s="151">
        <f t="shared" si="75"/>
        <v>0</v>
      </c>
      <c r="N287" s="151">
        <f t="shared" si="75"/>
        <v>0</v>
      </c>
      <c r="O287" s="151">
        <f t="shared" si="75"/>
        <v>0</v>
      </c>
      <c r="P287" s="151">
        <f t="shared" si="75"/>
        <v>0</v>
      </c>
      <c r="Q287" s="151">
        <f t="shared" si="75"/>
        <v>0</v>
      </c>
      <c r="R287" s="151">
        <f t="shared" si="75"/>
        <v>105.21</v>
      </c>
      <c r="S287" s="151">
        <f t="shared" si="75"/>
        <v>105.21</v>
      </c>
      <c r="T287" s="151">
        <f t="shared" si="75"/>
        <v>0</v>
      </c>
      <c r="U287" s="151">
        <f t="shared" si="75"/>
        <v>0</v>
      </c>
      <c r="V287" s="151">
        <f t="shared" si="75"/>
        <v>0</v>
      </c>
      <c r="W287" s="151">
        <f t="shared" si="75"/>
        <v>0</v>
      </c>
      <c r="X287" s="151">
        <f t="shared" si="75"/>
        <v>0</v>
      </c>
      <c r="Y287" s="151">
        <f t="shared" si="75"/>
        <v>0</v>
      </c>
      <c r="Z287" s="151">
        <f t="shared" si="75"/>
        <v>0</v>
      </c>
      <c r="AA287" s="151">
        <f t="shared" si="75"/>
        <v>0</v>
      </c>
      <c r="AB287" s="151">
        <f t="shared" si="75"/>
        <v>0</v>
      </c>
      <c r="AC287" s="151">
        <f t="shared" si="75"/>
        <v>0</v>
      </c>
      <c r="AD287" s="151">
        <f t="shared" si="75"/>
        <v>0</v>
      </c>
      <c r="AE287" s="151">
        <f t="shared" si="75"/>
        <v>0</v>
      </c>
      <c r="AF287" s="151"/>
      <c r="AG287" s="102"/>
    </row>
    <row r="288" spans="1:33" x14ac:dyDescent="0.3">
      <c r="A288" s="150" t="s">
        <v>32</v>
      </c>
      <c r="B288" s="151">
        <f>B33+B40+B46+B52++B72+B78+B84+B90+B96+B108+B114+B120+B153+B178+B190+B196+B202+B208+B214+B228+B234+B246+B252+B266+B132+B272+B59</f>
        <v>593.69000000000005</v>
      </c>
      <c r="C288" s="151">
        <f t="shared" ref="C288:E290" si="76">C33+C40+C46+C52++C72+C78+C84+C90+C96+C108+C114+C120+C153+C178+C190+C196+C202+C208+C214+C228+C234+C246+C252+C266+C132+C272+C59</f>
        <v>21.6</v>
      </c>
      <c r="D288" s="151">
        <f t="shared" si="76"/>
        <v>323.45999999999998</v>
      </c>
      <c r="E288" s="151">
        <f t="shared" si="76"/>
        <v>323.45999999999998</v>
      </c>
      <c r="F288" s="151">
        <f t="shared" si="59"/>
        <v>54.482979332648341</v>
      </c>
      <c r="G288" s="151">
        <f t="shared" si="60"/>
        <v>1497.4999999999998</v>
      </c>
      <c r="H288" s="151">
        <f t="shared" ref="H288:AE288" si="77">H33+H40+H46+H52++H72+H78+H84+H90+H96+H108+H114+H120+H153+H178+H190+H196+H202+H208+H214+H228+H234+H246+H252+H266+H132+H272+H59</f>
        <v>0</v>
      </c>
      <c r="I288" s="151">
        <f t="shared" si="77"/>
        <v>0</v>
      </c>
      <c r="J288" s="151">
        <f t="shared" si="77"/>
        <v>0</v>
      </c>
      <c r="K288" s="151">
        <f t="shared" si="77"/>
        <v>0</v>
      </c>
      <c r="L288" s="151">
        <f t="shared" si="77"/>
        <v>10.8</v>
      </c>
      <c r="M288" s="151">
        <f t="shared" si="77"/>
        <v>10.8</v>
      </c>
      <c r="N288" s="151">
        <f t="shared" si="77"/>
        <v>19.899999999999999</v>
      </c>
      <c r="O288" s="151">
        <f t="shared" si="77"/>
        <v>19.899999999999999</v>
      </c>
      <c r="P288" s="151">
        <f t="shared" si="77"/>
        <v>118.57</v>
      </c>
      <c r="Q288" s="151">
        <f t="shared" si="77"/>
        <v>118.57</v>
      </c>
      <c r="R288" s="151">
        <f t="shared" si="77"/>
        <v>151.39000000000001</v>
      </c>
      <c r="S288" s="151">
        <f t="shared" si="77"/>
        <v>151.39000000000001</v>
      </c>
      <c r="T288" s="151">
        <f t="shared" si="77"/>
        <v>22.8</v>
      </c>
      <c r="U288" s="151">
        <f t="shared" si="77"/>
        <v>22.8</v>
      </c>
      <c r="V288" s="151">
        <f t="shared" si="77"/>
        <v>22.8</v>
      </c>
      <c r="W288" s="151">
        <f t="shared" si="77"/>
        <v>0</v>
      </c>
      <c r="X288" s="151">
        <f t="shared" si="77"/>
        <v>168.20000000000002</v>
      </c>
      <c r="Y288" s="151">
        <f t="shared" si="77"/>
        <v>0</v>
      </c>
      <c r="Z288" s="151">
        <f t="shared" si="77"/>
        <v>22.8</v>
      </c>
      <c r="AA288" s="151">
        <f t="shared" si="77"/>
        <v>0</v>
      </c>
      <c r="AB288" s="151">
        <f t="shared" si="77"/>
        <v>22.8</v>
      </c>
      <c r="AC288" s="151">
        <f t="shared" si="77"/>
        <v>0</v>
      </c>
      <c r="AD288" s="151">
        <f t="shared" si="77"/>
        <v>33.629999999999995</v>
      </c>
      <c r="AE288" s="151">
        <f t="shared" si="77"/>
        <v>0</v>
      </c>
      <c r="AF288" s="151"/>
      <c r="AG288" s="102"/>
    </row>
    <row r="289" spans="1:33" x14ac:dyDescent="0.3">
      <c r="A289" s="150" t="s">
        <v>33</v>
      </c>
      <c r="B289" s="151">
        <f>B34+B41+B47+B53++B73+B79+B85+B91+B97+B109+B115+B121+B154+B179+B191+B197+B203+B209+B215+B229+B235+B247+B253+B267+B133+B273+B60</f>
        <v>515437.5990000001</v>
      </c>
      <c r="C289" s="151">
        <f t="shared" si="76"/>
        <v>159598.405</v>
      </c>
      <c r="D289" s="151">
        <f t="shared" si="76"/>
        <v>277510.69916000002</v>
      </c>
      <c r="E289" s="151">
        <f t="shared" si="76"/>
        <v>277417.07516000001</v>
      </c>
      <c r="F289" s="151">
        <f t="shared" si="59"/>
        <v>53.82166060415782</v>
      </c>
      <c r="G289" s="151">
        <f t="shared" si="60"/>
        <v>173.82195966181493</v>
      </c>
      <c r="H289" s="151">
        <f t="shared" ref="H289:AE289" si="78">H34+H41+H47+H53++H73+H79+H85+H91+H97+H109+H115+H121+H154+H179+H191+H197+H203+H209+H215+H229+H235+H247+H253+H267+H133+H273+H60</f>
        <v>32995.699999999997</v>
      </c>
      <c r="I289" s="151">
        <f t="shared" si="78"/>
        <v>20436.099000000006</v>
      </c>
      <c r="J289" s="151">
        <f t="shared" si="78"/>
        <v>44891.184000000001</v>
      </c>
      <c r="K289" s="151">
        <f t="shared" si="78"/>
        <v>34681.275000000001</v>
      </c>
      <c r="L289" s="151">
        <f t="shared" si="78"/>
        <v>36217.065999999999</v>
      </c>
      <c r="M289" s="151">
        <f t="shared" si="78"/>
        <v>30694.301999999996</v>
      </c>
      <c r="N289" s="151">
        <f t="shared" si="78"/>
        <v>45599.554999999993</v>
      </c>
      <c r="O289" s="151">
        <f t="shared" si="78"/>
        <v>33160.103999999999</v>
      </c>
      <c r="P289" s="151">
        <f t="shared" si="78"/>
        <v>61076.389000000003</v>
      </c>
      <c r="Q289" s="151">
        <f t="shared" si="78"/>
        <v>36215.010160000005</v>
      </c>
      <c r="R289" s="151">
        <f t="shared" si="78"/>
        <v>45893.646000000001</v>
      </c>
      <c r="S289" s="151">
        <f t="shared" si="78"/>
        <v>60590.935999999994</v>
      </c>
      <c r="T289" s="151">
        <f t="shared" si="78"/>
        <v>52947.353999999992</v>
      </c>
      <c r="U289" s="151">
        <f t="shared" si="78"/>
        <v>61732.972999999998</v>
      </c>
      <c r="V289" s="151">
        <f t="shared" si="78"/>
        <v>38277.397999999994</v>
      </c>
      <c r="W289" s="151">
        <f t="shared" si="78"/>
        <v>0</v>
      </c>
      <c r="X289" s="151">
        <f t="shared" si="78"/>
        <v>35489.072999999997</v>
      </c>
      <c r="Y289" s="151">
        <f t="shared" si="78"/>
        <v>0</v>
      </c>
      <c r="Z289" s="151">
        <f t="shared" si="78"/>
        <v>40005.94999999999</v>
      </c>
      <c r="AA289" s="151">
        <f t="shared" si="78"/>
        <v>0</v>
      </c>
      <c r="AB289" s="151">
        <f t="shared" si="78"/>
        <v>33582.748999999996</v>
      </c>
      <c r="AC289" s="151">
        <f t="shared" si="78"/>
        <v>0</v>
      </c>
      <c r="AD289" s="151">
        <f t="shared" si="78"/>
        <v>48461.534999999989</v>
      </c>
      <c r="AE289" s="151">
        <f t="shared" si="78"/>
        <v>0</v>
      </c>
      <c r="AF289" s="151"/>
      <c r="AG289" s="102"/>
    </row>
    <row r="290" spans="1:33" x14ac:dyDescent="0.3">
      <c r="A290" s="152" t="s">
        <v>170</v>
      </c>
      <c r="B290" s="151">
        <f>B35+B42+B48+B54++B74+B80+B86+B92+B98+B110+B116+B122+B155+B180+B192+B198+B204+B210+B216+B230+B236+B248+B254+B268+B134+B274+B61</f>
        <v>41.7</v>
      </c>
      <c r="C290" s="151">
        <f t="shared" si="76"/>
        <v>118.1</v>
      </c>
      <c r="D290" s="151">
        <f t="shared" si="76"/>
        <v>66.899999999999991</v>
      </c>
      <c r="E290" s="151">
        <f t="shared" si="76"/>
        <v>160.524</v>
      </c>
      <c r="F290" s="151">
        <f t="shared" si="59"/>
        <v>384.94964028776974</v>
      </c>
      <c r="G290" s="151">
        <f t="shared" si="60"/>
        <v>135.92209991532599</v>
      </c>
      <c r="H290" s="151">
        <f t="shared" ref="H290:AE290" si="79">H35+H42+H48+H54++H74+H80+H86+H92+H98+H110+H116+H122+H155+H180+H192+H198+H204+H210+H216+H230+H236+H248+H254+H268+H134+H274+H61</f>
        <v>0</v>
      </c>
      <c r="I290" s="151">
        <f t="shared" si="79"/>
        <v>0</v>
      </c>
      <c r="J290" s="151">
        <f t="shared" si="79"/>
        <v>0</v>
      </c>
      <c r="K290" s="151">
        <f t="shared" si="79"/>
        <v>0</v>
      </c>
      <c r="L290" s="151">
        <f t="shared" si="79"/>
        <v>9.4</v>
      </c>
      <c r="M290" s="151">
        <f t="shared" si="79"/>
        <v>9.4</v>
      </c>
      <c r="N290" s="151">
        <f t="shared" si="79"/>
        <v>3.6</v>
      </c>
      <c r="O290" s="151">
        <f t="shared" si="79"/>
        <v>3.6</v>
      </c>
      <c r="P290" s="151">
        <f t="shared" si="79"/>
        <v>11.2</v>
      </c>
      <c r="Q290" s="151">
        <f t="shared" si="79"/>
        <v>11.2</v>
      </c>
      <c r="R290" s="151">
        <f t="shared" si="79"/>
        <v>42</v>
      </c>
      <c r="S290" s="151">
        <f t="shared" si="79"/>
        <v>42</v>
      </c>
      <c r="T290" s="151">
        <f t="shared" si="79"/>
        <v>0.7</v>
      </c>
      <c r="U290" s="151">
        <f t="shared" si="79"/>
        <v>0.7</v>
      </c>
      <c r="V290" s="151">
        <f t="shared" si="79"/>
        <v>0.7</v>
      </c>
      <c r="W290" s="151">
        <f t="shared" si="79"/>
        <v>0</v>
      </c>
      <c r="X290" s="151">
        <f t="shared" si="79"/>
        <v>13.3</v>
      </c>
      <c r="Y290" s="151">
        <f t="shared" si="79"/>
        <v>0</v>
      </c>
      <c r="Z290" s="151">
        <f t="shared" si="79"/>
        <v>0.7</v>
      </c>
      <c r="AA290" s="151">
        <f t="shared" si="79"/>
        <v>0</v>
      </c>
      <c r="AB290" s="151">
        <f t="shared" si="79"/>
        <v>0.7</v>
      </c>
      <c r="AC290" s="151">
        <f t="shared" si="79"/>
        <v>0</v>
      </c>
      <c r="AD290" s="151">
        <f t="shared" si="79"/>
        <v>0.7</v>
      </c>
      <c r="AE290" s="151">
        <f t="shared" si="79"/>
        <v>0</v>
      </c>
      <c r="AF290" s="151"/>
      <c r="AG290" s="102"/>
    </row>
    <row r="291" spans="1:33" ht="37.5" x14ac:dyDescent="0.3">
      <c r="A291" s="153" t="s">
        <v>174</v>
      </c>
      <c r="B291" s="154">
        <f>H291+J291+L291+N291+P291+R291+T291+V291+X291+Z291+AB291+AD291</f>
        <v>0</v>
      </c>
      <c r="C291" s="154">
        <f>I291+K291+M291+O291+Q291+S291+U291+W291+Y291+AA291+AC291+AE291</f>
        <v>0</v>
      </c>
      <c r="D291" s="154">
        <f>J291+L291+N291+P291+R291+T291+V291+X291+Z291+AB291+AD291+AF291</f>
        <v>0</v>
      </c>
      <c r="E291" s="154">
        <f>K291+M291+O291+Q291+S291+U291+W291+Y291+AA291+AC291+AE291+AG291</f>
        <v>0</v>
      </c>
      <c r="F291" s="154">
        <f t="shared" si="59"/>
        <v>0</v>
      </c>
      <c r="G291" s="154">
        <f t="shared" si="60"/>
        <v>0</v>
      </c>
      <c r="H291" s="154">
        <f t="shared" ref="H291:AE291" si="80">N291+P291+R291+T291+V291+X291+Z291+AB291+AD291+AF291+AH291+AJ291</f>
        <v>0</v>
      </c>
      <c r="I291" s="154">
        <f t="shared" si="80"/>
        <v>0</v>
      </c>
      <c r="J291" s="154">
        <f t="shared" si="80"/>
        <v>0</v>
      </c>
      <c r="K291" s="154">
        <f t="shared" si="80"/>
        <v>0</v>
      </c>
      <c r="L291" s="154">
        <f t="shared" si="80"/>
        <v>0</v>
      </c>
      <c r="M291" s="154">
        <f t="shared" si="80"/>
        <v>0</v>
      </c>
      <c r="N291" s="154">
        <f t="shared" si="80"/>
        <v>0</v>
      </c>
      <c r="O291" s="154">
        <f t="shared" si="80"/>
        <v>0</v>
      </c>
      <c r="P291" s="154">
        <f t="shared" si="80"/>
        <v>0</v>
      </c>
      <c r="Q291" s="154">
        <f t="shared" si="80"/>
        <v>0</v>
      </c>
      <c r="R291" s="154">
        <f t="shared" si="80"/>
        <v>0</v>
      </c>
      <c r="S291" s="154">
        <f t="shared" si="80"/>
        <v>0</v>
      </c>
      <c r="T291" s="154">
        <f t="shared" si="80"/>
        <v>0</v>
      </c>
      <c r="U291" s="154">
        <f t="shared" si="80"/>
        <v>0</v>
      </c>
      <c r="V291" s="154">
        <f t="shared" si="80"/>
        <v>0</v>
      </c>
      <c r="W291" s="154">
        <f t="shared" si="80"/>
        <v>0</v>
      </c>
      <c r="X291" s="154">
        <f t="shared" si="80"/>
        <v>0</v>
      </c>
      <c r="Y291" s="154">
        <f t="shared" si="80"/>
        <v>0</v>
      </c>
      <c r="Z291" s="154">
        <f t="shared" si="80"/>
        <v>0</v>
      </c>
      <c r="AA291" s="154">
        <f t="shared" si="80"/>
        <v>0</v>
      </c>
      <c r="AB291" s="154">
        <f t="shared" si="80"/>
        <v>0</v>
      </c>
      <c r="AC291" s="154">
        <f t="shared" si="80"/>
        <v>0</v>
      </c>
      <c r="AD291" s="154">
        <f t="shared" si="80"/>
        <v>0</v>
      </c>
      <c r="AE291" s="154">
        <f t="shared" si="80"/>
        <v>0</v>
      </c>
      <c r="AF291" s="154"/>
      <c r="AG291" s="102"/>
    </row>
    <row r="292" spans="1:33" x14ac:dyDescent="0.3">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G292" s="102"/>
    </row>
    <row r="293" spans="1:33" x14ac:dyDescent="0.3">
      <c r="A293" s="156"/>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G293" s="102"/>
    </row>
    <row r="294" spans="1:33" x14ac:dyDescent="0.3">
      <c r="A294" s="156"/>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G294" s="102"/>
    </row>
    <row r="295" spans="1:33" x14ac:dyDescent="0.3">
      <c r="A295" s="156"/>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G295" s="102"/>
    </row>
    <row r="296" spans="1:33" x14ac:dyDescent="0.3">
      <c r="A296" s="156"/>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G296" s="102"/>
    </row>
    <row r="299" spans="1:33" x14ac:dyDescent="0.3">
      <c r="B299" s="155"/>
    </row>
    <row r="301" spans="1:33" x14ac:dyDescent="0.3">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row>
    <row r="302" spans="1:33" x14ac:dyDescent="0.3">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row>
    <row r="303" spans="1:33" x14ac:dyDescent="0.3">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row>
    <row r="304" spans="1:33" x14ac:dyDescent="0.3">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row>
  </sheetData>
  <customSheetViews>
    <customSheetView guid="{7C130984-112A-4861-AA43-E2940708E3DC}" scale="70">
      <pane xSplit="2" ySplit="11" topLeftCell="K12" activePane="bottomRight" state="frozen"/>
      <selection pane="bottomRight" activeCell="AF30" sqref="AF30"/>
      <pageMargins left="0.7" right="0.7" top="0.75" bottom="0.75" header="0.3" footer="0.3"/>
      <pageSetup paperSize="9" scale="50" orientation="landscape" r:id="rId1"/>
    </customSheetView>
    <customSheetView guid="{3C3F523F-5F34-4CF7-831E-F1ABC4278CEB}" scale="70">
      <pane xSplit="2" ySplit="11" topLeftCell="C267" activePane="bottomRight" state="frozen"/>
      <selection pane="bottomRight" activeCell="Q22" sqref="Q22"/>
      <pageMargins left="0.7" right="0.7" top="0.75" bottom="0.75" header="0.3" footer="0.3"/>
      <pageSetup paperSize="9" scale="50" orientation="landscape" r:id="rId2"/>
    </customSheetView>
    <customSheetView guid="{D01FA037-9AEC-4167-ADB8-2F327C01ECE6}" scale="70">
      <pane xSplit="2" ySplit="11" topLeftCell="C267" activePane="bottomRight" state="frozen"/>
      <selection pane="bottomRight" activeCell="Q22" sqref="Q22"/>
      <pageMargins left="0.7" right="0.7" top="0.75" bottom="0.75" header="0.3" footer="0.3"/>
      <pageSetup paperSize="9" scale="50" orientation="landscape" r:id="rId3"/>
    </customSheetView>
    <customSheetView guid="{602C8EDB-B9EF-4C85-B0D5-0558C3A0ABAB}" scale="70">
      <pane xSplit="2" ySplit="11" topLeftCell="C267" activePane="bottomRight" state="frozen"/>
      <selection pane="bottomRight" activeCell="Q22" sqref="Q22"/>
      <pageMargins left="0.7" right="0.7" top="0.75" bottom="0.75" header="0.3" footer="0.3"/>
      <pageSetup paperSize="9" scale="50" orientation="landscape" r:id="rId4"/>
    </customSheetView>
    <customSheetView guid="{69DABE6F-6182-4403-A4A2-969F10F1C13A}" scale="70">
      <pane xSplit="2" ySplit="11" topLeftCell="C267" activePane="bottomRight" state="frozen"/>
      <selection pane="bottomRight" activeCell="Q22" sqref="Q22"/>
      <pageMargins left="0.7" right="0.7" top="0.75" bottom="0.75" header="0.3" footer="0.3"/>
      <pageSetup paperSize="9" scale="50" orientation="landscape" r:id="rId5"/>
    </customSheetView>
    <customSheetView guid="{E508E171-4ED9-4B07-84DF-DA28C60E1969}" scale="70">
      <pane xSplit="2" ySplit="11" topLeftCell="C63" activePane="bottomRight" state="frozen"/>
      <selection pane="bottomRight" activeCell="Q22" sqref="Q22"/>
      <pageMargins left="0.7" right="0.7" top="0.75" bottom="0.75" header="0.3" footer="0.3"/>
      <pageSetup paperSize="9" scale="50" orientation="landscape" r:id="rId6"/>
    </customSheetView>
    <customSheetView guid="{AC2D5927-4079-4C74-AF69-1BFAC505648F}" scale="70">
      <pane xSplit="2" ySplit="11" topLeftCell="C282" activePane="bottomRight" state="frozen"/>
      <selection pane="bottomRight" activeCell="C292" sqref="C292"/>
      <pageMargins left="0.7" right="0.7" top="0.75" bottom="0.75" header="0.3" footer="0.3"/>
      <pageSetup paperSize="9" scale="50" orientation="landscape" r:id="rId7"/>
    </customSheetView>
    <customSheetView guid="{442F2C94-DD1B-4A01-8694-513D4D6F3BD9}" scale="70">
      <pane xSplit="2" ySplit="11" topLeftCell="C282" activePane="bottomRight" state="frozen"/>
      <selection pane="bottomRight" activeCell="C292" sqref="C292"/>
      <pageMargins left="0.7" right="0.7" top="0.75" bottom="0.75" header="0.3" footer="0.3"/>
      <pageSetup paperSize="9" scale="50" orientation="landscape" r:id="rId8"/>
    </customSheetView>
    <customSheetView guid="{CE1CCA00-200D-4EAA-9FBE-F8EE7C5F82FE}" scale="70">
      <pane xSplit="2" ySplit="11" topLeftCell="C282" activePane="bottomRight" state="frozen"/>
      <selection pane="bottomRight" activeCell="C292" sqref="C292"/>
      <pageMargins left="0.7" right="0.7" top="0.75" bottom="0.75" header="0.3" footer="0.3"/>
      <pageSetup paperSize="9" scale="50" orientation="landscape" r:id="rId9"/>
    </customSheetView>
    <customSheetView guid="{4D0DFB57-2CBA-42F2-9A97-C453A6851FBA}" scale="70">
      <pane xSplit="2" ySplit="11" topLeftCell="C282" activePane="bottomRight" state="frozen"/>
      <selection pane="bottomRight" activeCell="C292" sqref="C292"/>
      <pageMargins left="0.7" right="0.7" top="0.75" bottom="0.75" header="0.3" footer="0.3"/>
      <pageSetup paperSize="9" scale="50" orientation="landscape" r:id="rId10"/>
    </customSheetView>
    <customSheetView guid="{85F4575B-DBC5-482A-9916-255D8F0BC94E}" scale="70">
      <pane xSplit="2" ySplit="11" topLeftCell="S235" activePane="bottomRight" state="frozen"/>
      <selection pane="bottomRight" activeCell="AF56" sqref="AF56"/>
      <pageMargins left="0.7" right="0.7" top="0.75" bottom="0.75" header="0.3" footer="0.3"/>
    </customSheetView>
    <customSheetView guid="{B1BF08D1-D416-4B47-ADD0-4F59132DC9E8}" scale="70">
      <pane xSplit="2" ySplit="11" topLeftCell="S235" activePane="bottomRight" state="frozen"/>
      <selection pane="bottomRight" activeCell="AF56" sqref="AF56"/>
      <pageMargins left="0.7" right="0.7" top="0.75" bottom="0.75" header="0.3" footer="0.3"/>
    </customSheetView>
    <customSheetView guid="{BCD82A82-B724-4763-8580-D765356E09BA}" scale="70">
      <pane xSplit="2" ySplit="11" topLeftCell="K12" activePane="bottomRight" state="frozen"/>
      <selection pane="bottomRight" activeCell="A4" sqref="A4:AF4"/>
      <pageMargins left="0.7" right="0.7" top="0.75" bottom="0.75" header="0.3" footer="0.3"/>
    </customSheetView>
    <customSheetView guid="{C236B307-BD63-48C4-A75F-B3F3717BF55C}" scale="70">
      <pane xSplit="2" ySplit="11" topLeftCell="C294" activePane="bottomRight" state="frozen"/>
      <selection pane="bottomRight" activeCell="J272" sqref="J272"/>
      <pageMargins left="0.7" right="0.7" top="0.75" bottom="0.75" header="0.3" footer="0.3"/>
    </customSheetView>
    <customSheetView guid="{874882D1-E741-4CCA-BF0D-E72FA60B771D}" scale="70">
      <pane xSplit="2" ySplit="11" topLeftCell="E12" activePane="bottomRight" state="frozen"/>
      <selection pane="bottomRight" activeCell="N25" sqref="N25"/>
      <pageMargins left="0.7" right="0.7" top="0.75" bottom="0.75" header="0.3" footer="0.3"/>
    </customSheetView>
    <customSheetView guid="{B82BA08A-1A30-4F4D-A478-74A6BD09EA97}" scale="70">
      <pane xSplit="2" ySplit="11" topLeftCell="E12" activePane="bottomRight" state="frozen"/>
      <selection pane="bottomRight" activeCell="B13" sqref="B13"/>
      <pageMargins left="0.7" right="0.7" top="0.75" bottom="0.75" header="0.3" footer="0.3"/>
    </customSheetView>
    <customSheetView guid="{770624BF-07F3-44B6-94C3-4CC447CDD45C}" scale="70">
      <pane xSplit="2" ySplit="11" topLeftCell="E12" activePane="bottomRight" state="frozen"/>
      <selection pane="bottomRight" activeCell="B13" sqref="B13"/>
      <pageMargins left="0.7" right="0.7" top="0.75" bottom="0.75" header="0.3" footer="0.3"/>
    </customSheetView>
    <customSheetView guid="{009B3074-D8EC-4952-BF50-43CD64449612}" scale="70">
      <pane xSplit="2" ySplit="11" topLeftCell="F12" activePane="bottomRight" state="frozen"/>
      <selection pane="bottomRight" activeCell="A35" sqref="A35"/>
      <pageMargins left="0.7" right="0.7" top="0.75" bottom="0.75" header="0.3" footer="0.3"/>
    </customSheetView>
    <customSheetView guid="{F679EF4A-C5FD-4B86-B87B-D85968E0F2CA}" scale="70">
      <pane xSplit="2" ySplit="11" topLeftCell="C282" activePane="bottomRight" state="frozen"/>
      <selection pane="bottomRight" activeCell="E288" sqref="E288"/>
      <pageMargins left="0.7" right="0.7" top="0.75" bottom="0.75" header="0.3" footer="0.3"/>
    </customSheetView>
    <customSheetView guid="{959E901C-5DDE-42EE-AE94-AB8976B5E00B}" scale="70">
      <pane xSplit="2" ySplit="11" topLeftCell="S235" activePane="bottomRight" state="frozen"/>
      <selection pane="bottomRight" activeCell="AF56" sqref="AF56"/>
      <pageMargins left="0.7" right="0.7" top="0.75" bottom="0.75" header="0.3" footer="0.3"/>
    </customSheetView>
    <customSheetView guid="{533DC55B-6AD4-4674-9488-685EF2039F3E}" scale="70">
      <pane xSplit="2" ySplit="11" topLeftCell="C27" activePane="bottomRight" state="frozen"/>
      <selection pane="bottomRight" activeCell="E30" sqref="E30"/>
      <pageMargins left="0.7" right="0.7" top="0.75" bottom="0.75" header="0.3" footer="0.3"/>
      <pageSetup paperSize="9" scale="50" orientation="landscape" r:id="rId11"/>
    </customSheetView>
    <customSheetView guid="{87218168-6C8E-4D5B-A5E5-DCCC26803AA3}" scale="70">
      <pane xSplit="2" ySplit="11" topLeftCell="C27" activePane="bottomRight" state="frozen"/>
      <selection pane="bottomRight" activeCell="E30" sqref="E30"/>
      <pageMargins left="0.7" right="0.7" top="0.75" bottom="0.75" header="0.3" footer="0.3"/>
      <pageSetup paperSize="9" scale="50" orientation="landscape" r:id="rId12"/>
    </customSheetView>
    <customSheetView guid="{DAA8A688-7558-4B5B-8DBD-E2629BD9E9A8}" scale="70">
      <pane xSplit="2" ySplit="11" topLeftCell="C282" activePane="bottomRight" state="frozen"/>
      <selection pane="bottomRight" activeCell="C292" sqref="C292"/>
      <pageMargins left="0.7" right="0.7" top="0.75" bottom="0.75" header="0.3" footer="0.3"/>
      <pageSetup paperSize="9" scale="50" orientation="landscape" r:id="rId13"/>
    </customSheetView>
    <customSheetView guid="{391AB76E-B386-49C1-800F-016A48AA1A46}" scale="70">
      <pane xSplit="2" ySplit="11" topLeftCell="C282" activePane="bottomRight" state="frozen"/>
      <selection pane="bottomRight" activeCell="C292" sqref="C292"/>
      <pageMargins left="0.7" right="0.7" top="0.75" bottom="0.75" header="0.3" footer="0.3"/>
      <pageSetup paperSize="9" scale="50" orientation="landscape" r:id="rId14"/>
    </customSheetView>
    <customSheetView guid="{09C3E205-981E-4A4E-BE89-8B7044192060}" scale="55">
      <pane xSplit="2" ySplit="11" topLeftCell="C81" activePane="bottomRight" state="frozen"/>
      <selection pane="bottomRight" activeCell="Q22" sqref="Q22"/>
      <pageMargins left="0.7" right="0.7" top="0.75" bottom="0.75" header="0.3" footer="0.3"/>
      <pageSetup paperSize="9" scale="50" orientation="landscape" r:id="rId15"/>
    </customSheetView>
    <customSheetView guid="{84867370-1F3E-4368-AF79-FBCE46FFFE92}" scale="70">
      <pane xSplit="2" ySplit="11" topLeftCell="C63" activePane="bottomRight" state="frozen"/>
      <selection pane="bottomRight" activeCell="Q22" sqref="Q22"/>
      <pageMargins left="0.7" right="0.7" top="0.75" bottom="0.75" header="0.3" footer="0.3"/>
      <pageSetup paperSize="9" scale="50" orientation="landscape" r:id="rId16"/>
    </customSheetView>
    <customSheetView guid="{0C2B9C2A-7B94-41EF-A2E6-F8AC9A67DE25}" scale="70">
      <pane xSplit="2" ySplit="11" topLeftCell="C63" activePane="bottomRight" state="frozen"/>
      <selection pane="bottomRight" activeCell="Q22" sqref="Q22"/>
      <pageMargins left="0.7" right="0.7" top="0.75" bottom="0.75" header="0.3" footer="0.3"/>
      <pageSetup paperSize="9" scale="50" orientation="landscape" r:id="rId17"/>
    </customSheetView>
    <customSheetView guid="{CB4792DB-A624-4844-AEB6-A6ADA80946BB}" scale="70">
      <pane xSplit="2" ySplit="11" topLeftCell="C63" activePane="bottomRight" state="frozen"/>
      <selection pane="bottomRight" activeCell="Q22" sqref="Q22"/>
      <pageMargins left="0.7" right="0.7" top="0.75" bottom="0.75" header="0.3" footer="0.3"/>
      <pageSetup paperSize="9" scale="50" orientation="landscape" r:id="rId18"/>
    </customSheetView>
    <customSheetView guid="{74870EE6-26B9-40F7-9DC9-260EF16D8959}" scale="70">
      <pane xSplit="2" ySplit="11" topLeftCell="C63" activePane="bottomRight" state="frozen"/>
      <selection pane="bottomRight" activeCell="Q22" sqref="Q22"/>
      <pageMargins left="0.7" right="0.7" top="0.75" bottom="0.75" header="0.3" footer="0.3"/>
      <pageSetup paperSize="9" scale="50" orientation="landscape" r:id="rId19"/>
    </customSheetView>
    <customSheetView guid="{6A602CB8-B24C-4ED4-B378-B27354BE0A1A}" scale="70">
      <pane xSplit="2" ySplit="11" topLeftCell="C267" activePane="bottomRight" state="frozen"/>
      <selection pane="bottomRight" activeCell="Q22" sqref="Q22"/>
      <pageMargins left="0.7" right="0.7" top="0.75" bottom="0.75" header="0.3" footer="0.3"/>
      <pageSetup paperSize="9" scale="50" orientation="landscape" r:id="rId20"/>
    </customSheetView>
    <customSheetView guid="{4F41B9CC-959D-442C-80B0-1F0DB2C76D27}" scale="70">
      <pane xSplit="2" ySplit="10" topLeftCell="C267" activePane="bottomRight" state="frozen"/>
      <selection pane="bottomRight" activeCell="Q22" sqref="Q22"/>
      <pageMargins left="0.7" right="0.7" top="0.75" bottom="0.75" header="0.3" footer="0.3"/>
      <pageSetup paperSize="9" scale="50" orientation="landscape" r:id="rId21"/>
    </customSheetView>
    <customSheetView guid="{47B983AB-FE5F-4725-860C-A2F29420596D}" scale="70">
      <pane xSplit="2" ySplit="11" topLeftCell="C267" activePane="bottomRight" state="frozen"/>
      <selection pane="bottomRight" activeCell="Q22" sqref="Q22"/>
      <pageMargins left="0.7" right="0.7" top="0.75" bottom="0.75" header="0.3" footer="0.3"/>
      <pageSetup paperSize="9" scale="50" orientation="landscape" r:id="rId22"/>
    </customSheetView>
  </customSheetViews>
  <mergeCells count="26">
    <mergeCell ref="AF6:AF7"/>
    <mergeCell ref="A4:AF4"/>
    <mergeCell ref="A6:A7"/>
    <mergeCell ref="F6:G6"/>
    <mergeCell ref="H6:I6"/>
    <mergeCell ref="J6:K6"/>
    <mergeCell ref="L6:M6"/>
    <mergeCell ref="N6:O6"/>
    <mergeCell ref="P6:Q6"/>
    <mergeCell ref="R6:S6"/>
    <mergeCell ref="T6:U6"/>
    <mergeCell ref="V6:W6"/>
    <mergeCell ref="X6:Y6"/>
    <mergeCell ref="Z6:AA6"/>
    <mergeCell ref="AB6:AC6"/>
    <mergeCell ref="AD6:AE6"/>
    <mergeCell ref="A217:AF217"/>
    <mergeCell ref="A218:AF218"/>
    <mergeCell ref="A255:AF255"/>
    <mergeCell ref="A256:AF256"/>
    <mergeCell ref="A9:AF9"/>
    <mergeCell ref="A10:AF10"/>
    <mergeCell ref="A23:AF23"/>
    <mergeCell ref="A135:AF135"/>
    <mergeCell ref="A136:AF136"/>
    <mergeCell ref="A143:AF143"/>
  </mergeCells>
  <hyperlinks>
    <hyperlink ref="A4:AF4" location="Оглавление!A1" display="Комплексный план (сетевой график) по реализации муниципальной программы  &quot;Культурное пространство города Когалыма&quot;"/>
  </hyperlinks>
  <pageMargins left="0.7" right="0.7" top="0.75" bottom="0.75" header="0.3" footer="0.3"/>
  <pageSetup paperSize="9" scale="50" orientation="landscape" r:id="rId23"/>
  <legacy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6"/>
  <sheetViews>
    <sheetView zoomScale="70" zoomScaleNormal="70" zoomScaleSheetLayoutView="70" workbookViewId="0">
      <pane xSplit="2" ySplit="10" topLeftCell="C11" activePane="bottomRight" state="frozen"/>
      <selection activeCell="F284" sqref="F284:G284"/>
      <selection pane="topRight" activeCell="F284" sqref="F284:G284"/>
      <selection pane="bottomLeft" activeCell="F284" sqref="F284:G284"/>
      <selection pane="bottomRight" activeCell="A49" sqref="A49"/>
    </sheetView>
  </sheetViews>
  <sheetFormatPr defaultColWidth="9.140625" defaultRowHeight="18.75" x14ac:dyDescent="0.3"/>
  <cols>
    <col min="1" max="1" width="68.140625" style="10" customWidth="1"/>
    <col min="2" max="5" width="15.140625" style="10" customWidth="1"/>
    <col min="6" max="6" width="16.140625" style="10" customWidth="1"/>
    <col min="7" max="7" width="19.42578125" style="10" customWidth="1"/>
    <col min="8" max="31" width="13.85546875" style="10" customWidth="1"/>
    <col min="32" max="32" width="34.7109375" style="10" customWidth="1"/>
    <col min="33" max="33" width="9.140625" style="159"/>
    <col min="34" max="16384" width="9.140625" style="10"/>
  </cols>
  <sheetData>
    <row r="1" spans="1:33" ht="18.75" customHeight="1" x14ac:dyDescent="0.3">
      <c r="A1" s="1073"/>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57"/>
      <c r="AF1" s="158"/>
    </row>
    <row r="2" spans="1:33" ht="18.75" customHeight="1" x14ac:dyDescent="0.3">
      <c r="A2" s="1073"/>
      <c r="B2" s="1073"/>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57"/>
      <c r="AF2" s="158"/>
    </row>
    <row r="3" spans="1:33" ht="18.75" customHeight="1" x14ac:dyDescent="0.3">
      <c r="A3" s="1073"/>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57"/>
      <c r="AF3" s="158"/>
    </row>
    <row r="4" spans="1:33" s="163" customFormat="1" ht="18.75" customHeight="1" x14ac:dyDescent="0.25">
      <c r="A4" s="1074" t="s">
        <v>444</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60"/>
      <c r="AF4" s="161"/>
      <c r="AG4" s="162"/>
    </row>
    <row r="5" spans="1:33" ht="18.75" customHeight="1" x14ac:dyDescent="0.3">
      <c r="A5" s="164"/>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075"/>
      <c r="AC5" s="1075"/>
      <c r="AD5" s="1075"/>
      <c r="AE5" s="165"/>
      <c r="AF5" s="166"/>
    </row>
    <row r="6" spans="1:33" ht="37.5" customHeight="1" x14ac:dyDescent="0.3">
      <c r="A6" s="1062" t="s">
        <v>163</v>
      </c>
      <c r="B6" s="95" t="s">
        <v>3</v>
      </c>
      <c r="C6" s="95" t="s">
        <v>3</v>
      </c>
      <c r="D6" s="95" t="s">
        <v>4</v>
      </c>
      <c r="E6" s="95" t="s">
        <v>5</v>
      </c>
      <c r="F6" s="1063" t="s">
        <v>6</v>
      </c>
      <c r="G6" s="1064"/>
      <c r="H6" s="1063" t="s">
        <v>7</v>
      </c>
      <c r="I6" s="1065"/>
      <c r="J6" s="1063" t="s">
        <v>8</v>
      </c>
      <c r="K6" s="1065"/>
      <c r="L6" s="1063" t="s">
        <v>9</v>
      </c>
      <c r="M6" s="1065"/>
      <c r="N6" s="1063" t="s">
        <v>10</v>
      </c>
      <c r="O6" s="1065"/>
      <c r="P6" s="1063" t="s">
        <v>11</v>
      </c>
      <c r="Q6" s="1065"/>
      <c r="R6" s="1063" t="s">
        <v>12</v>
      </c>
      <c r="S6" s="1065"/>
      <c r="T6" s="1063" t="s">
        <v>13</v>
      </c>
      <c r="U6" s="1065"/>
      <c r="V6" s="1063" t="s">
        <v>14</v>
      </c>
      <c r="W6" s="1065"/>
      <c r="X6" s="1063" t="s">
        <v>15</v>
      </c>
      <c r="Y6" s="1065"/>
      <c r="Z6" s="1063" t="s">
        <v>16</v>
      </c>
      <c r="AA6" s="1065"/>
      <c r="AB6" s="1063" t="s">
        <v>17</v>
      </c>
      <c r="AC6" s="1065"/>
      <c r="AD6" s="1066" t="s">
        <v>18</v>
      </c>
      <c r="AE6" s="1066"/>
      <c r="AF6" s="1052" t="s">
        <v>19</v>
      </c>
    </row>
    <row r="7" spans="1:33" ht="37.5" x14ac:dyDescent="0.3">
      <c r="A7" s="1062"/>
      <c r="B7" s="3">
        <v>2024</v>
      </c>
      <c r="C7" s="4">
        <v>45352</v>
      </c>
      <c r="D7" s="4">
        <v>45352</v>
      </c>
      <c r="E7" s="4">
        <v>45352</v>
      </c>
      <c r="F7" s="5" t="s">
        <v>20</v>
      </c>
      <c r="G7" s="5" t="s">
        <v>21</v>
      </c>
      <c r="H7" s="5" t="s">
        <v>22</v>
      </c>
      <c r="I7" s="96" t="s">
        <v>164</v>
      </c>
      <c r="J7" s="5" t="s">
        <v>22</v>
      </c>
      <c r="K7" s="96" t="s">
        <v>164</v>
      </c>
      <c r="L7" s="5" t="s">
        <v>22</v>
      </c>
      <c r="M7" s="96" t="s">
        <v>164</v>
      </c>
      <c r="N7" s="5" t="s">
        <v>22</v>
      </c>
      <c r="O7" s="96" t="s">
        <v>164</v>
      </c>
      <c r="P7" s="5" t="s">
        <v>22</v>
      </c>
      <c r="Q7" s="96" t="s">
        <v>164</v>
      </c>
      <c r="R7" s="5" t="s">
        <v>22</v>
      </c>
      <c r="S7" s="96" t="s">
        <v>164</v>
      </c>
      <c r="T7" s="5" t="s">
        <v>22</v>
      </c>
      <c r="U7" s="96" t="s">
        <v>164</v>
      </c>
      <c r="V7" s="5" t="s">
        <v>22</v>
      </c>
      <c r="W7" s="96" t="s">
        <v>164</v>
      </c>
      <c r="X7" s="5" t="s">
        <v>22</v>
      </c>
      <c r="Y7" s="96" t="s">
        <v>164</v>
      </c>
      <c r="Z7" s="5" t="s">
        <v>22</v>
      </c>
      <c r="AA7" s="96" t="s">
        <v>164</v>
      </c>
      <c r="AB7" s="5" t="s">
        <v>22</v>
      </c>
      <c r="AC7" s="96" t="s">
        <v>164</v>
      </c>
      <c r="AD7" s="5" t="s">
        <v>22</v>
      </c>
      <c r="AE7" s="96" t="s">
        <v>164</v>
      </c>
      <c r="AF7" s="1053"/>
    </row>
    <row r="8" spans="1:33" x14ac:dyDescent="0.3">
      <c r="A8" s="167">
        <v>1</v>
      </c>
      <c r="B8" s="6">
        <v>2</v>
      </c>
      <c r="C8" s="6">
        <v>3</v>
      </c>
      <c r="D8" s="6">
        <v>4</v>
      </c>
      <c r="E8" s="6">
        <v>5</v>
      </c>
      <c r="F8" s="6">
        <v>6</v>
      </c>
      <c r="G8" s="6">
        <v>7</v>
      </c>
      <c r="H8" s="6">
        <v>8</v>
      </c>
      <c r="I8" s="6">
        <v>9</v>
      </c>
      <c r="J8" s="6">
        <v>10</v>
      </c>
      <c r="K8" s="6">
        <v>11</v>
      </c>
      <c r="L8" s="6">
        <v>12</v>
      </c>
      <c r="M8" s="6">
        <v>13</v>
      </c>
      <c r="N8" s="6">
        <v>14</v>
      </c>
      <c r="O8" s="6">
        <v>15</v>
      </c>
      <c r="P8" s="6">
        <v>16</v>
      </c>
      <c r="Q8" s="6">
        <v>17</v>
      </c>
      <c r="R8" s="6">
        <v>18</v>
      </c>
      <c r="S8" s="6">
        <v>19</v>
      </c>
      <c r="T8" s="6">
        <v>20</v>
      </c>
      <c r="U8" s="6">
        <v>21</v>
      </c>
      <c r="V8" s="6">
        <v>22</v>
      </c>
      <c r="W8" s="6">
        <v>23</v>
      </c>
      <c r="X8" s="6">
        <v>24</v>
      </c>
      <c r="Y8" s="6">
        <v>25</v>
      </c>
      <c r="Z8" s="6">
        <v>26</v>
      </c>
      <c r="AA8" s="6">
        <v>27</v>
      </c>
      <c r="AB8" s="6">
        <v>28</v>
      </c>
      <c r="AC8" s="6">
        <v>29</v>
      </c>
      <c r="AD8" s="6">
        <v>30</v>
      </c>
      <c r="AE8" s="6">
        <v>31</v>
      </c>
      <c r="AF8" s="6">
        <v>32</v>
      </c>
    </row>
    <row r="9" spans="1:33" s="168" customFormat="1" x14ac:dyDescent="0.3">
      <c r="A9" s="1070" t="s">
        <v>220</v>
      </c>
      <c r="B9" s="1071"/>
      <c r="C9" s="1071"/>
      <c r="D9" s="1071"/>
      <c r="E9" s="1071"/>
      <c r="F9" s="1071"/>
      <c r="G9" s="1071"/>
      <c r="H9" s="1071"/>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2"/>
    </row>
    <row r="10" spans="1:33" s="168" customFormat="1" x14ac:dyDescent="0.3">
      <c r="A10" s="1070" t="s">
        <v>54</v>
      </c>
      <c r="B10" s="107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2"/>
    </row>
    <row r="11" spans="1:33" ht="93.75" x14ac:dyDescent="0.3">
      <c r="A11" s="169" t="s">
        <v>513</v>
      </c>
      <c r="B11" s="953">
        <f t="shared" ref="B11:T11" si="0">B12</f>
        <v>362.5</v>
      </c>
      <c r="C11" s="954">
        <f t="shared" si="0"/>
        <v>140</v>
      </c>
      <c r="D11" s="954">
        <f t="shared" si="0"/>
        <v>0</v>
      </c>
      <c r="E11" s="953">
        <f t="shared" si="0"/>
        <v>0</v>
      </c>
      <c r="F11" s="955">
        <f t="shared" si="0"/>
        <v>0</v>
      </c>
      <c r="G11" s="955">
        <f t="shared" si="0"/>
        <v>0</v>
      </c>
      <c r="H11" s="953">
        <f t="shared" si="0"/>
        <v>0</v>
      </c>
      <c r="I11" s="953">
        <f t="shared" si="0"/>
        <v>0</v>
      </c>
      <c r="J11" s="953">
        <f t="shared" si="0"/>
        <v>0</v>
      </c>
      <c r="K11" s="956">
        <f t="shared" si="0"/>
        <v>0</v>
      </c>
      <c r="L11" s="953">
        <f t="shared" si="0"/>
        <v>140</v>
      </c>
      <c r="M11" s="956">
        <f t="shared" si="0"/>
        <v>0</v>
      </c>
      <c r="N11" s="953">
        <f t="shared" si="0"/>
        <v>0</v>
      </c>
      <c r="O11" s="956">
        <f t="shared" si="0"/>
        <v>0</v>
      </c>
      <c r="P11" s="953">
        <f t="shared" si="0"/>
        <v>0</v>
      </c>
      <c r="Q11" s="956">
        <f t="shared" si="0"/>
        <v>0</v>
      </c>
      <c r="R11" s="953">
        <f t="shared" si="0"/>
        <v>0</v>
      </c>
      <c r="S11" s="956">
        <f t="shared" si="0"/>
        <v>0</v>
      </c>
      <c r="T11" s="953">
        <f t="shared" si="0"/>
        <v>0</v>
      </c>
      <c r="U11" s="957"/>
      <c r="V11" s="953">
        <f>V12</f>
        <v>0</v>
      </c>
      <c r="W11" s="957"/>
      <c r="X11" s="953">
        <f>X12</f>
        <v>0</v>
      </c>
      <c r="Y11" s="957"/>
      <c r="Z11" s="953">
        <f>Z12</f>
        <v>0</v>
      </c>
      <c r="AA11" s="957"/>
      <c r="AB11" s="953">
        <f>AB12</f>
        <v>222.5</v>
      </c>
      <c r="AC11" s="957"/>
      <c r="AD11" s="953">
        <f>AD12</f>
        <v>0</v>
      </c>
      <c r="AE11" s="958"/>
      <c r="AF11" s="174"/>
      <c r="AG11" s="175">
        <f>AD11+AB11+Z11+X11+V11+T11+R11+P11+N11+L11+J11+H11-B11</f>
        <v>0</v>
      </c>
    </row>
    <row r="12" spans="1:33" s="177" customFormat="1" x14ac:dyDescent="0.3">
      <c r="A12" s="176" t="s">
        <v>31</v>
      </c>
      <c r="B12" s="953">
        <f t="shared" ref="B12:T12" si="1">B13+B14+B15+B16</f>
        <v>362.5</v>
      </c>
      <c r="C12" s="953">
        <f t="shared" si="1"/>
        <v>140</v>
      </c>
      <c r="D12" s="953">
        <f t="shared" si="1"/>
        <v>0</v>
      </c>
      <c r="E12" s="953">
        <f t="shared" si="1"/>
        <v>0</v>
      </c>
      <c r="F12" s="959">
        <f t="shared" si="1"/>
        <v>0</v>
      </c>
      <c r="G12" s="959">
        <f t="shared" si="1"/>
        <v>0</v>
      </c>
      <c r="H12" s="953">
        <f t="shared" si="1"/>
        <v>0</v>
      </c>
      <c r="I12" s="953">
        <f t="shared" si="1"/>
        <v>0</v>
      </c>
      <c r="J12" s="953">
        <f t="shared" si="1"/>
        <v>0</v>
      </c>
      <c r="K12" s="953">
        <f t="shared" si="1"/>
        <v>0</v>
      </c>
      <c r="L12" s="953">
        <f t="shared" si="1"/>
        <v>140</v>
      </c>
      <c r="M12" s="953">
        <f t="shared" si="1"/>
        <v>0</v>
      </c>
      <c r="N12" s="953">
        <f t="shared" si="1"/>
        <v>0</v>
      </c>
      <c r="O12" s="953">
        <f t="shared" si="1"/>
        <v>0</v>
      </c>
      <c r="P12" s="953">
        <f t="shared" si="1"/>
        <v>0</v>
      </c>
      <c r="Q12" s="953">
        <f t="shared" si="1"/>
        <v>0</v>
      </c>
      <c r="R12" s="953">
        <f t="shared" si="1"/>
        <v>0</v>
      </c>
      <c r="S12" s="953">
        <f t="shared" si="1"/>
        <v>0</v>
      </c>
      <c r="T12" s="953">
        <f t="shared" si="1"/>
        <v>0</v>
      </c>
      <c r="U12" s="953"/>
      <c r="V12" s="953">
        <f>V13+V14+V15+V16</f>
        <v>0</v>
      </c>
      <c r="W12" s="953"/>
      <c r="X12" s="953">
        <f>X13+X14+X15+X16</f>
        <v>0</v>
      </c>
      <c r="Y12" s="953"/>
      <c r="Z12" s="953">
        <f>Z13+Z14+Z15+Z16</f>
        <v>0</v>
      </c>
      <c r="AA12" s="953"/>
      <c r="AB12" s="953">
        <f>AB13+AB14+AB15+AB16</f>
        <v>222.5</v>
      </c>
      <c r="AC12" s="953"/>
      <c r="AD12" s="953">
        <f>AD13+AD14+AD15+AD16</f>
        <v>0</v>
      </c>
      <c r="AE12" s="953"/>
      <c r="AF12" s="174"/>
      <c r="AG12" s="175">
        <f t="shared" ref="AG12:AG75" si="2">AD12+AB12+Z12+X12+V12+T12+R12+P12+N12+L12+J12+H12-B12</f>
        <v>0</v>
      </c>
    </row>
    <row r="13" spans="1:33" x14ac:dyDescent="0.3">
      <c r="A13" s="178" t="s">
        <v>169</v>
      </c>
      <c r="B13" s="953">
        <f>H13+J13+L13+N13+P13+R13+T13+V13+X13+Z13+AB13+AD13</f>
        <v>0</v>
      </c>
      <c r="C13" s="954">
        <f>H13</f>
        <v>0</v>
      </c>
      <c r="D13" s="954">
        <f>I13</f>
        <v>0</v>
      </c>
      <c r="E13" s="953">
        <v>0</v>
      </c>
      <c r="F13" s="955">
        <v>0</v>
      </c>
      <c r="G13" s="959">
        <v>0</v>
      </c>
      <c r="H13" s="953">
        <v>0</v>
      </c>
      <c r="I13" s="953">
        <v>0</v>
      </c>
      <c r="J13" s="953">
        <v>0</v>
      </c>
      <c r="K13" s="953">
        <v>0</v>
      </c>
      <c r="L13" s="953">
        <v>0</v>
      </c>
      <c r="M13" s="953">
        <v>0</v>
      </c>
      <c r="N13" s="953">
        <v>0</v>
      </c>
      <c r="O13" s="953">
        <v>0</v>
      </c>
      <c r="P13" s="953">
        <v>0</v>
      </c>
      <c r="Q13" s="953">
        <v>0</v>
      </c>
      <c r="R13" s="953">
        <v>0</v>
      </c>
      <c r="S13" s="953">
        <v>0</v>
      </c>
      <c r="T13" s="953">
        <v>0</v>
      </c>
      <c r="U13" s="953"/>
      <c r="V13" s="953">
        <v>0</v>
      </c>
      <c r="W13" s="953"/>
      <c r="X13" s="953">
        <v>0</v>
      </c>
      <c r="Y13" s="953"/>
      <c r="Z13" s="953">
        <v>0</v>
      </c>
      <c r="AA13" s="953"/>
      <c r="AB13" s="953">
        <v>0</v>
      </c>
      <c r="AC13" s="953"/>
      <c r="AD13" s="953">
        <v>0</v>
      </c>
      <c r="AE13" s="953"/>
      <c r="AF13" s="182"/>
      <c r="AG13" s="175">
        <f t="shared" si="2"/>
        <v>0</v>
      </c>
    </row>
    <row r="14" spans="1:33" x14ac:dyDescent="0.3">
      <c r="A14" s="178" t="s">
        <v>32</v>
      </c>
      <c r="B14" s="953">
        <f>H14+J14+L14+N14+P14+R14+T14+V14+X14+Z14+AB14+AD14</f>
        <v>0</v>
      </c>
      <c r="C14" s="954">
        <f>H14</f>
        <v>0</v>
      </c>
      <c r="D14" s="954">
        <f>I14</f>
        <v>0</v>
      </c>
      <c r="E14" s="953">
        <v>0</v>
      </c>
      <c r="F14" s="955">
        <v>0</v>
      </c>
      <c r="G14" s="959">
        <v>0</v>
      </c>
      <c r="H14" s="953">
        <v>0</v>
      </c>
      <c r="I14" s="953">
        <v>0</v>
      </c>
      <c r="J14" s="953">
        <v>0</v>
      </c>
      <c r="K14" s="953">
        <v>0</v>
      </c>
      <c r="L14" s="953">
        <v>0</v>
      </c>
      <c r="M14" s="953">
        <v>0</v>
      </c>
      <c r="N14" s="953">
        <v>0</v>
      </c>
      <c r="O14" s="953">
        <v>0</v>
      </c>
      <c r="P14" s="953">
        <v>0</v>
      </c>
      <c r="Q14" s="953">
        <v>0</v>
      </c>
      <c r="R14" s="953">
        <v>0</v>
      </c>
      <c r="S14" s="953">
        <v>0</v>
      </c>
      <c r="T14" s="953">
        <v>0</v>
      </c>
      <c r="U14" s="953"/>
      <c r="V14" s="953">
        <v>0</v>
      </c>
      <c r="W14" s="953"/>
      <c r="X14" s="953">
        <v>0</v>
      </c>
      <c r="Y14" s="953"/>
      <c r="Z14" s="953">
        <v>0</v>
      </c>
      <c r="AA14" s="953"/>
      <c r="AB14" s="953">
        <v>0</v>
      </c>
      <c r="AC14" s="953"/>
      <c r="AD14" s="953">
        <v>0</v>
      </c>
      <c r="AE14" s="953"/>
      <c r="AF14" s="182"/>
      <c r="AG14" s="175">
        <f t="shared" si="2"/>
        <v>0</v>
      </c>
    </row>
    <row r="15" spans="1:33" x14ac:dyDescent="0.3">
      <c r="A15" s="178" t="s">
        <v>33</v>
      </c>
      <c r="B15" s="953">
        <f>H15+J15+L15+N15+P15+R15+T15+V15+X15+Z15+AB15+AD15</f>
        <v>362.5</v>
      </c>
      <c r="C15" s="954">
        <f>H15+J15+L15+N15+P15+R15</f>
        <v>140</v>
      </c>
      <c r="D15" s="954">
        <f>E15</f>
        <v>0</v>
      </c>
      <c r="E15" s="957">
        <f>I15+K15+M15+O15+Q15+S15</f>
        <v>0</v>
      </c>
      <c r="F15" s="955">
        <v>0</v>
      </c>
      <c r="G15" s="955">
        <v>0</v>
      </c>
      <c r="H15" s="957">
        <v>0</v>
      </c>
      <c r="I15" s="957">
        <v>0</v>
      </c>
      <c r="J15" s="957">
        <v>0</v>
      </c>
      <c r="K15" s="957">
        <v>0</v>
      </c>
      <c r="L15" s="957">
        <v>140</v>
      </c>
      <c r="M15" s="957">
        <v>0</v>
      </c>
      <c r="N15" s="957">
        <v>0</v>
      </c>
      <c r="O15" s="957">
        <v>0</v>
      </c>
      <c r="P15" s="957">
        <v>0</v>
      </c>
      <c r="Q15" s="957">
        <v>0</v>
      </c>
      <c r="R15" s="957">
        <v>0</v>
      </c>
      <c r="S15" s="957">
        <v>0</v>
      </c>
      <c r="T15" s="957">
        <v>0</v>
      </c>
      <c r="U15" s="957"/>
      <c r="V15" s="957">
        <v>0</v>
      </c>
      <c r="W15" s="957"/>
      <c r="X15" s="958">
        <v>0</v>
      </c>
      <c r="Y15" s="957"/>
      <c r="Z15" s="957">
        <v>0</v>
      </c>
      <c r="AA15" s="957"/>
      <c r="AB15" s="957">
        <v>222.5</v>
      </c>
      <c r="AC15" s="957"/>
      <c r="AD15" s="958">
        <v>0</v>
      </c>
      <c r="AE15" s="958"/>
      <c r="AF15" s="182"/>
      <c r="AG15" s="175">
        <f t="shared" si="2"/>
        <v>0</v>
      </c>
    </row>
    <row r="16" spans="1:33" x14ac:dyDescent="0.3">
      <c r="A16" s="178" t="s">
        <v>221</v>
      </c>
      <c r="B16" s="953">
        <f>H16+J16+L16+N16+P16+R16+T16+V16+X16+Z16+AB16+AD16</f>
        <v>0</v>
      </c>
      <c r="C16" s="954">
        <f>H16</f>
        <v>0</v>
      </c>
      <c r="D16" s="954">
        <f>I16</f>
        <v>0</v>
      </c>
      <c r="E16" s="953">
        <v>0</v>
      </c>
      <c r="F16" s="955">
        <v>0</v>
      </c>
      <c r="G16" s="959">
        <v>0</v>
      </c>
      <c r="H16" s="953">
        <v>0</v>
      </c>
      <c r="I16" s="953">
        <v>0</v>
      </c>
      <c r="J16" s="953">
        <v>0</v>
      </c>
      <c r="K16" s="953">
        <v>0</v>
      </c>
      <c r="L16" s="953">
        <v>0</v>
      </c>
      <c r="M16" s="953">
        <v>0</v>
      </c>
      <c r="N16" s="953">
        <v>0</v>
      </c>
      <c r="O16" s="953">
        <v>0</v>
      </c>
      <c r="P16" s="953">
        <v>0</v>
      </c>
      <c r="Q16" s="953">
        <v>0</v>
      </c>
      <c r="R16" s="953">
        <v>0</v>
      </c>
      <c r="S16" s="953">
        <v>0</v>
      </c>
      <c r="T16" s="953">
        <v>0</v>
      </c>
      <c r="U16" s="953"/>
      <c r="V16" s="953">
        <v>0</v>
      </c>
      <c r="W16" s="953"/>
      <c r="X16" s="953">
        <v>0</v>
      </c>
      <c r="Y16" s="953"/>
      <c r="Z16" s="953">
        <v>0</v>
      </c>
      <c r="AA16" s="953"/>
      <c r="AB16" s="953">
        <v>0</v>
      </c>
      <c r="AC16" s="953"/>
      <c r="AD16" s="953">
        <v>0</v>
      </c>
      <c r="AE16" s="953"/>
      <c r="AF16" s="182"/>
      <c r="AG16" s="175">
        <f t="shared" si="2"/>
        <v>0</v>
      </c>
    </row>
    <row r="17" spans="1:33" s="177" customFormat="1" ht="23.25" customHeight="1" x14ac:dyDescent="0.3">
      <c r="A17" s="1067" t="s">
        <v>222</v>
      </c>
      <c r="B17" s="1068"/>
      <c r="C17" s="1068"/>
      <c r="D17" s="1068"/>
      <c r="E17" s="1068"/>
      <c r="F17" s="1068"/>
      <c r="G17" s="1068"/>
      <c r="H17" s="1068"/>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9"/>
      <c r="AG17" s="175">
        <f t="shared" si="2"/>
        <v>0</v>
      </c>
    </row>
    <row r="18" spans="1:33" s="168" customFormat="1" x14ac:dyDescent="0.3">
      <c r="A18" s="1070" t="s">
        <v>54</v>
      </c>
      <c r="B18" s="1071"/>
      <c r="C18" s="1071"/>
      <c r="D18" s="1071"/>
      <c r="E18" s="1071"/>
      <c r="F18" s="1071"/>
      <c r="G18" s="1071"/>
      <c r="H18" s="1071"/>
      <c r="I18" s="1071"/>
      <c r="J18" s="1071"/>
      <c r="K18" s="1071"/>
      <c r="L18" s="1071"/>
      <c r="M18" s="1071"/>
      <c r="N18" s="1071"/>
      <c r="O18" s="1071"/>
      <c r="P18" s="1071"/>
      <c r="Q18" s="1071"/>
      <c r="R18" s="1071"/>
      <c r="S18" s="1071"/>
      <c r="T18" s="1071"/>
      <c r="U18" s="1071"/>
      <c r="V18" s="1071"/>
      <c r="W18" s="1071"/>
      <c r="X18" s="1071"/>
      <c r="Y18" s="1071"/>
      <c r="Z18" s="1071"/>
      <c r="AA18" s="1071"/>
      <c r="AB18" s="1071"/>
      <c r="AC18" s="1071"/>
      <c r="AD18" s="1071"/>
      <c r="AE18" s="1071"/>
      <c r="AF18" s="1072"/>
      <c r="AG18" s="175">
        <f t="shared" si="2"/>
        <v>0</v>
      </c>
    </row>
    <row r="19" spans="1:33" ht="75" x14ac:dyDescent="0.3">
      <c r="A19" s="184" t="s">
        <v>223</v>
      </c>
      <c r="B19" s="953">
        <f t="shared" ref="B19:T19" si="3">B20</f>
        <v>0</v>
      </c>
      <c r="C19" s="954">
        <f t="shared" si="3"/>
        <v>0</v>
      </c>
      <c r="D19" s="954">
        <f t="shared" si="3"/>
        <v>0</v>
      </c>
      <c r="E19" s="957">
        <f t="shared" si="3"/>
        <v>0</v>
      </c>
      <c r="F19" s="960">
        <f t="shared" si="3"/>
        <v>0</v>
      </c>
      <c r="G19" s="960">
        <f t="shared" si="3"/>
        <v>0</v>
      </c>
      <c r="H19" s="953">
        <f t="shared" si="3"/>
        <v>0</v>
      </c>
      <c r="I19" s="957">
        <f t="shared" si="3"/>
        <v>0</v>
      </c>
      <c r="J19" s="953">
        <f t="shared" si="3"/>
        <v>0</v>
      </c>
      <c r="K19" s="956">
        <f t="shared" si="3"/>
        <v>0</v>
      </c>
      <c r="L19" s="953">
        <f t="shared" si="3"/>
        <v>0</v>
      </c>
      <c r="M19" s="956">
        <f t="shared" si="3"/>
        <v>0</v>
      </c>
      <c r="N19" s="953">
        <f t="shared" si="3"/>
        <v>0</v>
      </c>
      <c r="O19" s="956">
        <f t="shared" si="3"/>
        <v>0</v>
      </c>
      <c r="P19" s="953">
        <f t="shared" si="3"/>
        <v>0</v>
      </c>
      <c r="Q19" s="956">
        <f t="shared" si="3"/>
        <v>0</v>
      </c>
      <c r="R19" s="953">
        <f t="shared" si="3"/>
        <v>0</v>
      </c>
      <c r="S19" s="956">
        <f t="shared" si="3"/>
        <v>0</v>
      </c>
      <c r="T19" s="953">
        <f t="shared" si="3"/>
        <v>0</v>
      </c>
      <c r="U19" s="957"/>
      <c r="V19" s="953">
        <f>V20</f>
        <v>0</v>
      </c>
      <c r="W19" s="957"/>
      <c r="X19" s="953">
        <f>X20</f>
        <v>0</v>
      </c>
      <c r="Y19" s="957"/>
      <c r="Z19" s="953">
        <f>Z20</f>
        <v>0</v>
      </c>
      <c r="AA19" s="957"/>
      <c r="AB19" s="953">
        <f>AB20</f>
        <v>0</v>
      </c>
      <c r="AC19" s="957"/>
      <c r="AD19" s="953">
        <f>AD20</f>
        <v>0</v>
      </c>
      <c r="AE19" s="958"/>
      <c r="AF19" s="174"/>
      <c r="AG19" s="175">
        <f t="shared" si="2"/>
        <v>0</v>
      </c>
    </row>
    <row r="20" spans="1:33" s="177" customFormat="1" x14ac:dyDescent="0.3">
      <c r="A20" s="176" t="s">
        <v>31</v>
      </c>
      <c r="B20" s="953">
        <f t="shared" ref="B20:T20" si="4">B21+B22+B23+B24</f>
        <v>0</v>
      </c>
      <c r="C20" s="953">
        <f t="shared" si="4"/>
        <v>0</v>
      </c>
      <c r="D20" s="953">
        <f t="shared" si="4"/>
        <v>0</v>
      </c>
      <c r="E20" s="953">
        <f t="shared" si="4"/>
        <v>0</v>
      </c>
      <c r="F20" s="959">
        <f t="shared" si="4"/>
        <v>0</v>
      </c>
      <c r="G20" s="959">
        <f t="shared" si="4"/>
        <v>0</v>
      </c>
      <c r="H20" s="953">
        <f t="shared" si="4"/>
        <v>0</v>
      </c>
      <c r="I20" s="953">
        <f t="shared" si="4"/>
        <v>0</v>
      </c>
      <c r="J20" s="953">
        <f t="shared" si="4"/>
        <v>0</v>
      </c>
      <c r="K20" s="953">
        <f t="shared" si="4"/>
        <v>0</v>
      </c>
      <c r="L20" s="953">
        <f t="shared" si="4"/>
        <v>0</v>
      </c>
      <c r="M20" s="953">
        <f t="shared" si="4"/>
        <v>0</v>
      </c>
      <c r="N20" s="953">
        <f t="shared" si="4"/>
        <v>0</v>
      </c>
      <c r="O20" s="953">
        <f t="shared" si="4"/>
        <v>0</v>
      </c>
      <c r="P20" s="953">
        <f t="shared" si="4"/>
        <v>0</v>
      </c>
      <c r="Q20" s="953">
        <f t="shared" si="4"/>
        <v>0</v>
      </c>
      <c r="R20" s="953">
        <f t="shared" si="4"/>
        <v>0</v>
      </c>
      <c r="S20" s="953">
        <f t="shared" si="4"/>
        <v>0</v>
      </c>
      <c r="T20" s="953">
        <f t="shared" si="4"/>
        <v>0</v>
      </c>
      <c r="U20" s="953"/>
      <c r="V20" s="953">
        <f>V21+V22+V23+V24</f>
        <v>0</v>
      </c>
      <c r="W20" s="953"/>
      <c r="X20" s="953">
        <f>X21+X22+X23+X24</f>
        <v>0</v>
      </c>
      <c r="Y20" s="953"/>
      <c r="Z20" s="953">
        <f>Z21+Z22+Z23+Z24</f>
        <v>0</v>
      </c>
      <c r="AA20" s="953"/>
      <c r="AB20" s="953">
        <f>AB21+AB22+AB23+AB24</f>
        <v>0</v>
      </c>
      <c r="AC20" s="953"/>
      <c r="AD20" s="953">
        <f>AD21+AD22+AD23+AD24</f>
        <v>0</v>
      </c>
      <c r="AE20" s="953"/>
      <c r="AF20" s="174"/>
      <c r="AG20" s="175">
        <f t="shared" si="2"/>
        <v>0</v>
      </c>
    </row>
    <row r="21" spans="1:33" x14ac:dyDescent="0.3">
      <c r="A21" s="178" t="s">
        <v>169</v>
      </c>
      <c r="B21" s="953">
        <f>H21+J21+L21+N21+P21+R21+T21+V21+X21+Z21+AB21+AD21</f>
        <v>0</v>
      </c>
      <c r="C21" s="961">
        <v>0</v>
      </c>
      <c r="D21" s="961">
        <f>I21</f>
        <v>0</v>
      </c>
      <c r="E21" s="953">
        <v>0</v>
      </c>
      <c r="F21" s="959">
        <v>0</v>
      </c>
      <c r="G21" s="959">
        <v>0</v>
      </c>
      <c r="H21" s="953">
        <v>0</v>
      </c>
      <c r="I21" s="953">
        <v>0</v>
      </c>
      <c r="J21" s="953">
        <v>0</v>
      </c>
      <c r="K21" s="953">
        <v>0</v>
      </c>
      <c r="L21" s="953">
        <v>0</v>
      </c>
      <c r="M21" s="953">
        <v>0</v>
      </c>
      <c r="N21" s="953">
        <v>0</v>
      </c>
      <c r="O21" s="953">
        <v>0</v>
      </c>
      <c r="P21" s="953">
        <v>0</v>
      </c>
      <c r="Q21" s="953">
        <v>0</v>
      </c>
      <c r="R21" s="953">
        <v>0</v>
      </c>
      <c r="S21" s="953">
        <v>0</v>
      </c>
      <c r="T21" s="953">
        <v>0</v>
      </c>
      <c r="U21" s="953"/>
      <c r="V21" s="953">
        <v>0</v>
      </c>
      <c r="W21" s="953"/>
      <c r="X21" s="953">
        <v>0</v>
      </c>
      <c r="Y21" s="953"/>
      <c r="Z21" s="953">
        <v>0</v>
      </c>
      <c r="AA21" s="953"/>
      <c r="AB21" s="953">
        <v>0</v>
      </c>
      <c r="AC21" s="953"/>
      <c r="AD21" s="953">
        <v>0</v>
      </c>
      <c r="AE21" s="953"/>
      <c r="AF21" s="182"/>
      <c r="AG21" s="175">
        <f t="shared" si="2"/>
        <v>0</v>
      </c>
    </row>
    <row r="22" spans="1:33" x14ac:dyDescent="0.3">
      <c r="A22" s="178" t="s">
        <v>32</v>
      </c>
      <c r="B22" s="953">
        <f>H22+J22+L22+N22+P22+R22+T22+V22+X22+Z22+AB22+AD22</f>
        <v>0</v>
      </c>
      <c r="C22" s="961">
        <v>0</v>
      </c>
      <c r="D22" s="961">
        <f>I22</f>
        <v>0</v>
      </c>
      <c r="E22" s="953">
        <v>0</v>
      </c>
      <c r="F22" s="959">
        <v>0</v>
      </c>
      <c r="G22" s="959">
        <v>0</v>
      </c>
      <c r="H22" s="953">
        <v>0</v>
      </c>
      <c r="I22" s="953">
        <v>0</v>
      </c>
      <c r="J22" s="953">
        <v>0</v>
      </c>
      <c r="K22" s="953">
        <v>0</v>
      </c>
      <c r="L22" s="953">
        <v>0</v>
      </c>
      <c r="M22" s="953">
        <v>0</v>
      </c>
      <c r="N22" s="953">
        <v>0</v>
      </c>
      <c r="O22" s="953">
        <v>0</v>
      </c>
      <c r="P22" s="953">
        <v>0</v>
      </c>
      <c r="Q22" s="953">
        <v>0</v>
      </c>
      <c r="R22" s="953">
        <v>0</v>
      </c>
      <c r="S22" s="953">
        <v>0</v>
      </c>
      <c r="T22" s="953">
        <v>0</v>
      </c>
      <c r="U22" s="953"/>
      <c r="V22" s="953">
        <v>0</v>
      </c>
      <c r="W22" s="953"/>
      <c r="X22" s="953">
        <v>0</v>
      </c>
      <c r="Y22" s="953"/>
      <c r="Z22" s="953">
        <v>0</v>
      </c>
      <c r="AA22" s="953"/>
      <c r="AB22" s="953">
        <v>0</v>
      </c>
      <c r="AC22" s="953"/>
      <c r="AD22" s="953">
        <v>0</v>
      </c>
      <c r="AE22" s="953"/>
      <c r="AF22" s="182"/>
      <c r="AG22" s="175">
        <f t="shared" si="2"/>
        <v>0</v>
      </c>
    </row>
    <row r="23" spans="1:33" x14ac:dyDescent="0.3">
      <c r="A23" s="178" t="s">
        <v>33</v>
      </c>
      <c r="B23" s="953">
        <f>H23+J23+L23+N23+P23+R23+T23+V23+X23+Z23+AB23+AD23</f>
        <v>0</v>
      </c>
      <c r="C23" s="954">
        <f>H23+J23+L23+N23+P23+R23</f>
        <v>0</v>
      </c>
      <c r="D23" s="954">
        <f>E23</f>
        <v>0</v>
      </c>
      <c r="E23" s="957">
        <f>I23+K23+M23+O23+Q23+S23</f>
        <v>0</v>
      </c>
      <c r="F23" s="955">
        <v>0</v>
      </c>
      <c r="G23" s="955">
        <v>0</v>
      </c>
      <c r="H23" s="957">
        <v>0</v>
      </c>
      <c r="I23" s="957">
        <v>0</v>
      </c>
      <c r="J23" s="957">
        <v>0</v>
      </c>
      <c r="K23" s="957">
        <v>0</v>
      </c>
      <c r="L23" s="957">
        <v>0</v>
      </c>
      <c r="M23" s="957">
        <v>0</v>
      </c>
      <c r="N23" s="957">
        <v>0</v>
      </c>
      <c r="O23" s="957">
        <v>0</v>
      </c>
      <c r="P23" s="957">
        <v>0</v>
      </c>
      <c r="Q23" s="957">
        <v>0</v>
      </c>
      <c r="R23" s="957">
        <v>0</v>
      </c>
      <c r="S23" s="957">
        <v>0</v>
      </c>
      <c r="T23" s="957">
        <v>0</v>
      </c>
      <c r="U23" s="957"/>
      <c r="V23" s="957">
        <v>0</v>
      </c>
      <c r="W23" s="957"/>
      <c r="X23" s="957">
        <v>0</v>
      </c>
      <c r="Y23" s="957"/>
      <c r="Z23" s="957">
        <v>0</v>
      </c>
      <c r="AA23" s="957"/>
      <c r="AB23" s="957">
        <v>0</v>
      </c>
      <c r="AC23" s="957"/>
      <c r="AD23" s="957">
        <v>0</v>
      </c>
      <c r="AE23" s="958"/>
      <c r="AF23" s="182"/>
      <c r="AG23" s="175">
        <f t="shared" si="2"/>
        <v>0</v>
      </c>
    </row>
    <row r="24" spans="1:33" x14ac:dyDescent="0.3">
      <c r="A24" s="178" t="s">
        <v>221</v>
      </c>
      <c r="B24" s="953">
        <f>H24+J24+L24+N24+P24+R24+T24+V24+X24+Z24+AB24+AD24</f>
        <v>0</v>
      </c>
      <c r="C24" s="961">
        <v>0</v>
      </c>
      <c r="D24" s="961">
        <f>I24</f>
        <v>0</v>
      </c>
      <c r="E24" s="953">
        <v>0</v>
      </c>
      <c r="F24" s="959">
        <v>0</v>
      </c>
      <c r="G24" s="959">
        <v>0</v>
      </c>
      <c r="H24" s="953">
        <v>0</v>
      </c>
      <c r="I24" s="953">
        <v>0</v>
      </c>
      <c r="J24" s="953">
        <v>0</v>
      </c>
      <c r="K24" s="953">
        <v>0</v>
      </c>
      <c r="L24" s="953">
        <v>0</v>
      </c>
      <c r="M24" s="953">
        <v>0</v>
      </c>
      <c r="N24" s="953">
        <v>0</v>
      </c>
      <c r="O24" s="953">
        <v>0</v>
      </c>
      <c r="P24" s="953">
        <v>0</v>
      </c>
      <c r="Q24" s="953">
        <v>0</v>
      </c>
      <c r="R24" s="953">
        <v>0</v>
      </c>
      <c r="S24" s="953">
        <v>0</v>
      </c>
      <c r="T24" s="953">
        <v>0</v>
      </c>
      <c r="U24" s="953"/>
      <c r="V24" s="953">
        <v>0</v>
      </c>
      <c r="W24" s="953"/>
      <c r="X24" s="953">
        <v>0</v>
      </c>
      <c r="Y24" s="953"/>
      <c r="Z24" s="953">
        <v>0</v>
      </c>
      <c r="AA24" s="953"/>
      <c r="AB24" s="953">
        <v>0</v>
      </c>
      <c r="AC24" s="953"/>
      <c r="AD24" s="953">
        <v>0</v>
      </c>
      <c r="AE24" s="953"/>
      <c r="AF24" s="182"/>
      <c r="AG24" s="175">
        <f t="shared" si="2"/>
        <v>0</v>
      </c>
    </row>
    <row r="25" spans="1:33" s="177" customFormat="1" ht="120.75" customHeight="1" x14ac:dyDescent="0.3">
      <c r="A25" s="184" t="s">
        <v>224</v>
      </c>
      <c r="B25" s="953">
        <f>B26</f>
        <v>0</v>
      </c>
      <c r="C25" s="954">
        <f>C26</f>
        <v>0</v>
      </c>
      <c r="D25" s="954">
        <f>D26</f>
        <v>0</v>
      </c>
      <c r="E25" s="953">
        <f>E26</f>
        <v>0</v>
      </c>
      <c r="F25" s="960">
        <f>F26</f>
        <v>0</v>
      </c>
      <c r="G25" s="955">
        <v>0</v>
      </c>
      <c r="H25" s="953">
        <f t="shared" ref="H25:T25" si="5">H26</f>
        <v>0</v>
      </c>
      <c r="I25" s="953">
        <f t="shared" si="5"/>
        <v>0</v>
      </c>
      <c r="J25" s="953">
        <f t="shared" si="5"/>
        <v>0</v>
      </c>
      <c r="K25" s="953">
        <f t="shared" si="5"/>
        <v>0</v>
      </c>
      <c r="L25" s="953">
        <f t="shared" si="5"/>
        <v>0</v>
      </c>
      <c r="M25" s="956">
        <f t="shared" si="5"/>
        <v>0</v>
      </c>
      <c r="N25" s="953">
        <f t="shared" si="5"/>
        <v>0</v>
      </c>
      <c r="O25" s="956">
        <f t="shared" si="5"/>
        <v>0</v>
      </c>
      <c r="P25" s="953">
        <f t="shared" si="5"/>
        <v>0</v>
      </c>
      <c r="Q25" s="956">
        <f t="shared" si="5"/>
        <v>0</v>
      </c>
      <c r="R25" s="953">
        <f t="shared" si="5"/>
        <v>0</v>
      </c>
      <c r="S25" s="956">
        <f t="shared" si="5"/>
        <v>0</v>
      </c>
      <c r="T25" s="953">
        <f t="shared" si="5"/>
        <v>0</v>
      </c>
      <c r="U25" s="957"/>
      <c r="V25" s="953">
        <f>V26</f>
        <v>0</v>
      </c>
      <c r="W25" s="957"/>
      <c r="X25" s="953">
        <f>X26</f>
        <v>0</v>
      </c>
      <c r="Y25" s="957"/>
      <c r="Z25" s="953">
        <f>Z26</f>
        <v>0</v>
      </c>
      <c r="AA25" s="957"/>
      <c r="AB25" s="953">
        <f>AB26</f>
        <v>0</v>
      </c>
      <c r="AC25" s="957"/>
      <c r="AD25" s="953">
        <f>AD26</f>
        <v>0</v>
      </c>
      <c r="AE25" s="958"/>
      <c r="AF25" s="174"/>
      <c r="AG25" s="175">
        <f t="shared" si="2"/>
        <v>0</v>
      </c>
    </row>
    <row r="26" spans="1:33" s="177" customFormat="1" x14ac:dyDescent="0.3">
      <c r="A26" s="176" t="s">
        <v>31</v>
      </c>
      <c r="B26" s="953">
        <f t="shared" ref="B26:T26" si="6">B27+B28+B29+B30</f>
        <v>0</v>
      </c>
      <c r="C26" s="953">
        <f t="shared" si="6"/>
        <v>0</v>
      </c>
      <c r="D26" s="953">
        <f t="shared" si="6"/>
        <v>0</v>
      </c>
      <c r="E26" s="953">
        <f t="shared" si="6"/>
        <v>0</v>
      </c>
      <c r="F26" s="959">
        <f t="shared" si="6"/>
        <v>0</v>
      </c>
      <c r="G26" s="959">
        <f t="shared" si="6"/>
        <v>0</v>
      </c>
      <c r="H26" s="953">
        <f t="shared" si="6"/>
        <v>0</v>
      </c>
      <c r="I26" s="953">
        <f t="shared" si="6"/>
        <v>0</v>
      </c>
      <c r="J26" s="953">
        <f t="shared" si="6"/>
        <v>0</v>
      </c>
      <c r="K26" s="953">
        <f t="shared" si="6"/>
        <v>0</v>
      </c>
      <c r="L26" s="953">
        <f t="shared" si="6"/>
        <v>0</v>
      </c>
      <c r="M26" s="953">
        <f t="shared" si="6"/>
        <v>0</v>
      </c>
      <c r="N26" s="953">
        <f t="shared" si="6"/>
        <v>0</v>
      </c>
      <c r="O26" s="953">
        <f t="shared" si="6"/>
        <v>0</v>
      </c>
      <c r="P26" s="953">
        <f t="shared" si="6"/>
        <v>0</v>
      </c>
      <c r="Q26" s="953">
        <f t="shared" si="6"/>
        <v>0</v>
      </c>
      <c r="R26" s="953">
        <f t="shared" si="6"/>
        <v>0</v>
      </c>
      <c r="S26" s="953">
        <f t="shared" si="6"/>
        <v>0</v>
      </c>
      <c r="T26" s="953">
        <f t="shared" si="6"/>
        <v>0</v>
      </c>
      <c r="U26" s="953"/>
      <c r="V26" s="953">
        <f>V27+V28+V29+V30</f>
        <v>0</v>
      </c>
      <c r="W26" s="953"/>
      <c r="X26" s="953">
        <f>X27+X28+X29+X30</f>
        <v>0</v>
      </c>
      <c r="Y26" s="953"/>
      <c r="Z26" s="953">
        <f>Z27+Z28+Z29+Z30</f>
        <v>0</v>
      </c>
      <c r="AA26" s="953"/>
      <c r="AB26" s="953">
        <f>AB27+AB28+AB29+AB30</f>
        <v>0</v>
      </c>
      <c r="AC26" s="953"/>
      <c r="AD26" s="953">
        <f>AD27+AD28+AD29+AD30</f>
        <v>0</v>
      </c>
      <c r="AE26" s="953"/>
      <c r="AF26" s="174"/>
      <c r="AG26" s="175">
        <f t="shared" si="2"/>
        <v>0</v>
      </c>
    </row>
    <row r="27" spans="1:33" x14ac:dyDescent="0.3">
      <c r="A27" s="178" t="s">
        <v>169</v>
      </c>
      <c r="B27" s="953">
        <f>H27+J27+L27+N27+P27+R27+T27+V27+X27+Z27+AB27+AD27</f>
        <v>0</v>
      </c>
      <c r="C27" s="961">
        <v>0</v>
      </c>
      <c r="D27" s="961">
        <f>I27</f>
        <v>0</v>
      </c>
      <c r="E27" s="953">
        <v>0</v>
      </c>
      <c r="F27" s="959">
        <v>0</v>
      </c>
      <c r="G27" s="959">
        <v>0</v>
      </c>
      <c r="H27" s="953">
        <v>0</v>
      </c>
      <c r="I27" s="953">
        <v>0</v>
      </c>
      <c r="J27" s="953">
        <v>0</v>
      </c>
      <c r="K27" s="953">
        <v>0</v>
      </c>
      <c r="L27" s="953">
        <v>0</v>
      </c>
      <c r="M27" s="953">
        <v>0</v>
      </c>
      <c r="N27" s="953">
        <v>0</v>
      </c>
      <c r="O27" s="953">
        <v>0</v>
      </c>
      <c r="P27" s="953">
        <v>0</v>
      </c>
      <c r="Q27" s="953">
        <v>0</v>
      </c>
      <c r="R27" s="953">
        <v>0</v>
      </c>
      <c r="S27" s="953">
        <v>0</v>
      </c>
      <c r="T27" s="953">
        <v>0</v>
      </c>
      <c r="U27" s="953"/>
      <c r="V27" s="953">
        <v>0</v>
      </c>
      <c r="W27" s="953"/>
      <c r="X27" s="953">
        <v>0</v>
      </c>
      <c r="Y27" s="953"/>
      <c r="Z27" s="953">
        <v>0</v>
      </c>
      <c r="AA27" s="953"/>
      <c r="AB27" s="953">
        <v>0</v>
      </c>
      <c r="AC27" s="953"/>
      <c r="AD27" s="953">
        <v>0</v>
      </c>
      <c r="AE27" s="953"/>
      <c r="AF27" s="182"/>
      <c r="AG27" s="175">
        <f t="shared" si="2"/>
        <v>0</v>
      </c>
    </row>
    <row r="28" spans="1:33" x14ac:dyDescent="0.3">
      <c r="A28" s="178" t="s">
        <v>32</v>
      </c>
      <c r="B28" s="953">
        <f>H28+J28+L28+N28+P28+R28+T28+V28+X28+Z28+AB28+AD28</f>
        <v>0</v>
      </c>
      <c r="C28" s="961">
        <v>0</v>
      </c>
      <c r="D28" s="961">
        <f>I28</f>
        <v>0</v>
      </c>
      <c r="E28" s="953">
        <v>0</v>
      </c>
      <c r="F28" s="959">
        <v>0</v>
      </c>
      <c r="G28" s="959">
        <v>0</v>
      </c>
      <c r="H28" s="953">
        <v>0</v>
      </c>
      <c r="I28" s="953">
        <v>0</v>
      </c>
      <c r="J28" s="953">
        <v>0</v>
      </c>
      <c r="K28" s="953">
        <v>0</v>
      </c>
      <c r="L28" s="953">
        <v>0</v>
      </c>
      <c r="M28" s="953">
        <v>0</v>
      </c>
      <c r="N28" s="953">
        <v>0</v>
      </c>
      <c r="O28" s="953">
        <v>0</v>
      </c>
      <c r="P28" s="953">
        <v>0</v>
      </c>
      <c r="Q28" s="953">
        <v>0</v>
      </c>
      <c r="R28" s="953">
        <v>0</v>
      </c>
      <c r="S28" s="953">
        <v>0</v>
      </c>
      <c r="T28" s="953">
        <v>0</v>
      </c>
      <c r="U28" s="953"/>
      <c r="V28" s="953">
        <v>0</v>
      </c>
      <c r="W28" s="953"/>
      <c r="X28" s="953">
        <v>0</v>
      </c>
      <c r="Y28" s="953"/>
      <c r="Z28" s="953">
        <v>0</v>
      </c>
      <c r="AA28" s="953"/>
      <c r="AB28" s="953">
        <v>0</v>
      </c>
      <c r="AC28" s="953"/>
      <c r="AD28" s="953">
        <v>0</v>
      </c>
      <c r="AE28" s="953"/>
      <c r="AF28" s="182"/>
      <c r="AG28" s="175">
        <f t="shared" si="2"/>
        <v>0</v>
      </c>
    </row>
    <row r="29" spans="1:33" x14ac:dyDescent="0.3">
      <c r="A29" s="178" t="s">
        <v>33</v>
      </c>
      <c r="B29" s="953">
        <f>H29+J29+L29+N29+P29+R29+T29+V29+X29+Z29+AB29+AD29</f>
        <v>0</v>
      </c>
      <c r="C29" s="954">
        <f>H29+J29+L29+N29+P29+R29</f>
        <v>0</v>
      </c>
      <c r="D29" s="954">
        <f>E29</f>
        <v>0</v>
      </c>
      <c r="E29" s="957">
        <f>I29+K29+M29+O29+Q29+S29</f>
        <v>0</v>
      </c>
      <c r="F29" s="955">
        <v>0</v>
      </c>
      <c r="G29" s="955">
        <v>0</v>
      </c>
      <c r="H29" s="957">
        <v>0</v>
      </c>
      <c r="I29" s="957">
        <v>0</v>
      </c>
      <c r="J29" s="957">
        <v>0</v>
      </c>
      <c r="K29" s="957">
        <v>0</v>
      </c>
      <c r="L29" s="957">
        <v>0</v>
      </c>
      <c r="M29" s="957">
        <v>0</v>
      </c>
      <c r="N29" s="957">
        <v>0</v>
      </c>
      <c r="O29" s="957">
        <v>0</v>
      </c>
      <c r="P29" s="957">
        <v>0</v>
      </c>
      <c r="Q29" s="957">
        <v>0</v>
      </c>
      <c r="R29" s="957">
        <v>0</v>
      </c>
      <c r="S29" s="957">
        <v>0</v>
      </c>
      <c r="T29" s="957">
        <v>0</v>
      </c>
      <c r="U29" s="957"/>
      <c r="V29" s="957">
        <v>0</v>
      </c>
      <c r="W29" s="957"/>
      <c r="X29" s="957">
        <v>0</v>
      </c>
      <c r="Y29" s="957"/>
      <c r="Z29" s="957">
        <v>0</v>
      </c>
      <c r="AA29" s="957"/>
      <c r="AB29" s="957">
        <v>0</v>
      </c>
      <c r="AC29" s="957"/>
      <c r="AD29" s="957">
        <v>0</v>
      </c>
      <c r="AE29" s="958"/>
      <c r="AF29" s="182"/>
      <c r="AG29" s="175">
        <f t="shared" si="2"/>
        <v>0</v>
      </c>
    </row>
    <row r="30" spans="1:33" x14ac:dyDescent="0.3">
      <c r="A30" s="178" t="s">
        <v>221</v>
      </c>
      <c r="B30" s="953">
        <f>H30+J30+L30+N30+P30+R30+T30+V30+X30+Z30+AB30+AD30</f>
        <v>0</v>
      </c>
      <c r="C30" s="961">
        <v>0</v>
      </c>
      <c r="D30" s="961">
        <f>I30</f>
        <v>0</v>
      </c>
      <c r="E30" s="953">
        <v>0</v>
      </c>
      <c r="F30" s="959">
        <v>0</v>
      </c>
      <c r="G30" s="959">
        <v>0</v>
      </c>
      <c r="H30" s="953">
        <v>0</v>
      </c>
      <c r="I30" s="953">
        <v>0</v>
      </c>
      <c r="J30" s="953">
        <v>0</v>
      </c>
      <c r="K30" s="953">
        <v>0</v>
      </c>
      <c r="L30" s="953">
        <v>0</v>
      </c>
      <c r="M30" s="953">
        <v>0</v>
      </c>
      <c r="N30" s="953">
        <v>0</v>
      </c>
      <c r="O30" s="953">
        <v>0</v>
      </c>
      <c r="P30" s="953">
        <v>0</v>
      </c>
      <c r="Q30" s="953">
        <v>0</v>
      </c>
      <c r="R30" s="953">
        <v>0</v>
      </c>
      <c r="S30" s="953">
        <v>0</v>
      </c>
      <c r="T30" s="953">
        <v>0</v>
      </c>
      <c r="U30" s="953"/>
      <c r="V30" s="953">
        <v>0</v>
      </c>
      <c r="W30" s="953"/>
      <c r="X30" s="953">
        <v>0</v>
      </c>
      <c r="Y30" s="953"/>
      <c r="Z30" s="953">
        <v>0</v>
      </c>
      <c r="AA30" s="953"/>
      <c r="AB30" s="953">
        <v>0</v>
      </c>
      <c r="AC30" s="953"/>
      <c r="AD30" s="953">
        <v>0</v>
      </c>
      <c r="AE30" s="953"/>
      <c r="AF30" s="182"/>
      <c r="AG30" s="175">
        <f t="shared" si="2"/>
        <v>0</v>
      </c>
    </row>
    <row r="31" spans="1:33" s="177" customFormat="1" ht="75" x14ac:dyDescent="0.3">
      <c r="A31" s="98" t="s">
        <v>225</v>
      </c>
      <c r="B31" s="962">
        <f>B32</f>
        <v>29265.200000000004</v>
      </c>
      <c r="C31" s="962">
        <f>C32</f>
        <v>14238.017289999998</v>
      </c>
      <c r="D31" s="962">
        <f t="shared" ref="D31:D69" si="7">E31</f>
        <v>10010.736859999999</v>
      </c>
      <c r="E31" s="962">
        <f t="shared" ref="E31:T31" si="8">E32</f>
        <v>10010.736859999999</v>
      </c>
      <c r="F31" s="963">
        <f t="shared" si="8"/>
        <v>34.206965474351783</v>
      </c>
      <c r="G31" s="963">
        <f t="shared" si="8"/>
        <v>70.309908016694095</v>
      </c>
      <c r="H31" s="962">
        <f t="shared" si="8"/>
        <v>3073.6245900000004</v>
      </c>
      <c r="I31" s="962">
        <f t="shared" si="8"/>
        <v>1817.1268499999999</v>
      </c>
      <c r="J31" s="962">
        <f t="shared" si="8"/>
        <v>2315.8159999999998</v>
      </c>
      <c r="K31" s="962">
        <f t="shared" si="8"/>
        <v>929.90039000000002</v>
      </c>
      <c r="L31" s="962">
        <f t="shared" si="8"/>
        <v>1084.066</v>
      </c>
      <c r="M31" s="962">
        <f t="shared" si="8"/>
        <v>1133.05394</v>
      </c>
      <c r="N31" s="962">
        <f t="shared" si="8"/>
        <v>4989.3769999999995</v>
      </c>
      <c r="O31" s="962">
        <f t="shared" si="8"/>
        <v>2345.4966799999997</v>
      </c>
      <c r="P31" s="962">
        <f t="shared" si="8"/>
        <v>1006.87754</v>
      </c>
      <c r="Q31" s="962">
        <f t="shared" si="8"/>
        <v>1731.4560100000001</v>
      </c>
      <c r="R31" s="962">
        <f t="shared" si="8"/>
        <v>1768.2561600000001</v>
      </c>
      <c r="S31" s="962">
        <f t="shared" si="8"/>
        <v>2053.7029899999998</v>
      </c>
      <c r="T31" s="962">
        <f t="shared" si="8"/>
        <v>5180.6328299999996</v>
      </c>
      <c r="U31" s="962"/>
      <c r="V31" s="962">
        <f>V32</f>
        <v>748.96600000000001</v>
      </c>
      <c r="W31" s="962"/>
      <c r="X31" s="962">
        <f>X32</f>
        <v>838.96600000000001</v>
      </c>
      <c r="Y31" s="962"/>
      <c r="Z31" s="962">
        <f>Z32</f>
        <v>2460.9410000000003</v>
      </c>
      <c r="AA31" s="962"/>
      <c r="AB31" s="962">
        <f>AB32</f>
        <v>784.96600000000001</v>
      </c>
      <c r="AC31" s="962"/>
      <c r="AD31" s="962">
        <f>AD32</f>
        <v>5012.7108799999996</v>
      </c>
      <c r="AE31" s="962"/>
      <c r="AF31" s="186"/>
      <c r="AG31" s="175">
        <f t="shared" si="2"/>
        <v>0</v>
      </c>
    </row>
    <row r="32" spans="1:33" s="177" customFormat="1" x14ac:dyDescent="0.3">
      <c r="A32" s="187" t="s">
        <v>31</v>
      </c>
      <c r="B32" s="962">
        <f>B33+B34+B35+B36</f>
        <v>29265.200000000004</v>
      </c>
      <c r="C32" s="962">
        <f>C33+C34+C35+C36</f>
        <v>14238.017289999998</v>
      </c>
      <c r="D32" s="962">
        <f t="shared" si="7"/>
        <v>10010.736859999999</v>
      </c>
      <c r="E32" s="962">
        <f>E33+E34+E35+E36</f>
        <v>10010.736859999999</v>
      </c>
      <c r="F32" s="959">
        <f>F33+F34+F35+F36</f>
        <v>34.206965474351783</v>
      </c>
      <c r="G32" s="959">
        <f>E32/C32*100</f>
        <v>70.309908016694095</v>
      </c>
      <c r="H32" s="962">
        <f t="shared" ref="H32:T32" si="9">H33+H34+H35+H36</f>
        <v>3073.6245900000004</v>
      </c>
      <c r="I32" s="962">
        <f t="shared" si="9"/>
        <v>1817.1268499999999</v>
      </c>
      <c r="J32" s="962">
        <f t="shared" si="9"/>
        <v>2315.8159999999998</v>
      </c>
      <c r="K32" s="962">
        <f t="shared" si="9"/>
        <v>929.90039000000002</v>
      </c>
      <c r="L32" s="962">
        <f t="shared" si="9"/>
        <v>1084.066</v>
      </c>
      <c r="M32" s="962">
        <f t="shared" si="9"/>
        <v>1133.05394</v>
      </c>
      <c r="N32" s="962">
        <f t="shared" si="9"/>
        <v>4989.3769999999995</v>
      </c>
      <c r="O32" s="962">
        <f t="shared" si="9"/>
        <v>2345.4966799999997</v>
      </c>
      <c r="P32" s="962">
        <f t="shared" si="9"/>
        <v>1006.87754</v>
      </c>
      <c r="Q32" s="962">
        <f t="shared" si="9"/>
        <v>1731.4560100000001</v>
      </c>
      <c r="R32" s="962">
        <f t="shared" si="9"/>
        <v>1768.2561600000001</v>
      </c>
      <c r="S32" s="962">
        <f t="shared" si="9"/>
        <v>2053.7029899999998</v>
      </c>
      <c r="T32" s="962">
        <f t="shared" si="9"/>
        <v>5180.6328299999996</v>
      </c>
      <c r="U32" s="962"/>
      <c r="V32" s="962">
        <f>V33+V34+V35+V36</f>
        <v>748.96600000000001</v>
      </c>
      <c r="W32" s="962"/>
      <c r="X32" s="962">
        <f>X33+X34+X35+X36</f>
        <v>838.96600000000001</v>
      </c>
      <c r="Y32" s="962"/>
      <c r="Z32" s="962">
        <f>Z33+Z34+Z35+Z36</f>
        <v>2460.9410000000003</v>
      </c>
      <c r="AA32" s="962"/>
      <c r="AB32" s="962">
        <f>AB33+AB34+AB35+AB36</f>
        <v>784.96600000000001</v>
      </c>
      <c r="AC32" s="962"/>
      <c r="AD32" s="962">
        <f>AD33+AD34+AD35+AD36</f>
        <v>5012.7108799999996</v>
      </c>
      <c r="AE32" s="962"/>
      <c r="AF32" s="188"/>
      <c r="AG32" s="175">
        <f t="shared" si="2"/>
        <v>0</v>
      </c>
    </row>
    <row r="33" spans="1:33" x14ac:dyDescent="0.3">
      <c r="A33" s="178" t="s">
        <v>169</v>
      </c>
      <c r="B33" s="962">
        <f t="shared" ref="B33:C36" si="10">B39+B45+B51+B57</f>
        <v>0</v>
      </c>
      <c r="C33" s="962">
        <f t="shared" si="10"/>
        <v>0</v>
      </c>
      <c r="D33" s="962">
        <f t="shared" si="7"/>
        <v>0</v>
      </c>
      <c r="E33" s="962">
        <f>E39+E45+E51+E57</f>
        <v>0</v>
      </c>
      <c r="F33" s="959">
        <v>0</v>
      </c>
      <c r="G33" s="959">
        <v>0</v>
      </c>
      <c r="H33" s="962">
        <f t="shared" ref="H33:T33" si="11">H39+H45+H51+H57</f>
        <v>0</v>
      </c>
      <c r="I33" s="962">
        <f t="shared" si="11"/>
        <v>0</v>
      </c>
      <c r="J33" s="962">
        <f t="shared" si="11"/>
        <v>0</v>
      </c>
      <c r="K33" s="962">
        <f t="shared" si="11"/>
        <v>0</v>
      </c>
      <c r="L33" s="962">
        <f t="shared" si="11"/>
        <v>0</v>
      </c>
      <c r="M33" s="962">
        <f t="shared" si="11"/>
        <v>0</v>
      </c>
      <c r="N33" s="962">
        <f t="shared" si="11"/>
        <v>0</v>
      </c>
      <c r="O33" s="962">
        <f t="shared" si="11"/>
        <v>0</v>
      </c>
      <c r="P33" s="962">
        <f t="shared" si="11"/>
        <v>0</v>
      </c>
      <c r="Q33" s="962">
        <f t="shared" si="11"/>
        <v>0</v>
      </c>
      <c r="R33" s="962">
        <f t="shared" si="11"/>
        <v>0</v>
      </c>
      <c r="S33" s="962">
        <f t="shared" si="11"/>
        <v>0</v>
      </c>
      <c r="T33" s="962">
        <f t="shared" si="11"/>
        <v>0</v>
      </c>
      <c r="U33" s="962"/>
      <c r="V33" s="962">
        <f>V39+V45+V51+V57</f>
        <v>0</v>
      </c>
      <c r="W33" s="962"/>
      <c r="X33" s="962">
        <f>X39+X45+X51+X57</f>
        <v>0</v>
      </c>
      <c r="Y33" s="962"/>
      <c r="Z33" s="962">
        <f>Z39+Z45+Z51+Z57</f>
        <v>0</v>
      </c>
      <c r="AA33" s="962"/>
      <c r="AB33" s="962">
        <f>AB39+AB45+AB51+AB57</f>
        <v>0</v>
      </c>
      <c r="AC33" s="962"/>
      <c r="AD33" s="962">
        <f>AD39+AD45+AD51+AD57</f>
        <v>0</v>
      </c>
      <c r="AE33" s="962"/>
      <c r="AF33" s="189"/>
      <c r="AG33" s="175">
        <f t="shared" si="2"/>
        <v>0</v>
      </c>
    </row>
    <row r="34" spans="1:33" x14ac:dyDescent="0.3">
      <c r="A34" s="178" t="s">
        <v>32</v>
      </c>
      <c r="B34" s="962">
        <f t="shared" si="10"/>
        <v>0</v>
      </c>
      <c r="C34" s="962">
        <f t="shared" si="10"/>
        <v>0</v>
      </c>
      <c r="D34" s="962">
        <f t="shared" si="7"/>
        <v>0</v>
      </c>
      <c r="E34" s="962">
        <f>E40+E46+E52+E58</f>
        <v>0</v>
      </c>
      <c r="F34" s="959">
        <v>0</v>
      </c>
      <c r="G34" s="959">
        <v>0</v>
      </c>
      <c r="H34" s="962">
        <f t="shared" ref="H34:T34" si="12">H40+H46+H52+H58</f>
        <v>0</v>
      </c>
      <c r="I34" s="962">
        <f t="shared" si="12"/>
        <v>0</v>
      </c>
      <c r="J34" s="962">
        <f t="shared" si="12"/>
        <v>0</v>
      </c>
      <c r="K34" s="962">
        <f t="shared" si="12"/>
        <v>0</v>
      </c>
      <c r="L34" s="962">
        <f t="shared" si="12"/>
        <v>0</v>
      </c>
      <c r="M34" s="962">
        <f t="shared" si="12"/>
        <v>0</v>
      </c>
      <c r="N34" s="962">
        <f t="shared" si="12"/>
        <v>0</v>
      </c>
      <c r="O34" s="962">
        <f t="shared" si="12"/>
        <v>0</v>
      </c>
      <c r="P34" s="962">
        <f t="shared" si="12"/>
        <v>0</v>
      </c>
      <c r="Q34" s="962">
        <f t="shared" si="12"/>
        <v>0</v>
      </c>
      <c r="R34" s="962">
        <f t="shared" si="12"/>
        <v>0</v>
      </c>
      <c r="S34" s="962">
        <f t="shared" si="12"/>
        <v>0</v>
      </c>
      <c r="T34" s="962">
        <f t="shared" si="12"/>
        <v>0</v>
      </c>
      <c r="U34" s="962"/>
      <c r="V34" s="962">
        <f>V40+V46+V52+V58</f>
        <v>0</v>
      </c>
      <c r="W34" s="962"/>
      <c r="X34" s="962">
        <f>X40+X46+X52+X58</f>
        <v>0</v>
      </c>
      <c r="Y34" s="962"/>
      <c r="Z34" s="962">
        <f>Z40+Z46+Z52+Z58</f>
        <v>0</v>
      </c>
      <c r="AA34" s="962"/>
      <c r="AB34" s="962">
        <f>AB40+AB46+AB52+AB58</f>
        <v>0</v>
      </c>
      <c r="AC34" s="962"/>
      <c r="AD34" s="962">
        <f>AD40+AD46+AD52+AD58</f>
        <v>0</v>
      </c>
      <c r="AE34" s="962"/>
      <c r="AF34" s="189"/>
      <c r="AG34" s="175">
        <f t="shared" si="2"/>
        <v>0</v>
      </c>
    </row>
    <row r="35" spans="1:33" x14ac:dyDescent="0.3">
      <c r="A35" s="178" t="s">
        <v>33</v>
      </c>
      <c r="B35" s="962">
        <f t="shared" si="10"/>
        <v>29265.200000000004</v>
      </c>
      <c r="C35" s="962">
        <f t="shared" si="10"/>
        <v>14238.017289999998</v>
      </c>
      <c r="D35" s="962">
        <f t="shared" si="7"/>
        <v>10010.736859999999</v>
      </c>
      <c r="E35" s="962">
        <f>E41+E47+E53+E59</f>
        <v>10010.736859999999</v>
      </c>
      <c r="F35" s="959">
        <f>E35/B35*100</f>
        <v>34.206965474351783</v>
      </c>
      <c r="G35" s="959">
        <f>E35/C35*100</f>
        <v>70.309908016694095</v>
      </c>
      <c r="H35" s="962">
        <f t="shared" ref="H35:T35" si="13">H41+H47+H53+H59</f>
        <v>3073.6245900000004</v>
      </c>
      <c r="I35" s="962">
        <f t="shared" si="13"/>
        <v>1817.1268499999999</v>
      </c>
      <c r="J35" s="962">
        <f t="shared" si="13"/>
        <v>2315.8159999999998</v>
      </c>
      <c r="K35" s="962">
        <f t="shared" si="13"/>
        <v>929.90039000000002</v>
      </c>
      <c r="L35" s="962">
        <f t="shared" si="13"/>
        <v>1084.066</v>
      </c>
      <c r="M35" s="962">
        <f t="shared" si="13"/>
        <v>1133.05394</v>
      </c>
      <c r="N35" s="962">
        <f t="shared" si="13"/>
        <v>4989.3769999999995</v>
      </c>
      <c r="O35" s="962">
        <f t="shared" si="13"/>
        <v>2345.4966799999997</v>
      </c>
      <c r="P35" s="962">
        <f t="shared" si="13"/>
        <v>1006.87754</v>
      </c>
      <c r="Q35" s="962">
        <f t="shared" si="13"/>
        <v>1731.4560100000001</v>
      </c>
      <c r="R35" s="962">
        <f t="shared" si="13"/>
        <v>1768.2561600000001</v>
      </c>
      <c r="S35" s="962">
        <f t="shared" si="13"/>
        <v>2053.7029899999998</v>
      </c>
      <c r="T35" s="962">
        <f t="shared" si="13"/>
        <v>5180.6328299999996</v>
      </c>
      <c r="U35" s="962"/>
      <c r="V35" s="962">
        <f>V41+V47+V53+V59</f>
        <v>748.96600000000001</v>
      </c>
      <c r="W35" s="962"/>
      <c r="X35" s="962">
        <f>X41+X47+X53+X59</f>
        <v>838.96600000000001</v>
      </c>
      <c r="Y35" s="962"/>
      <c r="Z35" s="962">
        <f>Z41+Z47+Z53+Z59</f>
        <v>2460.9410000000003</v>
      </c>
      <c r="AA35" s="962"/>
      <c r="AB35" s="962">
        <f>AB41+AB47+AB53+AB59</f>
        <v>784.96600000000001</v>
      </c>
      <c r="AC35" s="962"/>
      <c r="AD35" s="962">
        <f>AD41+AD47+AD53+AD59</f>
        <v>5012.7108799999996</v>
      </c>
      <c r="AE35" s="962"/>
      <c r="AF35" s="971"/>
      <c r="AG35" s="175">
        <f t="shared" si="2"/>
        <v>0</v>
      </c>
    </row>
    <row r="36" spans="1:33" x14ac:dyDescent="0.3">
      <c r="A36" s="178" t="s">
        <v>221</v>
      </c>
      <c r="B36" s="962">
        <f t="shared" si="10"/>
        <v>0</v>
      </c>
      <c r="C36" s="962">
        <f t="shared" si="10"/>
        <v>0</v>
      </c>
      <c r="D36" s="962">
        <f t="shared" si="7"/>
        <v>0</v>
      </c>
      <c r="E36" s="962">
        <f>E42+E48+E54+E60</f>
        <v>0</v>
      </c>
      <c r="F36" s="959">
        <v>0</v>
      </c>
      <c r="G36" s="959">
        <v>0</v>
      </c>
      <c r="H36" s="962">
        <f t="shared" ref="H36:P36" si="14">H42+H48+H54+H60</f>
        <v>0</v>
      </c>
      <c r="I36" s="962">
        <f t="shared" si="14"/>
        <v>0</v>
      </c>
      <c r="J36" s="962">
        <f t="shared" si="14"/>
        <v>0</v>
      </c>
      <c r="K36" s="962">
        <f t="shared" si="14"/>
        <v>0</v>
      </c>
      <c r="L36" s="962">
        <f t="shared" si="14"/>
        <v>0</v>
      </c>
      <c r="M36" s="962">
        <f t="shared" si="14"/>
        <v>0</v>
      </c>
      <c r="N36" s="962">
        <f t="shared" si="14"/>
        <v>0</v>
      </c>
      <c r="O36" s="962">
        <f t="shared" si="14"/>
        <v>0</v>
      </c>
      <c r="P36" s="962">
        <f t="shared" si="14"/>
        <v>0</v>
      </c>
      <c r="Q36" s="962">
        <v>0</v>
      </c>
      <c r="R36" s="962">
        <f>R42+R48+R54+R60</f>
        <v>0</v>
      </c>
      <c r="S36" s="962">
        <f>S42+S48+S54+S60</f>
        <v>0</v>
      </c>
      <c r="T36" s="962">
        <f>T42+T48+T54+T60</f>
        <v>0</v>
      </c>
      <c r="U36" s="962"/>
      <c r="V36" s="962">
        <f>V42+V48+V54+V60</f>
        <v>0</v>
      </c>
      <c r="W36" s="962"/>
      <c r="X36" s="962">
        <f>X42+X48+X54+X60</f>
        <v>0</v>
      </c>
      <c r="Y36" s="962"/>
      <c r="Z36" s="962">
        <f>Z42+Z48+Z54+Z60</f>
        <v>0</v>
      </c>
      <c r="AA36" s="962"/>
      <c r="AB36" s="962">
        <f>AB42+AB48+AB54+AB60</f>
        <v>0</v>
      </c>
      <c r="AC36" s="962"/>
      <c r="AD36" s="962">
        <f>AD42+AD48+AD54+AD60</f>
        <v>0</v>
      </c>
      <c r="AE36" s="962"/>
      <c r="AF36" s="971"/>
      <c r="AG36" s="175">
        <f t="shared" si="2"/>
        <v>0</v>
      </c>
    </row>
    <row r="37" spans="1:33" ht="37.5" x14ac:dyDescent="0.3">
      <c r="A37" s="190" t="s">
        <v>226</v>
      </c>
      <c r="B37" s="953">
        <f>B38</f>
        <v>166.6</v>
      </c>
      <c r="C37" s="953">
        <f>C38</f>
        <v>89.333590000000001</v>
      </c>
      <c r="D37" s="953">
        <f t="shared" si="7"/>
        <v>89.329319999999996</v>
      </c>
      <c r="E37" s="957">
        <f>E38</f>
        <v>89.329319999999996</v>
      </c>
      <c r="F37" s="959">
        <f>E37/B37*100</f>
        <v>53.61903961584634</v>
      </c>
      <c r="G37" s="959">
        <f>E37/C37*100</f>
        <v>99.99522016298684</v>
      </c>
      <c r="H37" s="953">
        <f t="shared" ref="H37:T37" si="15">H38</f>
        <v>60.98359</v>
      </c>
      <c r="I37" s="957">
        <f t="shared" si="15"/>
        <v>59.389319999999998</v>
      </c>
      <c r="J37" s="953">
        <f t="shared" si="15"/>
        <v>28.35</v>
      </c>
      <c r="K37" s="953">
        <f t="shared" si="15"/>
        <v>29.94</v>
      </c>
      <c r="L37" s="953">
        <f t="shared" si="15"/>
        <v>0</v>
      </c>
      <c r="M37" s="956">
        <f t="shared" si="15"/>
        <v>0</v>
      </c>
      <c r="N37" s="953">
        <f t="shared" si="15"/>
        <v>0</v>
      </c>
      <c r="O37" s="956">
        <f t="shared" si="15"/>
        <v>0</v>
      </c>
      <c r="P37" s="953">
        <f t="shared" si="15"/>
        <v>0</v>
      </c>
      <c r="Q37" s="956">
        <f t="shared" si="15"/>
        <v>0</v>
      </c>
      <c r="R37" s="953">
        <f t="shared" si="15"/>
        <v>0</v>
      </c>
      <c r="S37" s="956">
        <f t="shared" si="15"/>
        <v>0</v>
      </c>
      <c r="T37" s="953">
        <f t="shared" si="15"/>
        <v>77.266409999999993</v>
      </c>
      <c r="U37" s="957"/>
      <c r="V37" s="953">
        <f>V38</f>
        <v>0</v>
      </c>
      <c r="W37" s="957"/>
      <c r="X37" s="953">
        <f>X38</f>
        <v>0</v>
      </c>
      <c r="Y37" s="957"/>
      <c r="Z37" s="953">
        <f>Z38</f>
        <v>0</v>
      </c>
      <c r="AA37" s="957"/>
      <c r="AB37" s="953">
        <f>AB38</f>
        <v>0</v>
      </c>
      <c r="AC37" s="957"/>
      <c r="AD37" s="953">
        <f>AD38</f>
        <v>0</v>
      </c>
      <c r="AE37" s="958"/>
      <c r="AF37" s="195"/>
      <c r="AG37" s="175">
        <f t="shared" si="2"/>
        <v>0</v>
      </c>
    </row>
    <row r="38" spans="1:33" s="177" customFormat="1" x14ac:dyDescent="0.3">
      <c r="A38" s="196" t="s">
        <v>31</v>
      </c>
      <c r="B38" s="953">
        <f>B39+B40+B41+B42</f>
        <v>166.6</v>
      </c>
      <c r="C38" s="953">
        <f>C39+C40+C41+C42</f>
        <v>89.333590000000001</v>
      </c>
      <c r="D38" s="953">
        <f t="shared" si="7"/>
        <v>89.329319999999996</v>
      </c>
      <c r="E38" s="953">
        <f>E39+E40+E41+E42</f>
        <v>89.329319999999996</v>
      </c>
      <c r="F38" s="959">
        <f>E38/B38*100</f>
        <v>53.61903961584634</v>
      </c>
      <c r="G38" s="959">
        <f>E38/C38*100</f>
        <v>99.99522016298684</v>
      </c>
      <c r="H38" s="953">
        <f t="shared" ref="H38:T38" si="16">H39+H40+H41+H42</f>
        <v>60.98359</v>
      </c>
      <c r="I38" s="953">
        <f t="shared" si="16"/>
        <v>59.389319999999998</v>
      </c>
      <c r="J38" s="953">
        <f t="shared" si="16"/>
        <v>28.35</v>
      </c>
      <c r="K38" s="953">
        <f t="shared" si="16"/>
        <v>29.94</v>
      </c>
      <c r="L38" s="953">
        <f t="shared" si="16"/>
        <v>0</v>
      </c>
      <c r="M38" s="953">
        <f t="shared" si="16"/>
        <v>0</v>
      </c>
      <c r="N38" s="953">
        <f t="shared" si="16"/>
        <v>0</v>
      </c>
      <c r="O38" s="953">
        <f t="shared" si="16"/>
        <v>0</v>
      </c>
      <c r="P38" s="953">
        <f t="shared" si="16"/>
        <v>0</v>
      </c>
      <c r="Q38" s="953">
        <f t="shared" si="16"/>
        <v>0</v>
      </c>
      <c r="R38" s="953">
        <f t="shared" si="16"/>
        <v>0</v>
      </c>
      <c r="S38" s="953">
        <f t="shared" si="16"/>
        <v>0</v>
      </c>
      <c r="T38" s="953">
        <f t="shared" si="16"/>
        <v>77.266409999999993</v>
      </c>
      <c r="U38" s="953"/>
      <c r="V38" s="953">
        <f>V39+V40+V41+V42</f>
        <v>0</v>
      </c>
      <c r="W38" s="953"/>
      <c r="X38" s="953">
        <f>X39+X40+X41+X42</f>
        <v>0</v>
      </c>
      <c r="Y38" s="953"/>
      <c r="Z38" s="953">
        <f>Z39+Z40+Z41+Z42</f>
        <v>0</v>
      </c>
      <c r="AA38" s="953"/>
      <c r="AB38" s="953">
        <f>AB39+AB40+AB41+AB42</f>
        <v>0</v>
      </c>
      <c r="AC38" s="953"/>
      <c r="AD38" s="953">
        <f>AD39+AD40+AD41+AD42</f>
        <v>0</v>
      </c>
      <c r="AE38" s="953"/>
      <c r="AF38" s="195"/>
      <c r="AG38" s="175">
        <f t="shared" si="2"/>
        <v>0</v>
      </c>
    </row>
    <row r="39" spans="1:33" x14ac:dyDescent="0.3">
      <c r="A39" s="199" t="s">
        <v>169</v>
      </c>
      <c r="B39" s="953">
        <f>H39+J39+L39+N39+P39+R39+T39+V39+X39+Z39+AB39+AD39</f>
        <v>0</v>
      </c>
      <c r="C39" s="953">
        <f>H39</f>
        <v>0</v>
      </c>
      <c r="D39" s="953">
        <f t="shared" si="7"/>
        <v>0</v>
      </c>
      <c r="E39" s="953">
        <v>0</v>
      </c>
      <c r="F39" s="959">
        <v>0</v>
      </c>
      <c r="G39" s="959">
        <v>0</v>
      </c>
      <c r="H39" s="953">
        <v>0</v>
      </c>
      <c r="I39" s="953">
        <v>0</v>
      </c>
      <c r="J39" s="953">
        <v>0</v>
      </c>
      <c r="K39" s="953">
        <v>0</v>
      </c>
      <c r="L39" s="953">
        <v>0</v>
      </c>
      <c r="M39" s="953">
        <v>0</v>
      </c>
      <c r="N39" s="953">
        <v>0</v>
      </c>
      <c r="O39" s="953">
        <v>0</v>
      </c>
      <c r="P39" s="953">
        <v>0</v>
      </c>
      <c r="Q39" s="953">
        <v>0</v>
      </c>
      <c r="R39" s="953">
        <v>0</v>
      </c>
      <c r="S39" s="953">
        <v>0</v>
      </c>
      <c r="T39" s="953">
        <v>0</v>
      </c>
      <c r="U39" s="953"/>
      <c r="V39" s="953">
        <v>0</v>
      </c>
      <c r="W39" s="953"/>
      <c r="X39" s="953">
        <v>0</v>
      </c>
      <c r="Y39" s="953"/>
      <c r="Z39" s="953">
        <v>0</v>
      </c>
      <c r="AA39" s="953"/>
      <c r="AB39" s="953">
        <v>0</v>
      </c>
      <c r="AC39" s="953"/>
      <c r="AD39" s="953">
        <v>0</v>
      </c>
      <c r="AE39" s="953"/>
      <c r="AF39" s="195"/>
      <c r="AG39" s="175">
        <f t="shared" si="2"/>
        <v>0</v>
      </c>
    </row>
    <row r="40" spans="1:33" x14ac:dyDescent="0.3">
      <c r="A40" s="199" t="s">
        <v>32</v>
      </c>
      <c r="B40" s="953">
        <f>H40+J40+L40+N40+P40+R40+T40+V40+X40+Z40+AB40+AD40</f>
        <v>0</v>
      </c>
      <c r="C40" s="953">
        <f>H40</f>
        <v>0</v>
      </c>
      <c r="D40" s="953">
        <f t="shared" si="7"/>
        <v>0</v>
      </c>
      <c r="E40" s="953">
        <v>0</v>
      </c>
      <c r="F40" s="959">
        <v>0</v>
      </c>
      <c r="G40" s="959">
        <v>0</v>
      </c>
      <c r="H40" s="953">
        <v>0</v>
      </c>
      <c r="I40" s="953">
        <v>0</v>
      </c>
      <c r="J40" s="953">
        <v>0</v>
      </c>
      <c r="K40" s="953">
        <v>0</v>
      </c>
      <c r="L40" s="953">
        <v>0</v>
      </c>
      <c r="M40" s="953">
        <v>0</v>
      </c>
      <c r="N40" s="953">
        <v>0</v>
      </c>
      <c r="O40" s="953">
        <v>0</v>
      </c>
      <c r="P40" s="953">
        <v>0</v>
      </c>
      <c r="Q40" s="953">
        <v>0</v>
      </c>
      <c r="R40" s="953">
        <v>0</v>
      </c>
      <c r="S40" s="953">
        <v>0</v>
      </c>
      <c r="T40" s="953">
        <v>0</v>
      </c>
      <c r="U40" s="953"/>
      <c r="V40" s="953">
        <v>0</v>
      </c>
      <c r="W40" s="953"/>
      <c r="X40" s="953">
        <v>0</v>
      </c>
      <c r="Y40" s="953"/>
      <c r="Z40" s="953">
        <v>0</v>
      </c>
      <c r="AA40" s="953"/>
      <c r="AB40" s="953">
        <v>0</v>
      </c>
      <c r="AC40" s="953"/>
      <c r="AD40" s="953">
        <v>0</v>
      </c>
      <c r="AE40" s="953"/>
      <c r="AF40" s="195"/>
      <c r="AG40" s="175">
        <f t="shared" si="2"/>
        <v>0</v>
      </c>
    </row>
    <row r="41" spans="1:33" x14ac:dyDescent="0.3">
      <c r="A41" s="199" t="s">
        <v>33</v>
      </c>
      <c r="B41" s="953">
        <f>H41+J41+L41+N41+P41+R41+T41+V41+X41+Z41+AB41+AD41</f>
        <v>166.6</v>
      </c>
      <c r="C41" s="954">
        <f>H41+J41+L41+N41+P41+R41</f>
        <v>89.333590000000001</v>
      </c>
      <c r="D41" s="954">
        <f t="shared" si="7"/>
        <v>89.329319999999996</v>
      </c>
      <c r="E41" s="957">
        <f>I41+K41+M41+O41+Q41+S41</f>
        <v>89.329319999999996</v>
      </c>
      <c r="F41" s="959">
        <f>E41/B41*100</f>
        <v>53.61903961584634</v>
      </c>
      <c r="G41" s="959">
        <f>E41/C41*100</f>
        <v>99.99522016298684</v>
      </c>
      <c r="H41" s="953">
        <v>60.98359</v>
      </c>
      <c r="I41" s="953">
        <v>59.389319999999998</v>
      </c>
      <c r="J41" s="953">
        <v>28.35</v>
      </c>
      <c r="K41" s="953">
        <v>29.94</v>
      </c>
      <c r="L41" s="953">
        <v>0</v>
      </c>
      <c r="M41" s="953">
        <v>0</v>
      </c>
      <c r="N41" s="953">
        <v>0</v>
      </c>
      <c r="O41" s="953">
        <v>0</v>
      </c>
      <c r="P41" s="953">
        <v>0</v>
      </c>
      <c r="Q41" s="953">
        <v>0</v>
      </c>
      <c r="R41" s="953">
        <v>0</v>
      </c>
      <c r="S41" s="953">
        <v>0</v>
      </c>
      <c r="T41" s="953">
        <v>77.266409999999993</v>
      </c>
      <c r="U41" s="953"/>
      <c r="V41" s="953">
        <v>0</v>
      </c>
      <c r="W41" s="953"/>
      <c r="X41" s="953">
        <v>0</v>
      </c>
      <c r="Y41" s="953"/>
      <c r="Z41" s="953">
        <v>0</v>
      </c>
      <c r="AA41" s="953"/>
      <c r="AB41" s="953">
        <v>0</v>
      </c>
      <c r="AC41" s="953"/>
      <c r="AD41" s="953">
        <v>0</v>
      </c>
      <c r="AE41" s="953"/>
      <c r="AF41" s="195"/>
      <c r="AG41" s="175">
        <f t="shared" si="2"/>
        <v>0</v>
      </c>
    </row>
    <row r="42" spans="1:33" x14ac:dyDescent="0.3">
      <c r="A42" s="199" t="s">
        <v>221</v>
      </c>
      <c r="B42" s="953">
        <f>H42+J42+L42+N42+P42+R42+T42+V42+X42+Z42+AB42+AD42</f>
        <v>0</v>
      </c>
      <c r="C42" s="953">
        <f>H42</f>
        <v>0</v>
      </c>
      <c r="D42" s="953">
        <f t="shared" si="7"/>
        <v>0</v>
      </c>
      <c r="E42" s="953">
        <v>0</v>
      </c>
      <c r="F42" s="959">
        <v>0</v>
      </c>
      <c r="G42" s="959">
        <v>0</v>
      </c>
      <c r="H42" s="953">
        <v>0</v>
      </c>
      <c r="I42" s="953">
        <v>0</v>
      </c>
      <c r="J42" s="953">
        <v>0</v>
      </c>
      <c r="K42" s="953">
        <v>0</v>
      </c>
      <c r="L42" s="953">
        <v>0</v>
      </c>
      <c r="M42" s="953">
        <v>0</v>
      </c>
      <c r="N42" s="953">
        <v>0</v>
      </c>
      <c r="O42" s="953">
        <v>0</v>
      </c>
      <c r="P42" s="953">
        <v>0</v>
      </c>
      <c r="Q42" s="953">
        <v>0</v>
      </c>
      <c r="R42" s="953">
        <v>0</v>
      </c>
      <c r="S42" s="953">
        <v>0</v>
      </c>
      <c r="T42" s="953">
        <v>0</v>
      </c>
      <c r="U42" s="953"/>
      <c r="V42" s="953">
        <v>0</v>
      </c>
      <c r="W42" s="953"/>
      <c r="X42" s="953">
        <v>0</v>
      </c>
      <c r="Y42" s="953"/>
      <c r="Z42" s="953">
        <v>0</v>
      </c>
      <c r="AA42" s="953"/>
      <c r="AB42" s="953">
        <v>0</v>
      </c>
      <c r="AC42" s="953"/>
      <c r="AD42" s="953">
        <v>0</v>
      </c>
      <c r="AE42" s="953"/>
      <c r="AF42" s="195"/>
      <c r="AG42" s="175">
        <f t="shared" si="2"/>
        <v>0</v>
      </c>
    </row>
    <row r="43" spans="1:33" ht="56.25" x14ac:dyDescent="0.3">
      <c r="A43" s="200" t="s">
        <v>227</v>
      </c>
      <c r="B43" s="953">
        <f>B44</f>
        <v>1799.6000000000001</v>
      </c>
      <c r="C43" s="953">
        <f>C44</f>
        <v>1470.596</v>
      </c>
      <c r="D43" s="953">
        <f t="shared" si="7"/>
        <v>1215.8235599999998</v>
      </c>
      <c r="E43" s="957">
        <f t="shared" ref="E43:T43" si="17">E44</f>
        <v>1215.8235599999998</v>
      </c>
      <c r="F43" s="959">
        <f t="shared" si="17"/>
        <v>67.560766837074894</v>
      </c>
      <c r="G43" s="959">
        <f t="shared" si="17"/>
        <v>82.675565553013868</v>
      </c>
      <c r="H43" s="953">
        <f t="shared" si="17"/>
        <v>341.666</v>
      </c>
      <c r="I43" s="957">
        <f t="shared" si="17"/>
        <v>320.78701999999998</v>
      </c>
      <c r="J43" s="953">
        <f t="shared" si="17"/>
        <v>75.465999999999994</v>
      </c>
      <c r="K43" s="953">
        <f t="shared" si="17"/>
        <v>89.850470000000001</v>
      </c>
      <c r="L43" s="953">
        <f t="shared" si="17"/>
        <v>287.96600000000001</v>
      </c>
      <c r="M43" s="956">
        <f t="shared" si="17"/>
        <v>181.53813</v>
      </c>
      <c r="N43" s="953">
        <f t="shared" si="17"/>
        <v>217.05199999999999</v>
      </c>
      <c r="O43" s="956">
        <f t="shared" si="17"/>
        <v>315.71589</v>
      </c>
      <c r="P43" s="953">
        <f t="shared" si="17"/>
        <v>171.68</v>
      </c>
      <c r="Q43" s="956">
        <f t="shared" si="17"/>
        <v>109.69092000000001</v>
      </c>
      <c r="R43" s="953">
        <f t="shared" si="17"/>
        <v>376.76600000000002</v>
      </c>
      <c r="S43" s="956">
        <f t="shared" si="17"/>
        <v>198.24113</v>
      </c>
      <c r="T43" s="953">
        <f t="shared" si="17"/>
        <v>49.066000000000003</v>
      </c>
      <c r="U43" s="957"/>
      <c r="V43" s="953">
        <f>V44</f>
        <v>49.066000000000003</v>
      </c>
      <c r="W43" s="957"/>
      <c r="X43" s="953">
        <f>X44</f>
        <v>89.066000000000003</v>
      </c>
      <c r="Y43" s="957"/>
      <c r="Z43" s="953">
        <f>Z44</f>
        <v>43.665999999999997</v>
      </c>
      <c r="AA43" s="957"/>
      <c r="AB43" s="953">
        <f>AB44</f>
        <v>63.066000000000003</v>
      </c>
      <c r="AC43" s="957"/>
      <c r="AD43" s="953">
        <f>AD44</f>
        <v>35.073999999999998</v>
      </c>
      <c r="AE43" s="958"/>
      <c r="AF43" s="195"/>
      <c r="AG43" s="175">
        <f t="shared" si="2"/>
        <v>0</v>
      </c>
    </row>
    <row r="44" spans="1:33" s="177" customFormat="1" x14ac:dyDescent="0.3">
      <c r="A44" s="196" t="s">
        <v>31</v>
      </c>
      <c r="B44" s="953">
        <f>B45+B46+B47+B48</f>
        <v>1799.6000000000001</v>
      </c>
      <c r="C44" s="953">
        <f>C45+C46+C47+C48</f>
        <v>1470.596</v>
      </c>
      <c r="D44" s="953">
        <f t="shared" si="7"/>
        <v>1215.8235599999998</v>
      </c>
      <c r="E44" s="953">
        <f>E45+E46+E47+E48</f>
        <v>1215.8235599999998</v>
      </c>
      <c r="F44" s="959">
        <f>F45+F46+F47+F48</f>
        <v>67.560766837074894</v>
      </c>
      <c r="G44" s="959">
        <f>E44/C44*100</f>
        <v>82.675565553013868</v>
      </c>
      <c r="H44" s="953">
        <f t="shared" ref="H44:T44" si="18">H45+H46+H47+H48</f>
        <v>341.666</v>
      </c>
      <c r="I44" s="953">
        <f t="shared" si="18"/>
        <v>320.78701999999998</v>
      </c>
      <c r="J44" s="953">
        <f t="shared" si="18"/>
        <v>75.465999999999994</v>
      </c>
      <c r="K44" s="953">
        <f t="shared" si="18"/>
        <v>89.850470000000001</v>
      </c>
      <c r="L44" s="953">
        <f t="shared" si="18"/>
        <v>287.96600000000001</v>
      </c>
      <c r="M44" s="953">
        <f t="shared" si="18"/>
        <v>181.53813</v>
      </c>
      <c r="N44" s="953">
        <f t="shared" si="18"/>
        <v>217.05199999999999</v>
      </c>
      <c r="O44" s="953">
        <f t="shared" si="18"/>
        <v>315.71589</v>
      </c>
      <c r="P44" s="953">
        <f t="shared" si="18"/>
        <v>171.68</v>
      </c>
      <c r="Q44" s="953">
        <f t="shared" si="18"/>
        <v>109.69092000000001</v>
      </c>
      <c r="R44" s="953">
        <f t="shared" si="18"/>
        <v>376.76600000000002</v>
      </c>
      <c r="S44" s="953">
        <f t="shared" si="18"/>
        <v>198.24113</v>
      </c>
      <c r="T44" s="953">
        <f t="shared" si="18"/>
        <v>49.066000000000003</v>
      </c>
      <c r="U44" s="953"/>
      <c r="V44" s="953">
        <f>V45+V46+V47+V48</f>
        <v>49.066000000000003</v>
      </c>
      <c r="W44" s="953"/>
      <c r="X44" s="953">
        <f>X45+X46+X47+X48</f>
        <v>89.066000000000003</v>
      </c>
      <c r="Y44" s="953"/>
      <c r="Z44" s="953">
        <f>Z45+Z46+Z47+Z48</f>
        <v>43.665999999999997</v>
      </c>
      <c r="AA44" s="953"/>
      <c r="AB44" s="953">
        <f>AB45+AB46+AB47+AB48</f>
        <v>63.066000000000003</v>
      </c>
      <c r="AC44" s="953"/>
      <c r="AD44" s="953">
        <f>AD45+AD46+AD47+AD48</f>
        <v>35.073999999999998</v>
      </c>
      <c r="AE44" s="953"/>
      <c r="AF44" s="195"/>
      <c r="AG44" s="175">
        <f t="shared" si="2"/>
        <v>0</v>
      </c>
    </row>
    <row r="45" spans="1:33" x14ac:dyDescent="0.3">
      <c r="A45" s="199" t="s">
        <v>169</v>
      </c>
      <c r="B45" s="953">
        <f>H45+J45+L45+N45+P45+R45+T45+V45+X45+Z45+AB45+AD45</f>
        <v>0</v>
      </c>
      <c r="C45" s="953">
        <f>H45</f>
        <v>0</v>
      </c>
      <c r="D45" s="953">
        <f t="shared" si="7"/>
        <v>0</v>
      </c>
      <c r="E45" s="953">
        <v>0</v>
      </c>
      <c r="F45" s="959">
        <v>0</v>
      </c>
      <c r="G45" s="959">
        <v>0</v>
      </c>
      <c r="H45" s="953">
        <v>0</v>
      </c>
      <c r="I45" s="953">
        <v>0</v>
      </c>
      <c r="J45" s="953">
        <v>0</v>
      </c>
      <c r="K45" s="953">
        <v>0</v>
      </c>
      <c r="L45" s="953">
        <v>0</v>
      </c>
      <c r="M45" s="953">
        <v>0</v>
      </c>
      <c r="N45" s="953">
        <v>0</v>
      </c>
      <c r="O45" s="953">
        <v>0</v>
      </c>
      <c r="P45" s="953">
        <v>0</v>
      </c>
      <c r="Q45" s="953">
        <v>0</v>
      </c>
      <c r="R45" s="953">
        <v>0</v>
      </c>
      <c r="S45" s="953">
        <v>0</v>
      </c>
      <c r="T45" s="953">
        <v>0</v>
      </c>
      <c r="U45" s="953"/>
      <c r="V45" s="953">
        <v>0</v>
      </c>
      <c r="W45" s="953"/>
      <c r="X45" s="953">
        <v>0</v>
      </c>
      <c r="Y45" s="953"/>
      <c r="Z45" s="953">
        <v>0</v>
      </c>
      <c r="AA45" s="953"/>
      <c r="AB45" s="953">
        <v>0</v>
      </c>
      <c r="AC45" s="953"/>
      <c r="AD45" s="953">
        <v>0</v>
      </c>
      <c r="AE45" s="953"/>
      <c r="AF45" s="195"/>
      <c r="AG45" s="175">
        <f t="shared" si="2"/>
        <v>0</v>
      </c>
    </row>
    <row r="46" spans="1:33" x14ac:dyDescent="0.3">
      <c r="A46" s="199" t="s">
        <v>32</v>
      </c>
      <c r="B46" s="953">
        <f>H46+J46+L46+N46+P46+R46+T46+V46+X46+Z46+AB46+AD46</f>
        <v>0</v>
      </c>
      <c r="C46" s="953">
        <f>H46</f>
        <v>0</v>
      </c>
      <c r="D46" s="953">
        <f t="shared" si="7"/>
        <v>0</v>
      </c>
      <c r="E46" s="953">
        <v>0</v>
      </c>
      <c r="F46" s="959">
        <v>0</v>
      </c>
      <c r="G46" s="959">
        <v>0</v>
      </c>
      <c r="H46" s="953">
        <v>0</v>
      </c>
      <c r="I46" s="953">
        <v>0</v>
      </c>
      <c r="J46" s="953">
        <v>0</v>
      </c>
      <c r="K46" s="953">
        <v>0</v>
      </c>
      <c r="L46" s="953">
        <v>0</v>
      </c>
      <c r="M46" s="953">
        <v>0</v>
      </c>
      <c r="N46" s="953">
        <v>0</v>
      </c>
      <c r="O46" s="953">
        <v>0</v>
      </c>
      <c r="P46" s="953">
        <v>0</v>
      </c>
      <c r="Q46" s="953">
        <v>0</v>
      </c>
      <c r="R46" s="953">
        <v>0</v>
      </c>
      <c r="S46" s="953">
        <v>0</v>
      </c>
      <c r="T46" s="953">
        <v>0</v>
      </c>
      <c r="U46" s="953"/>
      <c r="V46" s="953">
        <v>0</v>
      </c>
      <c r="W46" s="953"/>
      <c r="X46" s="953">
        <v>0</v>
      </c>
      <c r="Y46" s="953"/>
      <c r="Z46" s="953">
        <v>0</v>
      </c>
      <c r="AA46" s="953"/>
      <c r="AB46" s="953">
        <v>0</v>
      </c>
      <c r="AC46" s="953"/>
      <c r="AD46" s="953">
        <v>0</v>
      </c>
      <c r="AE46" s="953"/>
      <c r="AF46" s="195"/>
      <c r="AG46" s="175">
        <f t="shared" si="2"/>
        <v>0</v>
      </c>
    </row>
    <row r="47" spans="1:33" x14ac:dyDescent="0.3">
      <c r="A47" s="199" t="s">
        <v>33</v>
      </c>
      <c r="B47" s="953">
        <f>H47+J47+L47+N47+P47+R47+T47+V47+X47+Z47+AB47+AD47</f>
        <v>1799.6000000000001</v>
      </c>
      <c r="C47" s="954">
        <f>H47+J47+L47+N47+P47+R47</f>
        <v>1470.596</v>
      </c>
      <c r="D47" s="954">
        <f t="shared" si="7"/>
        <v>1215.8235599999998</v>
      </c>
      <c r="E47" s="957">
        <f>I47+K47+M47+O47+Q47+S47</f>
        <v>1215.8235599999998</v>
      </c>
      <c r="F47" s="959">
        <f>E47/B47*100</f>
        <v>67.560766837074894</v>
      </c>
      <c r="G47" s="959">
        <f>E47/C47*100</f>
        <v>82.675565553013868</v>
      </c>
      <c r="H47" s="953">
        <v>341.666</v>
      </c>
      <c r="I47" s="953">
        <v>320.78701999999998</v>
      </c>
      <c r="J47" s="953">
        <v>75.465999999999994</v>
      </c>
      <c r="K47" s="953">
        <v>89.850470000000001</v>
      </c>
      <c r="L47" s="953">
        <v>287.96600000000001</v>
      </c>
      <c r="M47" s="953">
        <v>181.53813</v>
      </c>
      <c r="N47" s="953">
        <v>217.05199999999999</v>
      </c>
      <c r="O47" s="953">
        <v>315.71589</v>
      </c>
      <c r="P47" s="953">
        <v>171.68</v>
      </c>
      <c r="Q47" s="953">
        <v>109.69092000000001</v>
      </c>
      <c r="R47" s="953">
        <v>376.76600000000002</v>
      </c>
      <c r="S47" s="953">
        <v>198.24113</v>
      </c>
      <c r="T47" s="953">
        <v>49.066000000000003</v>
      </c>
      <c r="U47" s="953"/>
      <c r="V47" s="953">
        <v>49.066000000000003</v>
      </c>
      <c r="W47" s="953"/>
      <c r="X47" s="953">
        <v>89.066000000000003</v>
      </c>
      <c r="Y47" s="953"/>
      <c r="Z47" s="953">
        <v>43.665999999999997</v>
      </c>
      <c r="AA47" s="953"/>
      <c r="AB47" s="953">
        <v>63.066000000000003</v>
      </c>
      <c r="AC47" s="953"/>
      <c r="AD47" s="953">
        <v>35.073999999999998</v>
      </c>
      <c r="AE47" s="953"/>
      <c r="AF47" s="195"/>
      <c r="AG47" s="175">
        <f t="shared" si="2"/>
        <v>0</v>
      </c>
    </row>
    <row r="48" spans="1:33" x14ac:dyDescent="0.3">
      <c r="A48" s="199" t="s">
        <v>221</v>
      </c>
      <c r="B48" s="953">
        <f>H48+J48+L48+N48+P48+R48+T48+V48+X48+Z48+AB48+AD48</f>
        <v>0</v>
      </c>
      <c r="C48" s="953">
        <f>H48</f>
        <v>0</v>
      </c>
      <c r="D48" s="953">
        <f t="shared" si="7"/>
        <v>0</v>
      </c>
      <c r="E48" s="953">
        <v>0</v>
      </c>
      <c r="F48" s="959">
        <v>0</v>
      </c>
      <c r="G48" s="959">
        <v>0</v>
      </c>
      <c r="H48" s="953">
        <v>0</v>
      </c>
      <c r="I48" s="953">
        <v>0</v>
      </c>
      <c r="J48" s="953">
        <v>0</v>
      </c>
      <c r="K48" s="953">
        <v>0</v>
      </c>
      <c r="L48" s="953">
        <v>0</v>
      </c>
      <c r="M48" s="953">
        <v>0</v>
      </c>
      <c r="N48" s="953">
        <v>0</v>
      </c>
      <c r="O48" s="953">
        <v>0</v>
      </c>
      <c r="P48" s="953">
        <v>0</v>
      </c>
      <c r="Q48" s="953">
        <v>0</v>
      </c>
      <c r="R48" s="953">
        <v>0</v>
      </c>
      <c r="S48" s="953">
        <v>0</v>
      </c>
      <c r="T48" s="953">
        <v>0</v>
      </c>
      <c r="U48" s="953"/>
      <c r="V48" s="953">
        <v>0</v>
      </c>
      <c r="W48" s="953"/>
      <c r="X48" s="953">
        <v>0</v>
      </c>
      <c r="Y48" s="953"/>
      <c r="Z48" s="953">
        <v>0</v>
      </c>
      <c r="AA48" s="953"/>
      <c r="AB48" s="953">
        <v>0</v>
      </c>
      <c r="AC48" s="953"/>
      <c r="AD48" s="953">
        <v>0</v>
      </c>
      <c r="AE48" s="953"/>
      <c r="AF48" s="195"/>
      <c r="AG48" s="175">
        <f t="shared" si="2"/>
        <v>0</v>
      </c>
    </row>
    <row r="49" spans="1:33" ht="56.25" x14ac:dyDescent="0.3">
      <c r="A49" s="200" t="s">
        <v>228</v>
      </c>
      <c r="B49" s="953">
        <f>B50</f>
        <v>25206.100000000002</v>
      </c>
      <c r="C49" s="953">
        <f>C50</f>
        <v>10712.087699999998</v>
      </c>
      <c r="D49" s="953">
        <f t="shared" si="7"/>
        <v>7399.9330399999999</v>
      </c>
      <c r="E49" s="957">
        <f t="shared" ref="E49:T49" si="19">E50</f>
        <v>7399.9330399999999</v>
      </c>
      <c r="F49" s="959">
        <f t="shared" si="19"/>
        <v>29.35770722166459</v>
      </c>
      <c r="G49" s="959">
        <f t="shared" si="19"/>
        <v>69.080213374279992</v>
      </c>
      <c r="H49" s="953">
        <f t="shared" si="19"/>
        <v>2223.1750000000002</v>
      </c>
      <c r="I49" s="957">
        <f t="shared" si="19"/>
        <v>1317.3331599999999</v>
      </c>
      <c r="J49" s="953">
        <f t="shared" si="19"/>
        <v>1586.7</v>
      </c>
      <c r="K49" s="953">
        <f t="shared" si="19"/>
        <v>691.572</v>
      </c>
      <c r="L49" s="953">
        <f t="shared" si="19"/>
        <v>708.6</v>
      </c>
      <c r="M49" s="956">
        <f t="shared" si="19"/>
        <v>777.43100000000004</v>
      </c>
      <c r="N49" s="953">
        <f t="shared" si="19"/>
        <v>4043.8249999999998</v>
      </c>
      <c r="O49" s="956">
        <f t="shared" si="19"/>
        <v>1620.8085699999999</v>
      </c>
      <c r="P49" s="953">
        <f t="shared" si="19"/>
        <v>802.19754</v>
      </c>
      <c r="Q49" s="956">
        <f t="shared" si="19"/>
        <v>1461.58015</v>
      </c>
      <c r="R49" s="953">
        <f t="shared" si="19"/>
        <v>1347.59016</v>
      </c>
      <c r="S49" s="956">
        <f t="shared" si="19"/>
        <v>1531.2081599999999</v>
      </c>
      <c r="T49" s="953">
        <f t="shared" si="19"/>
        <v>5054.3004199999996</v>
      </c>
      <c r="U49" s="957"/>
      <c r="V49" s="953">
        <f>V50</f>
        <v>699.9</v>
      </c>
      <c r="W49" s="957"/>
      <c r="X49" s="953">
        <f>X50</f>
        <v>699.9</v>
      </c>
      <c r="Y49" s="957"/>
      <c r="Z49" s="953">
        <f>Z50</f>
        <v>2417.2750000000001</v>
      </c>
      <c r="AA49" s="957"/>
      <c r="AB49" s="953">
        <f>AB50</f>
        <v>699.9</v>
      </c>
      <c r="AC49" s="957"/>
      <c r="AD49" s="953">
        <f>AD50</f>
        <v>4922.7368800000004</v>
      </c>
      <c r="AE49" s="958"/>
      <c r="AF49" s="201"/>
      <c r="AG49" s="175">
        <f t="shared" si="2"/>
        <v>0</v>
      </c>
    </row>
    <row r="50" spans="1:33" s="177" customFormat="1" x14ac:dyDescent="0.3">
      <c r="A50" s="196" t="s">
        <v>31</v>
      </c>
      <c r="B50" s="953">
        <f>B51+B52+B53+B54</f>
        <v>25206.100000000002</v>
      </c>
      <c r="C50" s="953">
        <f>C51+C52+C53+C54</f>
        <v>10712.087699999998</v>
      </c>
      <c r="D50" s="953">
        <f t="shared" si="7"/>
        <v>7399.9330399999999</v>
      </c>
      <c r="E50" s="953">
        <f>E51+E52+E53+E54</f>
        <v>7399.9330399999999</v>
      </c>
      <c r="F50" s="959">
        <f>F51+F52+F53+F54</f>
        <v>29.35770722166459</v>
      </c>
      <c r="G50" s="959">
        <f>E50/C50*100</f>
        <v>69.080213374279992</v>
      </c>
      <c r="H50" s="953">
        <f t="shared" ref="H50:T50" si="20">H51+H52+H53+H54</f>
        <v>2223.1750000000002</v>
      </c>
      <c r="I50" s="953">
        <f t="shared" si="20"/>
        <v>1317.3331599999999</v>
      </c>
      <c r="J50" s="953">
        <f t="shared" si="20"/>
        <v>1586.7</v>
      </c>
      <c r="K50" s="953">
        <f t="shared" si="20"/>
        <v>691.572</v>
      </c>
      <c r="L50" s="953">
        <f t="shared" si="20"/>
        <v>708.6</v>
      </c>
      <c r="M50" s="953">
        <f t="shared" si="20"/>
        <v>777.43100000000004</v>
      </c>
      <c r="N50" s="953">
        <f t="shared" si="20"/>
        <v>4043.8249999999998</v>
      </c>
      <c r="O50" s="953">
        <f t="shared" si="20"/>
        <v>1620.8085699999999</v>
      </c>
      <c r="P50" s="953">
        <f t="shared" si="20"/>
        <v>802.19754</v>
      </c>
      <c r="Q50" s="953">
        <f t="shared" si="20"/>
        <v>1461.58015</v>
      </c>
      <c r="R50" s="953">
        <f t="shared" si="20"/>
        <v>1347.59016</v>
      </c>
      <c r="S50" s="953">
        <f t="shared" si="20"/>
        <v>1531.2081599999999</v>
      </c>
      <c r="T50" s="953">
        <f t="shared" si="20"/>
        <v>5054.3004199999996</v>
      </c>
      <c r="U50" s="953"/>
      <c r="V50" s="953">
        <f>V51+V52+V53+V54</f>
        <v>699.9</v>
      </c>
      <c r="W50" s="953"/>
      <c r="X50" s="953">
        <f>X51+X52+X53+X54</f>
        <v>699.9</v>
      </c>
      <c r="Y50" s="953"/>
      <c r="Z50" s="953">
        <f>Z51+Z52+Z53+Z54</f>
        <v>2417.2750000000001</v>
      </c>
      <c r="AA50" s="953"/>
      <c r="AB50" s="953">
        <f>AB51+AB52+AB53+AB54</f>
        <v>699.9</v>
      </c>
      <c r="AC50" s="953"/>
      <c r="AD50" s="953">
        <f>AD51+AD52+AD53+AD54</f>
        <v>4922.7368800000004</v>
      </c>
      <c r="AE50" s="953"/>
      <c r="AF50" s="201"/>
      <c r="AG50" s="175">
        <f t="shared" si="2"/>
        <v>0</v>
      </c>
    </row>
    <row r="51" spans="1:33" x14ac:dyDescent="0.3">
      <c r="A51" s="199" t="s">
        <v>169</v>
      </c>
      <c r="B51" s="953">
        <f>H51+J51+L51+N51+P51+R51+T51+V51+X51+Z51+AB51+AD51</f>
        <v>0</v>
      </c>
      <c r="C51" s="953">
        <f>H51</f>
        <v>0</v>
      </c>
      <c r="D51" s="953">
        <f t="shared" si="7"/>
        <v>0</v>
      </c>
      <c r="E51" s="953">
        <v>0</v>
      </c>
      <c r="F51" s="959">
        <v>0</v>
      </c>
      <c r="G51" s="959">
        <v>0</v>
      </c>
      <c r="H51" s="953">
        <v>0</v>
      </c>
      <c r="I51" s="953">
        <v>0</v>
      </c>
      <c r="J51" s="953">
        <v>0</v>
      </c>
      <c r="K51" s="953">
        <v>0</v>
      </c>
      <c r="L51" s="953">
        <v>0</v>
      </c>
      <c r="M51" s="953">
        <v>0</v>
      </c>
      <c r="N51" s="953">
        <v>0</v>
      </c>
      <c r="O51" s="953">
        <v>0</v>
      </c>
      <c r="P51" s="953">
        <v>0</v>
      </c>
      <c r="Q51" s="953">
        <v>0</v>
      </c>
      <c r="R51" s="953">
        <v>0</v>
      </c>
      <c r="S51" s="953">
        <v>0</v>
      </c>
      <c r="T51" s="953">
        <v>0</v>
      </c>
      <c r="U51" s="953"/>
      <c r="V51" s="953">
        <v>0</v>
      </c>
      <c r="W51" s="953"/>
      <c r="X51" s="953">
        <v>0</v>
      </c>
      <c r="Y51" s="953"/>
      <c r="Z51" s="953">
        <v>0</v>
      </c>
      <c r="AA51" s="953"/>
      <c r="AB51" s="953">
        <v>0</v>
      </c>
      <c r="AC51" s="953"/>
      <c r="AD51" s="953">
        <v>0</v>
      </c>
      <c r="AE51" s="953"/>
      <c r="AF51" s="201"/>
      <c r="AG51" s="175">
        <f t="shared" si="2"/>
        <v>0</v>
      </c>
    </row>
    <row r="52" spans="1:33" x14ac:dyDescent="0.3">
      <c r="A52" s="199" t="s">
        <v>32</v>
      </c>
      <c r="B52" s="953">
        <f>H52+J52+L52+N52+P52+R52+T52+V52+X52+Z52+AB52+AD52</f>
        <v>0</v>
      </c>
      <c r="C52" s="953">
        <f>H52</f>
        <v>0</v>
      </c>
      <c r="D52" s="953">
        <f t="shared" si="7"/>
        <v>0</v>
      </c>
      <c r="E52" s="953">
        <v>0</v>
      </c>
      <c r="F52" s="959">
        <v>0</v>
      </c>
      <c r="G52" s="959">
        <v>0</v>
      </c>
      <c r="H52" s="953">
        <v>0</v>
      </c>
      <c r="I52" s="953">
        <v>0</v>
      </c>
      <c r="J52" s="953">
        <v>0</v>
      </c>
      <c r="K52" s="953">
        <v>0</v>
      </c>
      <c r="L52" s="953">
        <v>0</v>
      </c>
      <c r="M52" s="953">
        <v>0</v>
      </c>
      <c r="N52" s="953">
        <v>0</v>
      </c>
      <c r="O52" s="953">
        <v>0</v>
      </c>
      <c r="P52" s="953">
        <v>0</v>
      </c>
      <c r="Q52" s="953">
        <v>0</v>
      </c>
      <c r="R52" s="953">
        <v>0</v>
      </c>
      <c r="S52" s="953">
        <v>0</v>
      </c>
      <c r="T52" s="953">
        <v>0</v>
      </c>
      <c r="U52" s="953"/>
      <c r="V52" s="953">
        <v>0</v>
      </c>
      <c r="W52" s="953"/>
      <c r="X52" s="953">
        <v>0</v>
      </c>
      <c r="Y52" s="953"/>
      <c r="Z52" s="953">
        <v>0</v>
      </c>
      <c r="AA52" s="953"/>
      <c r="AB52" s="953">
        <v>0</v>
      </c>
      <c r="AC52" s="953"/>
      <c r="AD52" s="953">
        <v>0</v>
      </c>
      <c r="AE52" s="953"/>
      <c r="AF52" s="201"/>
      <c r="AG52" s="175">
        <f t="shared" si="2"/>
        <v>0</v>
      </c>
    </row>
    <row r="53" spans="1:33" x14ac:dyDescent="0.3">
      <c r="A53" s="199" t="s">
        <v>33</v>
      </c>
      <c r="B53" s="964">
        <f>H53+J53+L53+N53+P53+R53+T53+V53+X53+Z53+AB53+AD53</f>
        <v>25206.100000000002</v>
      </c>
      <c r="C53" s="965">
        <f>H53+J53+L53+N53+P53+R53</f>
        <v>10712.087699999998</v>
      </c>
      <c r="D53" s="965">
        <f t="shared" si="7"/>
        <v>7399.9330399999999</v>
      </c>
      <c r="E53" s="966">
        <f>I53+K53+M53+O53+Q53+S53</f>
        <v>7399.9330399999999</v>
      </c>
      <c r="F53" s="959">
        <f>E53/B53*100</f>
        <v>29.35770722166459</v>
      </c>
      <c r="G53" s="959">
        <f>E53/C53*100</f>
        <v>69.080213374279992</v>
      </c>
      <c r="H53" s="953">
        <v>2223.1750000000002</v>
      </c>
      <c r="I53" s="953">
        <v>1317.3331599999999</v>
      </c>
      <c r="J53" s="953">
        <v>1586.7</v>
      </c>
      <c r="K53" s="953">
        <v>691.572</v>
      </c>
      <c r="L53" s="953">
        <v>708.6</v>
      </c>
      <c r="M53" s="953">
        <v>777.43100000000004</v>
      </c>
      <c r="N53" s="953">
        <v>4043.8249999999998</v>
      </c>
      <c r="O53" s="953">
        <v>1620.8085699999999</v>
      </c>
      <c r="P53" s="953">
        <v>802.19754</v>
      </c>
      <c r="Q53" s="953">
        <v>1461.58015</v>
      </c>
      <c r="R53" s="953">
        <v>1347.59016</v>
      </c>
      <c r="S53" s="953">
        <v>1531.2081599999999</v>
      </c>
      <c r="T53" s="953">
        <v>5054.3004199999996</v>
      </c>
      <c r="U53" s="953"/>
      <c r="V53" s="953">
        <v>699.9</v>
      </c>
      <c r="W53" s="953"/>
      <c r="X53" s="953">
        <v>699.9</v>
      </c>
      <c r="Y53" s="953"/>
      <c r="Z53" s="953">
        <v>2417.2750000000001</v>
      </c>
      <c r="AA53" s="953"/>
      <c r="AB53" s="953">
        <v>699.9</v>
      </c>
      <c r="AC53" s="953"/>
      <c r="AD53" s="953">
        <f>2294.43688+1136.3+1492</f>
        <v>4922.7368800000004</v>
      </c>
      <c r="AE53" s="953"/>
      <c r="AF53" s="201"/>
      <c r="AG53" s="175">
        <f t="shared" si="2"/>
        <v>0</v>
      </c>
    </row>
    <row r="54" spans="1:33" x14ac:dyDescent="0.3">
      <c r="A54" s="199" t="s">
        <v>221</v>
      </c>
      <c r="B54" s="953">
        <f>H54+J54+L54+N54+P54+R54+T54+V54+X54+Z54+AB54+AD54</f>
        <v>0</v>
      </c>
      <c r="C54" s="953">
        <f>H54</f>
        <v>0</v>
      </c>
      <c r="D54" s="953">
        <f t="shared" si="7"/>
        <v>0</v>
      </c>
      <c r="E54" s="953">
        <v>0</v>
      </c>
      <c r="F54" s="959">
        <v>0</v>
      </c>
      <c r="G54" s="959">
        <v>0</v>
      </c>
      <c r="H54" s="953">
        <v>0</v>
      </c>
      <c r="I54" s="953">
        <v>0</v>
      </c>
      <c r="J54" s="953">
        <v>0</v>
      </c>
      <c r="K54" s="953">
        <v>0</v>
      </c>
      <c r="L54" s="953">
        <v>0</v>
      </c>
      <c r="M54" s="953">
        <v>0</v>
      </c>
      <c r="N54" s="953">
        <v>0</v>
      </c>
      <c r="O54" s="953">
        <v>0</v>
      </c>
      <c r="P54" s="953">
        <v>0</v>
      </c>
      <c r="Q54" s="953">
        <v>0</v>
      </c>
      <c r="R54" s="953">
        <v>0</v>
      </c>
      <c r="S54" s="953">
        <v>0</v>
      </c>
      <c r="T54" s="953">
        <v>0</v>
      </c>
      <c r="U54" s="953"/>
      <c r="V54" s="953">
        <v>0</v>
      </c>
      <c r="W54" s="953"/>
      <c r="X54" s="953">
        <v>0</v>
      </c>
      <c r="Y54" s="953"/>
      <c r="Z54" s="953">
        <v>0</v>
      </c>
      <c r="AA54" s="953"/>
      <c r="AB54" s="953">
        <v>0</v>
      </c>
      <c r="AC54" s="953"/>
      <c r="AD54" s="953">
        <v>0</v>
      </c>
      <c r="AE54" s="953"/>
      <c r="AF54" s="201"/>
      <c r="AG54" s="175">
        <f t="shared" si="2"/>
        <v>0</v>
      </c>
    </row>
    <row r="55" spans="1:33" ht="37.5" x14ac:dyDescent="0.3">
      <c r="A55" s="200" t="s">
        <v>229</v>
      </c>
      <c r="B55" s="953">
        <f>B56</f>
        <v>2092.9</v>
      </c>
      <c r="C55" s="953">
        <f>C56</f>
        <v>1966</v>
      </c>
      <c r="D55" s="953">
        <f t="shared" si="7"/>
        <v>1305.65094</v>
      </c>
      <c r="E55" s="957">
        <f t="shared" ref="E55:T55" si="21">E56</f>
        <v>1305.65094</v>
      </c>
      <c r="F55" s="959">
        <f t="shared" si="21"/>
        <v>62.384774236705042</v>
      </c>
      <c r="G55" s="959">
        <f t="shared" si="21"/>
        <v>66.411543234994923</v>
      </c>
      <c r="H55" s="953">
        <f t="shared" si="21"/>
        <v>447.8</v>
      </c>
      <c r="I55" s="957">
        <f t="shared" si="21"/>
        <v>119.61735</v>
      </c>
      <c r="J55" s="953">
        <f t="shared" si="21"/>
        <v>625.29999999999995</v>
      </c>
      <c r="K55" s="953">
        <f t="shared" si="21"/>
        <v>118.53792</v>
      </c>
      <c r="L55" s="953">
        <f t="shared" si="21"/>
        <v>87.5</v>
      </c>
      <c r="M55" s="956">
        <f t="shared" si="21"/>
        <v>174.08481</v>
      </c>
      <c r="N55" s="953">
        <f t="shared" si="21"/>
        <v>728.5</v>
      </c>
      <c r="O55" s="956">
        <f t="shared" si="21"/>
        <v>408.97221999999999</v>
      </c>
      <c r="P55" s="953">
        <f t="shared" si="21"/>
        <v>33</v>
      </c>
      <c r="Q55" s="956">
        <f t="shared" si="21"/>
        <v>160.18494000000001</v>
      </c>
      <c r="R55" s="953">
        <f t="shared" si="21"/>
        <v>43.9</v>
      </c>
      <c r="S55" s="956">
        <f t="shared" si="21"/>
        <v>324.25369999999998</v>
      </c>
      <c r="T55" s="953">
        <f t="shared" si="21"/>
        <v>0</v>
      </c>
      <c r="U55" s="957"/>
      <c r="V55" s="953">
        <f>V56</f>
        <v>0</v>
      </c>
      <c r="W55" s="957"/>
      <c r="X55" s="953">
        <f>X56</f>
        <v>50</v>
      </c>
      <c r="Y55" s="957"/>
      <c r="Z55" s="953">
        <f>Z56</f>
        <v>0</v>
      </c>
      <c r="AA55" s="957"/>
      <c r="AB55" s="953">
        <f>AB56</f>
        <v>22</v>
      </c>
      <c r="AC55" s="957"/>
      <c r="AD55" s="953">
        <f>AD56</f>
        <v>54.9</v>
      </c>
      <c r="AE55" s="958"/>
      <c r="AF55" s="195"/>
      <c r="AG55" s="175">
        <f t="shared" si="2"/>
        <v>0</v>
      </c>
    </row>
    <row r="56" spans="1:33" s="177" customFormat="1" x14ac:dyDescent="0.3">
      <c r="A56" s="196" t="s">
        <v>31</v>
      </c>
      <c r="B56" s="953">
        <f>B57+B58+B59+B60</f>
        <v>2092.9</v>
      </c>
      <c r="C56" s="953">
        <f>C57+C58+C59+C60</f>
        <v>1966</v>
      </c>
      <c r="D56" s="953">
        <f t="shared" si="7"/>
        <v>1305.65094</v>
      </c>
      <c r="E56" s="953">
        <f>E57+E58+E59+E60</f>
        <v>1305.65094</v>
      </c>
      <c r="F56" s="959">
        <f>F57+F58+F59+F60</f>
        <v>62.384774236705042</v>
      </c>
      <c r="G56" s="959">
        <f>E56/C56*100</f>
        <v>66.411543234994923</v>
      </c>
      <c r="H56" s="953">
        <f t="shared" ref="H56:T56" si="22">H57+H58+H59+H60</f>
        <v>447.8</v>
      </c>
      <c r="I56" s="953">
        <f t="shared" si="22"/>
        <v>119.61735</v>
      </c>
      <c r="J56" s="953">
        <f t="shared" si="22"/>
        <v>625.29999999999995</v>
      </c>
      <c r="K56" s="953">
        <f t="shared" si="22"/>
        <v>118.53792</v>
      </c>
      <c r="L56" s="953">
        <f t="shared" si="22"/>
        <v>87.5</v>
      </c>
      <c r="M56" s="953">
        <f t="shared" si="22"/>
        <v>174.08481</v>
      </c>
      <c r="N56" s="953">
        <f t="shared" si="22"/>
        <v>728.5</v>
      </c>
      <c r="O56" s="953">
        <f t="shared" si="22"/>
        <v>408.97221999999999</v>
      </c>
      <c r="P56" s="953">
        <f t="shared" si="22"/>
        <v>33</v>
      </c>
      <c r="Q56" s="953">
        <f t="shared" si="22"/>
        <v>160.18494000000001</v>
      </c>
      <c r="R56" s="953">
        <f t="shared" si="22"/>
        <v>43.9</v>
      </c>
      <c r="S56" s="953">
        <f t="shared" si="22"/>
        <v>324.25369999999998</v>
      </c>
      <c r="T56" s="953">
        <f t="shared" si="22"/>
        <v>0</v>
      </c>
      <c r="U56" s="953"/>
      <c r="V56" s="953">
        <f>V57+V58+V59+V60</f>
        <v>0</v>
      </c>
      <c r="W56" s="953"/>
      <c r="X56" s="953">
        <f>X57+X58+X59+X60</f>
        <v>50</v>
      </c>
      <c r="Y56" s="953"/>
      <c r="Z56" s="953">
        <f>Z57+Z58+Z59+Z60</f>
        <v>0</v>
      </c>
      <c r="AA56" s="953"/>
      <c r="AB56" s="953">
        <f>AB57+AB58+AB59+AB60</f>
        <v>22</v>
      </c>
      <c r="AC56" s="953"/>
      <c r="AD56" s="953">
        <f>AD57+AD58+AD59+AD60</f>
        <v>54.9</v>
      </c>
      <c r="AE56" s="953"/>
      <c r="AF56" s="195"/>
      <c r="AG56" s="175">
        <f t="shared" si="2"/>
        <v>0</v>
      </c>
    </row>
    <row r="57" spans="1:33" x14ac:dyDescent="0.3">
      <c r="A57" s="199" t="s">
        <v>169</v>
      </c>
      <c r="B57" s="953">
        <f>H57+J57+L57+N57+P57+R57+T57+V57+X57+Z57+AB57+AD57</f>
        <v>0</v>
      </c>
      <c r="C57" s="953">
        <f>H57</f>
        <v>0</v>
      </c>
      <c r="D57" s="953">
        <f t="shared" si="7"/>
        <v>0</v>
      </c>
      <c r="E57" s="953">
        <v>0</v>
      </c>
      <c r="F57" s="959">
        <v>0</v>
      </c>
      <c r="G57" s="959">
        <v>0</v>
      </c>
      <c r="H57" s="953">
        <v>0</v>
      </c>
      <c r="I57" s="953">
        <v>0</v>
      </c>
      <c r="J57" s="953">
        <v>0</v>
      </c>
      <c r="K57" s="953">
        <v>0</v>
      </c>
      <c r="L57" s="953">
        <v>0</v>
      </c>
      <c r="M57" s="953">
        <v>0</v>
      </c>
      <c r="N57" s="953">
        <v>0</v>
      </c>
      <c r="O57" s="953">
        <v>0</v>
      </c>
      <c r="P57" s="953">
        <v>0</v>
      </c>
      <c r="Q57" s="953">
        <v>0</v>
      </c>
      <c r="R57" s="953">
        <v>0</v>
      </c>
      <c r="S57" s="953">
        <v>0</v>
      </c>
      <c r="T57" s="953">
        <v>0</v>
      </c>
      <c r="U57" s="953"/>
      <c r="V57" s="953">
        <v>0</v>
      </c>
      <c r="W57" s="953"/>
      <c r="X57" s="953">
        <v>0</v>
      </c>
      <c r="Y57" s="953"/>
      <c r="Z57" s="953">
        <v>0</v>
      </c>
      <c r="AA57" s="953"/>
      <c r="AB57" s="953">
        <v>0</v>
      </c>
      <c r="AC57" s="953"/>
      <c r="AD57" s="953">
        <v>0</v>
      </c>
      <c r="AE57" s="953"/>
      <c r="AF57" s="195"/>
      <c r="AG57" s="175">
        <f t="shared" si="2"/>
        <v>0</v>
      </c>
    </row>
    <row r="58" spans="1:33" x14ac:dyDescent="0.3">
      <c r="A58" s="199" t="s">
        <v>32</v>
      </c>
      <c r="B58" s="953">
        <f>H58+J58+L58+N58+P58+R58+T58+V58+X58+Z58+AB58+AD58</f>
        <v>0</v>
      </c>
      <c r="C58" s="953">
        <f>H58</f>
        <v>0</v>
      </c>
      <c r="D58" s="953">
        <f t="shared" si="7"/>
        <v>0</v>
      </c>
      <c r="E58" s="953">
        <v>0</v>
      </c>
      <c r="F58" s="959">
        <v>0</v>
      </c>
      <c r="G58" s="959">
        <v>0</v>
      </c>
      <c r="H58" s="953">
        <v>0</v>
      </c>
      <c r="I58" s="953">
        <v>0</v>
      </c>
      <c r="J58" s="953">
        <v>0</v>
      </c>
      <c r="K58" s="953">
        <v>0</v>
      </c>
      <c r="L58" s="953">
        <v>0</v>
      </c>
      <c r="M58" s="953">
        <v>0</v>
      </c>
      <c r="N58" s="953">
        <v>0</v>
      </c>
      <c r="O58" s="953">
        <v>0</v>
      </c>
      <c r="P58" s="953">
        <v>0</v>
      </c>
      <c r="Q58" s="953">
        <v>0</v>
      </c>
      <c r="R58" s="953">
        <v>0</v>
      </c>
      <c r="S58" s="953">
        <v>0</v>
      </c>
      <c r="T58" s="953">
        <v>0</v>
      </c>
      <c r="U58" s="953"/>
      <c r="V58" s="953">
        <v>0</v>
      </c>
      <c r="W58" s="953"/>
      <c r="X58" s="953">
        <v>0</v>
      </c>
      <c r="Y58" s="953"/>
      <c r="Z58" s="953">
        <v>0</v>
      </c>
      <c r="AA58" s="953"/>
      <c r="AB58" s="953">
        <v>0</v>
      </c>
      <c r="AC58" s="953"/>
      <c r="AD58" s="953">
        <v>0</v>
      </c>
      <c r="AE58" s="953"/>
      <c r="AF58" s="195"/>
      <c r="AG58" s="175">
        <f t="shared" si="2"/>
        <v>0</v>
      </c>
    </row>
    <row r="59" spans="1:33" x14ac:dyDescent="0.3">
      <c r="A59" s="199" t="s">
        <v>33</v>
      </c>
      <c r="B59" s="953">
        <f>H59+J59+L59+N59+P59+R59+T59+V59+X59+Z59+AB59+AD59</f>
        <v>2092.9</v>
      </c>
      <c r="C59" s="954">
        <f>H59+J59+L59+N59+P59+R59</f>
        <v>1966</v>
      </c>
      <c r="D59" s="954">
        <f t="shared" si="7"/>
        <v>1305.65094</v>
      </c>
      <c r="E59" s="957">
        <f>I59+K59+M59+O59+Q59+S59</f>
        <v>1305.65094</v>
      </c>
      <c r="F59" s="959">
        <f>E59/B59*100</f>
        <v>62.384774236705042</v>
      </c>
      <c r="G59" s="959">
        <f>E59/C59*100</f>
        <v>66.411543234994923</v>
      </c>
      <c r="H59" s="953">
        <v>447.8</v>
      </c>
      <c r="I59" s="953">
        <v>119.61735</v>
      </c>
      <c r="J59" s="953">
        <v>625.29999999999995</v>
      </c>
      <c r="K59" s="953">
        <v>118.53792</v>
      </c>
      <c r="L59" s="953">
        <v>87.5</v>
      </c>
      <c r="M59" s="953">
        <v>174.08481</v>
      </c>
      <c r="N59" s="953">
        <v>728.5</v>
      </c>
      <c r="O59" s="953">
        <v>408.97221999999999</v>
      </c>
      <c r="P59" s="953">
        <v>33</v>
      </c>
      <c r="Q59" s="953">
        <v>160.18494000000001</v>
      </c>
      <c r="R59" s="953">
        <v>43.9</v>
      </c>
      <c r="S59" s="953">
        <v>324.25369999999998</v>
      </c>
      <c r="T59" s="953">
        <v>0</v>
      </c>
      <c r="U59" s="953"/>
      <c r="V59" s="953">
        <v>0</v>
      </c>
      <c r="W59" s="953"/>
      <c r="X59" s="953">
        <v>50</v>
      </c>
      <c r="Y59" s="953"/>
      <c r="Z59" s="953">
        <v>0</v>
      </c>
      <c r="AA59" s="953"/>
      <c r="AB59" s="953">
        <v>22</v>
      </c>
      <c r="AC59" s="953"/>
      <c r="AD59" s="953">
        <v>54.9</v>
      </c>
      <c r="AE59" s="953"/>
      <c r="AF59" s="195"/>
      <c r="AG59" s="175">
        <f t="shared" si="2"/>
        <v>0</v>
      </c>
    </row>
    <row r="60" spans="1:33" x14ac:dyDescent="0.3">
      <c r="A60" s="199" t="s">
        <v>221</v>
      </c>
      <c r="B60" s="953">
        <f>H60+J60+L60+N60+P60+R60+T60+V60+X60+Z60+AB60+AD60</f>
        <v>0</v>
      </c>
      <c r="C60" s="953">
        <f>H60</f>
        <v>0</v>
      </c>
      <c r="D60" s="953">
        <f t="shared" si="7"/>
        <v>0</v>
      </c>
      <c r="E60" s="953">
        <v>0</v>
      </c>
      <c r="F60" s="959">
        <v>0</v>
      </c>
      <c r="G60" s="959">
        <v>0</v>
      </c>
      <c r="H60" s="953">
        <v>0</v>
      </c>
      <c r="I60" s="953">
        <v>0</v>
      </c>
      <c r="J60" s="953">
        <v>0</v>
      </c>
      <c r="K60" s="953">
        <v>0</v>
      </c>
      <c r="L60" s="953">
        <v>0</v>
      </c>
      <c r="M60" s="953">
        <v>0</v>
      </c>
      <c r="N60" s="953">
        <v>0</v>
      </c>
      <c r="O60" s="953">
        <v>0</v>
      </c>
      <c r="P60" s="953">
        <v>0</v>
      </c>
      <c r="Q60" s="953">
        <v>0</v>
      </c>
      <c r="R60" s="953">
        <v>0</v>
      </c>
      <c r="S60" s="953">
        <v>0</v>
      </c>
      <c r="T60" s="953">
        <v>0</v>
      </c>
      <c r="U60" s="953"/>
      <c r="V60" s="953">
        <v>0</v>
      </c>
      <c r="W60" s="953"/>
      <c r="X60" s="953">
        <v>0</v>
      </c>
      <c r="Y60" s="953"/>
      <c r="Z60" s="953">
        <v>0</v>
      </c>
      <c r="AA60" s="953"/>
      <c r="AB60" s="953">
        <v>0</v>
      </c>
      <c r="AC60" s="953"/>
      <c r="AD60" s="953">
        <v>0</v>
      </c>
      <c r="AE60" s="953"/>
      <c r="AF60" s="195"/>
      <c r="AG60" s="175">
        <f t="shared" si="2"/>
        <v>0</v>
      </c>
    </row>
    <row r="61" spans="1:33" s="177" customFormat="1" ht="108" x14ac:dyDescent="0.3">
      <c r="A61" s="202" t="s">
        <v>230</v>
      </c>
      <c r="B61" s="953">
        <f>B62</f>
        <v>765.6</v>
      </c>
      <c r="C61" s="953">
        <f>C62</f>
        <v>565.4</v>
      </c>
      <c r="D61" s="953">
        <f t="shared" si="7"/>
        <v>542.96</v>
      </c>
      <c r="E61" s="957">
        <f>E62</f>
        <v>542.96</v>
      </c>
      <c r="F61" s="959">
        <v>0</v>
      </c>
      <c r="G61" s="959">
        <v>0</v>
      </c>
      <c r="H61" s="953">
        <f t="shared" ref="H61:T61" si="23">H62</f>
        <v>227.4</v>
      </c>
      <c r="I61" s="957">
        <f t="shared" si="23"/>
        <v>0</v>
      </c>
      <c r="J61" s="953">
        <f t="shared" si="23"/>
        <v>5.4749999999999996</v>
      </c>
      <c r="K61" s="953">
        <f t="shared" si="23"/>
        <v>0</v>
      </c>
      <c r="L61" s="953">
        <f t="shared" si="23"/>
        <v>95.2</v>
      </c>
      <c r="M61" s="956">
        <f t="shared" si="23"/>
        <v>232.875</v>
      </c>
      <c r="N61" s="953">
        <f t="shared" si="23"/>
        <v>0</v>
      </c>
      <c r="O61" s="956">
        <f t="shared" si="23"/>
        <v>0</v>
      </c>
      <c r="P61" s="953">
        <f t="shared" si="23"/>
        <v>237.32499999999999</v>
      </c>
      <c r="Q61" s="956">
        <f t="shared" si="23"/>
        <v>310.08499999999998</v>
      </c>
      <c r="R61" s="953">
        <f t="shared" si="23"/>
        <v>0</v>
      </c>
      <c r="S61" s="956">
        <f t="shared" si="23"/>
        <v>0</v>
      </c>
      <c r="T61" s="953">
        <f t="shared" si="23"/>
        <v>0</v>
      </c>
      <c r="U61" s="957"/>
      <c r="V61" s="953">
        <f>V62</f>
        <v>198.90048999999999</v>
      </c>
      <c r="W61" s="957"/>
      <c r="X61" s="953">
        <f>X62</f>
        <v>1.2995099999999999</v>
      </c>
      <c r="Y61" s="957"/>
      <c r="Z61" s="953">
        <f>Z62</f>
        <v>0</v>
      </c>
      <c r="AA61" s="957"/>
      <c r="AB61" s="953">
        <f>AB62</f>
        <v>0</v>
      </c>
      <c r="AC61" s="957"/>
      <c r="AD61" s="953">
        <f>AD62</f>
        <v>0</v>
      </c>
      <c r="AE61" s="958"/>
      <c r="AF61" s="967" t="s">
        <v>596</v>
      </c>
      <c r="AG61" s="175">
        <f t="shared" si="2"/>
        <v>0</v>
      </c>
    </row>
    <row r="62" spans="1:33" s="177" customFormat="1" x14ac:dyDescent="0.3">
      <c r="A62" s="187" t="s">
        <v>31</v>
      </c>
      <c r="B62" s="953">
        <f>B63+B64+B65+B66</f>
        <v>765.6</v>
      </c>
      <c r="C62" s="953">
        <f>C63+C64+C65+C66</f>
        <v>565.4</v>
      </c>
      <c r="D62" s="953">
        <f t="shared" si="7"/>
        <v>542.96</v>
      </c>
      <c r="E62" s="953">
        <f>E63+E64+E65+E66</f>
        <v>542.96</v>
      </c>
      <c r="F62" s="959">
        <f>F63+F64+F65+F66</f>
        <v>70.919540229885058</v>
      </c>
      <c r="G62" s="959">
        <f>E62/C62*100</f>
        <v>96.031128404669275</v>
      </c>
      <c r="H62" s="953">
        <f t="shared" ref="H62:T62" si="24">H63+H64+H65+H66</f>
        <v>227.4</v>
      </c>
      <c r="I62" s="953">
        <f t="shared" si="24"/>
        <v>0</v>
      </c>
      <c r="J62" s="953">
        <f t="shared" si="24"/>
        <v>5.4749999999999996</v>
      </c>
      <c r="K62" s="953">
        <f t="shared" si="24"/>
        <v>0</v>
      </c>
      <c r="L62" s="953">
        <f t="shared" si="24"/>
        <v>95.2</v>
      </c>
      <c r="M62" s="953">
        <f t="shared" si="24"/>
        <v>232.875</v>
      </c>
      <c r="N62" s="953">
        <f t="shared" si="24"/>
        <v>0</v>
      </c>
      <c r="O62" s="953">
        <f t="shared" si="24"/>
        <v>0</v>
      </c>
      <c r="P62" s="953">
        <f t="shared" si="24"/>
        <v>237.32499999999999</v>
      </c>
      <c r="Q62" s="953">
        <f t="shared" si="24"/>
        <v>310.08499999999998</v>
      </c>
      <c r="R62" s="953">
        <f t="shared" si="24"/>
        <v>0</v>
      </c>
      <c r="S62" s="953">
        <f t="shared" si="24"/>
        <v>0</v>
      </c>
      <c r="T62" s="953">
        <f t="shared" si="24"/>
        <v>0</v>
      </c>
      <c r="U62" s="953"/>
      <c r="V62" s="953">
        <f>V63+V64+V65+V66</f>
        <v>198.90048999999999</v>
      </c>
      <c r="W62" s="953"/>
      <c r="X62" s="953">
        <f>X63+X64+X65+X66</f>
        <v>1.2995099999999999</v>
      </c>
      <c r="Y62" s="953"/>
      <c r="Z62" s="953">
        <f>Z63+Z64+Z65+Z66</f>
        <v>0</v>
      </c>
      <c r="AA62" s="953"/>
      <c r="AB62" s="953">
        <f>AB63+AB64+AB65+AB66</f>
        <v>0</v>
      </c>
      <c r="AC62" s="953"/>
      <c r="AD62" s="953">
        <f>AD63+AD64+AD65+AD66</f>
        <v>0</v>
      </c>
      <c r="AE62" s="953"/>
      <c r="AF62" s="968"/>
      <c r="AG62" s="175">
        <f t="shared" si="2"/>
        <v>0</v>
      </c>
    </row>
    <row r="63" spans="1:33" x14ac:dyDescent="0.3">
      <c r="A63" s="178" t="s">
        <v>169</v>
      </c>
      <c r="B63" s="953">
        <f>H63+J63+L63+N63+P63+R63+T63+V63+X63+Z63+AB63+AD63</f>
        <v>0</v>
      </c>
      <c r="C63" s="953">
        <f>H63</f>
        <v>0</v>
      </c>
      <c r="D63" s="953">
        <f t="shared" si="7"/>
        <v>0</v>
      </c>
      <c r="E63" s="953">
        <v>0</v>
      </c>
      <c r="F63" s="959">
        <v>0</v>
      </c>
      <c r="G63" s="959">
        <v>0</v>
      </c>
      <c r="H63" s="953">
        <v>0</v>
      </c>
      <c r="I63" s="953">
        <v>0</v>
      </c>
      <c r="J63" s="953">
        <v>0</v>
      </c>
      <c r="K63" s="953">
        <v>0</v>
      </c>
      <c r="L63" s="953">
        <v>0</v>
      </c>
      <c r="M63" s="953">
        <v>0</v>
      </c>
      <c r="N63" s="953">
        <v>0</v>
      </c>
      <c r="O63" s="953">
        <v>0</v>
      </c>
      <c r="P63" s="953">
        <v>0</v>
      </c>
      <c r="Q63" s="953">
        <v>0</v>
      </c>
      <c r="R63" s="953">
        <v>0</v>
      </c>
      <c r="S63" s="953">
        <v>0</v>
      </c>
      <c r="T63" s="953">
        <v>0</v>
      </c>
      <c r="U63" s="953"/>
      <c r="V63" s="953">
        <v>0</v>
      </c>
      <c r="W63" s="953"/>
      <c r="X63" s="953">
        <v>0</v>
      </c>
      <c r="Y63" s="953"/>
      <c r="Z63" s="953">
        <v>0</v>
      </c>
      <c r="AA63" s="953"/>
      <c r="AB63" s="953">
        <v>0</v>
      </c>
      <c r="AC63" s="953"/>
      <c r="AD63" s="953">
        <v>0</v>
      </c>
      <c r="AE63" s="953"/>
      <c r="AF63" s="968"/>
      <c r="AG63" s="175">
        <f t="shared" si="2"/>
        <v>0</v>
      </c>
    </row>
    <row r="64" spans="1:33" x14ac:dyDescent="0.3">
      <c r="A64" s="178" t="s">
        <v>32</v>
      </c>
      <c r="B64" s="953">
        <f>H64+J64+L64+N64+P64+R64+T64+V64+X64+Z64+AB64+AD64</f>
        <v>0</v>
      </c>
      <c r="C64" s="953">
        <f>H64</f>
        <v>0</v>
      </c>
      <c r="D64" s="953">
        <f t="shared" si="7"/>
        <v>0</v>
      </c>
      <c r="E64" s="953">
        <v>0</v>
      </c>
      <c r="F64" s="959">
        <v>0</v>
      </c>
      <c r="G64" s="959">
        <v>0</v>
      </c>
      <c r="H64" s="953">
        <v>0</v>
      </c>
      <c r="I64" s="953">
        <v>0</v>
      </c>
      <c r="J64" s="953">
        <v>0</v>
      </c>
      <c r="K64" s="953">
        <v>0</v>
      </c>
      <c r="L64" s="953">
        <v>0</v>
      </c>
      <c r="M64" s="953">
        <v>0</v>
      </c>
      <c r="N64" s="953">
        <v>0</v>
      </c>
      <c r="O64" s="953">
        <v>0</v>
      </c>
      <c r="P64" s="953">
        <v>0</v>
      </c>
      <c r="Q64" s="953">
        <v>0</v>
      </c>
      <c r="R64" s="953">
        <v>0</v>
      </c>
      <c r="S64" s="953">
        <v>0</v>
      </c>
      <c r="T64" s="953">
        <v>0</v>
      </c>
      <c r="U64" s="953"/>
      <c r="V64" s="953">
        <v>0</v>
      </c>
      <c r="W64" s="953"/>
      <c r="X64" s="953">
        <v>0</v>
      </c>
      <c r="Y64" s="953"/>
      <c r="Z64" s="953">
        <v>0</v>
      </c>
      <c r="AA64" s="953"/>
      <c r="AB64" s="953">
        <v>0</v>
      </c>
      <c r="AC64" s="953"/>
      <c r="AD64" s="953">
        <v>0</v>
      </c>
      <c r="AE64" s="953"/>
      <c r="AF64" s="968"/>
      <c r="AG64" s="175">
        <f t="shared" si="2"/>
        <v>0</v>
      </c>
    </row>
    <row r="65" spans="1:33" x14ac:dyDescent="0.3">
      <c r="A65" s="178" t="s">
        <v>33</v>
      </c>
      <c r="B65" s="953">
        <f>H65+J65+L65+N65+P65+R65+T65+V65+X65+Z65+AB65+AD65</f>
        <v>765.6</v>
      </c>
      <c r="C65" s="954">
        <f>H65+J65+L65+N65+P65+R65</f>
        <v>565.4</v>
      </c>
      <c r="D65" s="954">
        <f t="shared" si="7"/>
        <v>542.96</v>
      </c>
      <c r="E65" s="957">
        <f>I65+K65+M65+O65+Q65+S65</f>
        <v>542.96</v>
      </c>
      <c r="F65" s="959">
        <f>E65/B65*100</f>
        <v>70.919540229885058</v>
      </c>
      <c r="G65" s="959">
        <f>E65/C65*100</f>
        <v>96.031128404669275</v>
      </c>
      <c r="H65" s="953">
        <v>227.4</v>
      </c>
      <c r="I65" s="953">
        <v>0</v>
      </c>
      <c r="J65" s="953">
        <v>5.4749999999999996</v>
      </c>
      <c r="K65" s="953">
        <v>0</v>
      </c>
      <c r="L65" s="953">
        <v>95.2</v>
      </c>
      <c r="M65" s="953">
        <v>232.875</v>
      </c>
      <c r="N65" s="953">
        <v>0</v>
      </c>
      <c r="O65" s="953">
        <v>0</v>
      </c>
      <c r="P65" s="953">
        <v>237.32499999999999</v>
      </c>
      <c r="Q65" s="953">
        <v>310.08499999999998</v>
      </c>
      <c r="R65" s="953">
        <v>0</v>
      </c>
      <c r="S65" s="953">
        <v>0</v>
      </c>
      <c r="T65" s="953">
        <v>0</v>
      </c>
      <c r="U65" s="953"/>
      <c r="V65" s="953">
        <v>198.90048999999999</v>
      </c>
      <c r="W65" s="953"/>
      <c r="X65" s="953">
        <v>1.2995099999999999</v>
      </c>
      <c r="Y65" s="953"/>
      <c r="Z65" s="953">
        <v>0</v>
      </c>
      <c r="AA65" s="953"/>
      <c r="AB65" s="953">
        <v>0</v>
      </c>
      <c r="AC65" s="953"/>
      <c r="AD65" s="953">
        <v>0</v>
      </c>
      <c r="AE65" s="953"/>
      <c r="AF65" s="968"/>
      <c r="AG65" s="175">
        <f t="shared" si="2"/>
        <v>0</v>
      </c>
    </row>
    <row r="66" spans="1:33" x14ac:dyDescent="0.3">
      <c r="A66" s="178" t="s">
        <v>221</v>
      </c>
      <c r="B66" s="953">
        <f>H66+J66+L66+N66+P66+R66+T66+V66+X66+Z66+AB66+AD66</f>
        <v>0</v>
      </c>
      <c r="C66" s="953">
        <f>H66</f>
        <v>0</v>
      </c>
      <c r="D66" s="953">
        <f t="shared" si="7"/>
        <v>0</v>
      </c>
      <c r="E66" s="953">
        <v>0</v>
      </c>
      <c r="F66" s="959">
        <v>0</v>
      </c>
      <c r="G66" s="959">
        <v>0</v>
      </c>
      <c r="H66" s="953">
        <v>0</v>
      </c>
      <c r="I66" s="953">
        <v>0</v>
      </c>
      <c r="J66" s="953">
        <v>0</v>
      </c>
      <c r="K66" s="953">
        <v>0</v>
      </c>
      <c r="L66" s="953">
        <v>0</v>
      </c>
      <c r="M66" s="953">
        <v>0</v>
      </c>
      <c r="N66" s="953">
        <v>0</v>
      </c>
      <c r="O66" s="953">
        <v>0</v>
      </c>
      <c r="P66" s="953">
        <v>0</v>
      </c>
      <c r="Q66" s="953">
        <v>0</v>
      </c>
      <c r="R66" s="953">
        <v>0</v>
      </c>
      <c r="S66" s="953">
        <v>0</v>
      </c>
      <c r="T66" s="953">
        <v>0</v>
      </c>
      <c r="U66" s="953"/>
      <c r="V66" s="953">
        <v>0</v>
      </c>
      <c r="W66" s="953"/>
      <c r="X66" s="953">
        <v>0</v>
      </c>
      <c r="Y66" s="953"/>
      <c r="Z66" s="953">
        <v>0</v>
      </c>
      <c r="AA66" s="953"/>
      <c r="AB66" s="953">
        <v>0</v>
      </c>
      <c r="AC66" s="953"/>
      <c r="AD66" s="953">
        <v>0</v>
      </c>
      <c r="AE66" s="953"/>
      <c r="AF66" s="969"/>
      <c r="AG66" s="175">
        <f t="shared" si="2"/>
        <v>0</v>
      </c>
    </row>
    <row r="67" spans="1:33" s="177" customFormat="1" ht="75" x14ac:dyDescent="0.3">
      <c r="A67" s="202" t="s">
        <v>231</v>
      </c>
      <c r="B67" s="953">
        <f>B68</f>
        <v>121243.95095</v>
      </c>
      <c r="C67" s="953">
        <f>C68</f>
        <v>64957.436950000003</v>
      </c>
      <c r="D67" s="953">
        <f t="shared" si="7"/>
        <v>58273.118439999998</v>
      </c>
      <c r="E67" s="953">
        <f>E68</f>
        <v>58273.118439999998</v>
      </c>
      <c r="F67" s="959">
        <f>E67/B67*100</f>
        <v>48.06270167163337</v>
      </c>
      <c r="G67" s="959">
        <f>E67/C67*100</f>
        <v>89.709694803467755</v>
      </c>
      <c r="H67" s="953">
        <f t="shared" ref="H67:T67" si="25">H68</f>
        <v>15363.626</v>
      </c>
      <c r="I67" s="953">
        <f t="shared" si="25"/>
        <v>8722.1401499999993</v>
      </c>
      <c r="J67" s="953">
        <f t="shared" si="25"/>
        <v>10231.241</v>
      </c>
      <c r="K67" s="953">
        <f t="shared" si="25"/>
        <v>10924.62283</v>
      </c>
      <c r="L67" s="953">
        <f t="shared" si="25"/>
        <v>8299.1039999999994</v>
      </c>
      <c r="M67" s="953">
        <f t="shared" si="25"/>
        <v>9483.1396499999992</v>
      </c>
      <c r="N67" s="953">
        <f t="shared" si="25"/>
        <v>11763.312</v>
      </c>
      <c r="O67" s="953">
        <f t="shared" si="25"/>
        <v>9406.4896000000008</v>
      </c>
      <c r="P67" s="953">
        <f t="shared" si="25"/>
        <v>10195.34895</v>
      </c>
      <c r="Q67" s="953">
        <f t="shared" si="25"/>
        <v>9459.5364799999988</v>
      </c>
      <c r="R67" s="953">
        <f t="shared" si="25"/>
        <v>9104.8050000000003</v>
      </c>
      <c r="S67" s="953">
        <f t="shared" si="25"/>
        <v>10277.18973</v>
      </c>
      <c r="T67" s="953">
        <f t="shared" si="25"/>
        <v>11671.434999999999</v>
      </c>
      <c r="U67" s="953"/>
      <c r="V67" s="953">
        <f>V68</f>
        <v>8930.23</v>
      </c>
      <c r="W67" s="953"/>
      <c r="X67" s="953">
        <f>X68</f>
        <v>8082.0829999999996</v>
      </c>
      <c r="Y67" s="953"/>
      <c r="Z67" s="953">
        <f>Z68</f>
        <v>11257.168</v>
      </c>
      <c r="AA67" s="953"/>
      <c r="AB67" s="953">
        <f>AB68</f>
        <v>9021.9249999999993</v>
      </c>
      <c r="AC67" s="953"/>
      <c r="AD67" s="953">
        <f>AD68</f>
        <v>7323.6729999999998</v>
      </c>
      <c r="AE67" s="953"/>
      <c r="AF67" s="203"/>
      <c r="AG67" s="175">
        <f t="shared" si="2"/>
        <v>0</v>
      </c>
    </row>
    <row r="68" spans="1:33" s="177" customFormat="1" x14ac:dyDescent="0.3">
      <c r="A68" s="187" t="s">
        <v>31</v>
      </c>
      <c r="B68" s="953">
        <f>B69+B70+B71+B72</f>
        <v>121243.95095</v>
      </c>
      <c r="C68" s="953">
        <f>C69+C70+C71+C72</f>
        <v>64957.436950000003</v>
      </c>
      <c r="D68" s="953">
        <f t="shared" si="7"/>
        <v>58273.118439999998</v>
      </c>
      <c r="E68" s="953">
        <f>E69+E70+E71+E72</f>
        <v>58273.118439999998</v>
      </c>
      <c r="F68" s="959">
        <f>E68/B68*100</f>
        <v>48.06270167163337</v>
      </c>
      <c r="G68" s="959">
        <f>E68/C68*100</f>
        <v>89.709694803467755</v>
      </c>
      <c r="H68" s="953">
        <f t="shared" ref="H68:T68" si="26">H69+H70+H71+H72</f>
        <v>15363.626</v>
      </c>
      <c r="I68" s="953">
        <f t="shared" si="26"/>
        <v>8722.1401499999993</v>
      </c>
      <c r="J68" s="953">
        <f t="shared" si="26"/>
        <v>10231.241</v>
      </c>
      <c r="K68" s="953">
        <f t="shared" si="26"/>
        <v>10924.62283</v>
      </c>
      <c r="L68" s="953">
        <f t="shared" si="26"/>
        <v>8299.1039999999994</v>
      </c>
      <c r="M68" s="953">
        <f t="shared" si="26"/>
        <v>9483.1396499999992</v>
      </c>
      <c r="N68" s="953">
        <f t="shared" si="26"/>
        <v>11763.312</v>
      </c>
      <c r="O68" s="953">
        <f t="shared" si="26"/>
        <v>9406.4896000000008</v>
      </c>
      <c r="P68" s="953">
        <f t="shared" si="26"/>
        <v>10195.34895</v>
      </c>
      <c r="Q68" s="953">
        <f t="shared" si="26"/>
        <v>9459.5364799999988</v>
      </c>
      <c r="R68" s="953">
        <f t="shared" si="26"/>
        <v>9104.8050000000003</v>
      </c>
      <c r="S68" s="953">
        <f t="shared" si="26"/>
        <v>10277.18973</v>
      </c>
      <c r="T68" s="953">
        <f t="shared" si="26"/>
        <v>11671.434999999999</v>
      </c>
      <c r="U68" s="953"/>
      <c r="V68" s="953">
        <f>V69+V70+V71+V72</f>
        <v>8930.23</v>
      </c>
      <c r="W68" s="953"/>
      <c r="X68" s="953">
        <f>X69+X70+X71+X72</f>
        <v>8082.0829999999996</v>
      </c>
      <c r="Y68" s="953"/>
      <c r="Z68" s="953">
        <f>Z69+Z70+Z71+Z72</f>
        <v>11257.168</v>
      </c>
      <c r="AA68" s="953"/>
      <c r="AB68" s="953">
        <f>AB69+AB70+AB71+AB72</f>
        <v>9021.9249999999993</v>
      </c>
      <c r="AC68" s="953"/>
      <c r="AD68" s="953">
        <f>AD69+AD70+AD71+AD72</f>
        <v>7323.6729999999998</v>
      </c>
      <c r="AE68" s="953"/>
      <c r="AF68" s="203"/>
      <c r="AG68" s="175">
        <f t="shared" si="2"/>
        <v>0</v>
      </c>
    </row>
    <row r="69" spans="1:33" x14ac:dyDescent="0.3">
      <c r="A69" s="178" t="s">
        <v>169</v>
      </c>
      <c r="B69" s="953">
        <f>H69+J69+L69+N69+P69+R69+T69+V69+X69+Z69+AB69+AD69</f>
        <v>0</v>
      </c>
      <c r="C69" s="953">
        <f>H69</f>
        <v>0</v>
      </c>
      <c r="D69" s="953">
        <f t="shared" si="7"/>
        <v>0</v>
      </c>
      <c r="E69" s="953">
        <v>0</v>
      </c>
      <c r="F69" s="959">
        <v>0</v>
      </c>
      <c r="G69" s="959">
        <v>0</v>
      </c>
      <c r="H69" s="953">
        <v>0</v>
      </c>
      <c r="I69" s="953">
        <v>0</v>
      </c>
      <c r="J69" s="953">
        <v>0</v>
      </c>
      <c r="K69" s="953">
        <v>0</v>
      </c>
      <c r="L69" s="953">
        <v>0</v>
      </c>
      <c r="M69" s="953">
        <v>0</v>
      </c>
      <c r="N69" s="953">
        <v>0</v>
      </c>
      <c r="O69" s="953">
        <v>0</v>
      </c>
      <c r="P69" s="953">
        <v>0</v>
      </c>
      <c r="Q69" s="953">
        <v>0</v>
      </c>
      <c r="R69" s="953">
        <v>0</v>
      </c>
      <c r="S69" s="953">
        <v>0</v>
      </c>
      <c r="T69" s="953">
        <v>0</v>
      </c>
      <c r="U69" s="953"/>
      <c r="V69" s="953">
        <v>0</v>
      </c>
      <c r="W69" s="953"/>
      <c r="X69" s="953">
        <v>0</v>
      </c>
      <c r="Y69" s="953"/>
      <c r="Z69" s="953">
        <v>0</v>
      </c>
      <c r="AA69" s="953"/>
      <c r="AB69" s="953">
        <v>0</v>
      </c>
      <c r="AC69" s="953"/>
      <c r="AD69" s="953">
        <v>0</v>
      </c>
      <c r="AE69" s="953"/>
      <c r="AF69" s="204"/>
      <c r="AG69" s="175">
        <f t="shared" si="2"/>
        <v>0</v>
      </c>
    </row>
    <row r="70" spans="1:33" x14ac:dyDescent="0.3">
      <c r="A70" s="178" t="s">
        <v>32</v>
      </c>
      <c r="B70" s="953">
        <f>H70+J70+L70+N70+P70+R70+T70+V70+X70+Z70+AB70+AD70</f>
        <v>793.15094999999997</v>
      </c>
      <c r="C70" s="953">
        <f>H70+J70+L70+N70+P70+R70</f>
        <v>793.15094999999997</v>
      </c>
      <c r="D70" s="953">
        <f>I70+K70+M70+O70+Q70</f>
        <v>793.15094999999997</v>
      </c>
      <c r="E70" s="953">
        <f>I70+K70+M70+O70+Q706+Q70+S70</f>
        <v>793.15094999999997</v>
      </c>
      <c r="F70" s="959">
        <f>E70/B70*100</f>
        <v>100</v>
      </c>
      <c r="G70" s="959">
        <f>E70/C70*100</f>
        <v>100</v>
      </c>
      <c r="H70" s="953">
        <v>0</v>
      </c>
      <c r="I70" s="953">
        <v>0</v>
      </c>
      <c r="J70" s="953">
        <v>0</v>
      </c>
      <c r="K70" s="953">
        <v>0</v>
      </c>
      <c r="L70" s="953">
        <v>0</v>
      </c>
      <c r="M70" s="953">
        <v>0</v>
      </c>
      <c r="N70" s="953">
        <v>0</v>
      </c>
      <c r="O70" s="953">
        <v>0</v>
      </c>
      <c r="P70" s="953">
        <v>793.15094999999997</v>
      </c>
      <c r="Q70" s="953">
        <v>793.15094999999997</v>
      </c>
      <c r="R70" s="953">
        <v>0</v>
      </c>
      <c r="S70" s="953">
        <v>0</v>
      </c>
      <c r="T70" s="953">
        <v>0</v>
      </c>
      <c r="U70" s="953"/>
      <c r="V70" s="953">
        <v>0</v>
      </c>
      <c r="W70" s="953"/>
      <c r="X70" s="953">
        <v>0</v>
      </c>
      <c r="Y70" s="953"/>
      <c r="Z70" s="953">
        <v>0</v>
      </c>
      <c r="AA70" s="953"/>
      <c r="AB70" s="953">
        <v>0</v>
      </c>
      <c r="AC70" s="953"/>
      <c r="AD70" s="953">
        <v>0</v>
      </c>
      <c r="AE70" s="953"/>
      <c r="AF70" s="204"/>
      <c r="AG70" s="175">
        <f t="shared" si="2"/>
        <v>0</v>
      </c>
    </row>
    <row r="71" spans="1:33" x14ac:dyDescent="0.3">
      <c r="A71" s="178" t="s">
        <v>33</v>
      </c>
      <c r="B71" s="953">
        <f>H71+J71+L71+N71+P71+R71+T71+V71+X71+Z71+AB71+AD71</f>
        <v>120450.8</v>
      </c>
      <c r="C71" s="954">
        <f>H71+J71+L71+N71+P71+R71</f>
        <v>64164.286</v>
      </c>
      <c r="D71" s="954">
        <f>E71</f>
        <v>57479.967489999995</v>
      </c>
      <c r="E71" s="957">
        <f>I71+K71+M71+O71+Q71+S71</f>
        <v>57479.967489999995</v>
      </c>
      <c r="F71" s="959">
        <f>E71/B71*100</f>
        <v>47.720702137304187</v>
      </c>
      <c r="G71" s="959">
        <f>E71/C71*100</f>
        <v>89.582493741144404</v>
      </c>
      <c r="H71" s="953">
        <v>15363.626</v>
      </c>
      <c r="I71" s="953">
        <v>8722.1401499999993</v>
      </c>
      <c r="J71" s="953">
        <v>10231.241</v>
      </c>
      <c r="K71" s="953">
        <v>10924.62283</v>
      </c>
      <c r="L71" s="953">
        <v>8299.1039999999994</v>
      </c>
      <c r="M71" s="953">
        <v>9483.1396499999992</v>
      </c>
      <c r="N71" s="953">
        <v>11763.312</v>
      </c>
      <c r="O71" s="953">
        <v>9406.4896000000008</v>
      </c>
      <c r="P71" s="953">
        <v>9402.1980000000003</v>
      </c>
      <c r="Q71" s="953">
        <v>8666.3855299999996</v>
      </c>
      <c r="R71" s="953">
        <v>9104.8050000000003</v>
      </c>
      <c r="S71" s="953">
        <v>10277.18973</v>
      </c>
      <c r="T71" s="953">
        <v>11671.434999999999</v>
      </c>
      <c r="U71" s="953"/>
      <c r="V71" s="953">
        <v>8930.23</v>
      </c>
      <c r="W71" s="953"/>
      <c r="X71" s="953">
        <v>8082.0829999999996</v>
      </c>
      <c r="Y71" s="953"/>
      <c r="Z71" s="953">
        <v>11257.168</v>
      </c>
      <c r="AA71" s="953"/>
      <c r="AB71" s="953">
        <v>9021.9249999999993</v>
      </c>
      <c r="AC71" s="953"/>
      <c r="AD71" s="953">
        <v>7323.6729999999998</v>
      </c>
      <c r="AE71" s="953"/>
      <c r="AF71" s="204"/>
      <c r="AG71" s="175">
        <f t="shared" si="2"/>
        <v>0</v>
      </c>
    </row>
    <row r="72" spans="1:33" x14ac:dyDescent="0.3">
      <c r="A72" s="178" t="s">
        <v>221</v>
      </c>
      <c r="B72" s="953">
        <f>H72+J72+L72+N72+P72+R72+T72+V72+X72+Z72+AB72+AD72</f>
        <v>0</v>
      </c>
      <c r="C72" s="953">
        <f>H72</f>
        <v>0</v>
      </c>
      <c r="D72" s="953">
        <f>E72</f>
        <v>0</v>
      </c>
      <c r="E72" s="953">
        <v>0</v>
      </c>
      <c r="F72" s="959">
        <v>0</v>
      </c>
      <c r="G72" s="959">
        <v>0</v>
      </c>
      <c r="H72" s="953">
        <v>0</v>
      </c>
      <c r="I72" s="953">
        <v>0</v>
      </c>
      <c r="J72" s="953">
        <v>0</v>
      </c>
      <c r="K72" s="953">
        <v>0</v>
      </c>
      <c r="L72" s="953">
        <v>0</v>
      </c>
      <c r="M72" s="953">
        <v>0</v>
      </c>
      <c r="N72" s="953">
        <v>0</v>
      </c>
      <c r="O72" s="953">
        <v>0</v>
      </c>
      <c r="P72" s="953">
        <v>0</v>
      </c>
      <c r="Q72" s="953">
        <v>0</v>
      </c>
      <c r="R72" s="953">
        <v>0</v>
      </c>
      <c r="S72" s="953">
        <v>0</v>
      </c>
      <c r="T72" s="953">
        <v>0</v>
      </c>
      <c r="U72" s="953"/>
      <c r="V72" s="953">
        <v>0</v>
      </c>
      <c r="W72" s="953"/>
      <c r="X72" s="953">
        <v>0</v>
      </c>
      <c r="Y72" s="953"/>
      <c r="Z72" s="953">
        <v>0</v>
      </c>
      <c r="AA72" s="953"/>
      <c r="AB72" s="953">
        <v>0</v>
      </c>
      <c r="AC72" s="953"/>
      <c r="AD72" s="953">
        <v>0</v>
      </c>
      <c r="AE72" s="953"/>
      <c r="AF72" s="204"/>
      <c r="AG72" s="175">
        <f t="shared" si="2"/>
        <v>0</v>
      </c>
    </row>
    <row r="73" spans="1:33" s="177" customFormat="1" ht="56.25" x14ac:dyDescent="0.3">
      <c r="A73" s="205" t="s">
        <v>232</v>
      </c>
      <c r="B73" s="953">
        <f>B74</f>
        <v>8892.5</v>
      </c>
      <c r="C73" s="953">
        <f>C74</f>
        <v>4257.9400000000005</v>
      </c>
      <c r="D73" s="953">
        <f>D74</f>
        <v>4205.0310600000003</v>
      </c>
      <c r="E73" s="953">
        <f>E74</f>
        <v>4205.0310600000003</v>
      </c>
      <c r="F73" s="959">
        <f>E73/B73*100</f>
        <v>47.287388923249935</v>
      </c>
      <c r="G73" s="959">
        <f>E73/C73*100</f>
        <v>98.757405224122451</v>
      </c>
      <c r="H73" s="953">
        <f t="shared" ref="H73:T73" si="27">H74</f>
        <v>688.42100000000005</v>
      </c>
      <c r="I73" s="953">
        <f t="shared" si="27"/>
        <v>586.09262000000001</v>
      </c>
      <c r="J73" s="953">
        <f t="shared" si="27"/>
        <v>1073.856</v>
      </c>
      <c r="K73" s="953">
        <f t="shared" si="27"/>
        <v>981.59352000000001</v>
      </c>
      <c r="L73" s="953">
        <f t="shared" si="27"/>
        <v>454.34500000000003</v>
      </c>
      <c r="M73" s="953">
        <f t="shared" si="27"/>
        <v>633.97266999999999</v>
      </c>
      <c r="N73" s="953">
        <f t="shared" si="27"/>
        <v>765.00800000000004</v>
      </c>
      <c r="O73" s="953">
        <f t="shared" si="27"/>
        <v>508.28328999999997</v>
      </c>
      <c r="P73" s="953">
        <f t="shared" si="27"/>
        <v>852.87800000000004</v>
      </c>
      <c r="Q73" s="953">
        <f t="shared" si="27"/>
        <v>780.76721999999995</v>
      </c>
      <c r="R73" s="953">
        <f t="shared" si="27"/>
        <v>423.43199999999996</v>
      </c>
      <c r="S73" s="953">
        <f t="shared" si="27"/>
        <v>714.32174000000009</v>
      </c>
      <c r="T73" s="953">
        <f t="shared" si="27"/>
        <v>732.11599999999999</v>
      </c>
      <c r="U73" s="953"/>
      <c r="V73" s="953">
        <f>V74</f>
        <v>806.75699999999995</v>
      </c>
      <c r="W73" s="953"/>
      <c r="X73" s="953">
        <f>X74</f>
        <v>584.42000000000007</v>
      </c>
      <c r="Y73" s="953"/>
      <c r="Z73" s="953">
        <f>Z74</f>
        <v>978.37</v>
      </c>
      <c r="AA73" s="953"/>
      <c r="AB73" s="953">
        <f>AB74</f>
        <v>676.66200000000003</v>
      </c>
      <c r="AC73" s="953"/>
      <c r="AD73" s="953">
        <f>AD74</f>
        <v>856.23500000000001</v>
      </c>
      <c r="AE73" s="953"/>
      <c r="AF73" s="174"/>
      <c r="AG73" s="175">
        <f t="shared" si="2"/>
        <v>0</v>
      </c>
    </row>
    <row r="74" spans="1:33" s="177" customFormat="1" x14ac:dyDescent="0.3">
      <c r="A74" s="187" t="s">
        <v>31</v>
      </c>
      <c r="B74" s="953">
        <f>B75+B76+B77+B78</f>
        <v>8892.5</v>
      </c>
      <c r="C74" s="953">
        <f>C75+C76+C77+C78</f>
        <v>4257.9400000000005</v>
      </c>
      <c r="D74" s="953">
        <f>D75+D76+D77+D78</f>
        <v>4205.0310600000003</v>
      </c>
      <c r="E74" s="953">
        <f>E75+E76+E77+E78</f>
        <v>4205.0310600000003</v>
      </c>
      <c r="F74" s="959">
        <f>E74/B74*100</f>
        <v>47.287388923249935</v>
      </c>
      <c r="G74" s="959">
        <f>E74/C74*100</f>
        <v>98.757405224122451</v>
      </c>
      <c r="H74" s="953">
        <f t="shared" ref="H74:T74" si="28">H75+H76+H77+H78</f>
        <v>688.42100000000005</v>
      </c>
      <c r="I74" s="953">
        <f t="shared" si="28"/>
        <v>586.09262000000001</v>
      </c>
      <c r="J74" s="953">
        <f t="shared" si="28"/>
        <v>1073.856</v>
      </c>
      <c r="K74" s="953">
        <f t="shared" si="28"/>
        <v>981.59352000000001</v>
      </c>
      <c r="L74" s="953">
        <f t="shared" si="28"/>
        <v>454.34500000000003</v>
      </c>
      <c r="M74" s="953">
        <f t="shared" si="28"/>
        <v>633.97266999999999</v>
      </c>
      <c r="N74" s="953">
        <f t="shared" si="28"/>
        <v>765.00800000000004</v>
      </c>
      <c r="O74" s="953">
        <f t="shared" si="28"/>
        <v>508.28328999999997</v>
      </c>
      <c r="P74" s="953">
        <f t="shared" si="28"/>
        <v>852.87800000000004</v>
      </c>
      <c r="Q74" s="953">
        <f t="shared" si="28"/>
        <v>780.76721999999995</v>
      </c>
      <c r="R74" s="953">
        <f t="shared" si="28"/>
        <v>423.43199999999996</v>
      </c>
      <c r="S74" s="953">
        <f t="shared" si="28"/>
        <v>714.32174000000009</v>
      </c>
      <c r="T74" s="953">
        <f t="shared" si="28"/>
        <v>732.11599999999999</v>
      </c>
      <c r="U74" s="953"/>
      <c r="V74" s="953">
        <f>V75+V76+V77+V78</f>
        <v>806.75699999999995</v>
      </c>
      <c r="W74" s="953"/>
      <c r="X74" s="953">
        <f>X75+X76+X77+X78</f>
        <v>584.42000000000007</v>
      </c>
      <c r="Y74" s="953"/>
      <c r="Z74" s="953">
        <f>Z75+Z76+Z77+Z78</f>
        <v>978.37</v>
      </c>
      <c r="AA74" s="953"/>
      <c r="AB74" s="953">
        <f>AB75+AB76+AB77+AB78</f>
        <v>676.66200000000003</v>
      </c>
      <c r="AC74" s="953"/>
      <c r="AD74" s="953">
        <f>AD75+AD76+AD77+AD78</f>
        <v>856.23500000000001</v>
      </c>
      <c r="AE74" s="953"/>
      <c r="AF74" s="174"/>
      <c r="AG74" s="175">
        <f t="shared" si="2"/>
        <v>0</v>
      </c>
    </row>
    <row r="75" spans="1:33" x14ac:dyDescent="0.3">
      <c r="A75" s="178" t="s">
        <v>169</v>
      </c>
      <c r="B75" s="953">
        <f>H75+J75+L75+N75+P75+R75+T75+V75+X75+Z75+AB75+AD75</f>
        <v>6100.7000000000007</v>
      </c>
      <c r="C75" s="954">
        <f>H75+J75+L75+N75+P75+R75</f>
        <v>3007.94</v>
      </c>
      <c r="D75" s="954">
        <f>E75</f>
        <v>3007.9400000000005</v>
      </c>
      <c r="E75" s="957">
        <f>I75+K75+M75+O75+Q75+S75</f>
        <v>3007.9400000000005</v>
      </c>
      <c r="F75" s="959">
        <f>E75/B75*100</f>
        <v>49.304833871522938</v>
      </c>
      <c r="G75" s="959">
        <f>E75/C75*100</f>
        <v>100.00000000000003</v>
      </c>
      <c r="H75" s="953">
        <v>438.42099999999999</v>
      </c>
      <c r="I75" s="953">
        <v>415.91363999999999</v>
      </c>
      <c r="J75" s="953">
        <v>873.85599999999999</v>
      </c>
      <c r="K75" s="953">
        <f>579.75136+2+260.09835+14.1</f>
        <v>855.94970999999998</v>
      </c>
      <c r="L75" s="953">
        <v>155.80000000000001</v>
      </c>
      <c r="M75" s="953">
        <v>196.17665</v>
      </c>
      <c r="N75" s="953">
        <v>565.00800000000004</v>
      </c>
      <c r="O75" s="953">
        <v>335.28814</v>
      </c>
      <c r="P75" s="953">
        <v>652.87800000000004</v>
      </c>
      <c r="Q75" s="953">
        <v>780.76721999999995</v>
      </c>
      <c r="R75" s="953">
        <v>321.97699999999998</v>
      </c>
      <c r="S75" s="953">
        <v>423.84464000000003</v>
      </c>
      <c r="T75" s="953">
        <v>532.11599999999999</v>
      </c>
      <c r="U75" s="953"/>
      <c r="V75" s="953">
        <v>606.75699999999995</v>
      </c>
      <c r="W75" s="953"/>
      <c r="X75" s="953">
        <v>384.42</v>
      </c>
      <c r="Y75" s="953"/>
      <c r="Z75" s="953">
        <v>568.47</v>
      </c>
      <c r="AA75" s="953"/>
      <c r="AB75" s="953">
        <v>476.66199999999998</v>
      </c>
      <c r="AC75" s="953"/>
      <c r="AD75" s="953">
        <v>524.33500000000004</v>
      </c>
      <c r="AE75" s="953"/>
      <c r="AF75" s="182"/>
      <c r="AG75" s="175">
        <f t="shared" si="2"/>
        <v>0</v>
      </c>
    </row>
    <row r="76" spans="1:33" x14ac:dyDescent="0.3">
      <c r="A76" s="178" t="s">
        <v>32</v>
      </c>
      <c r="B76" s="953">
        <f>H76+J76+L76+N76+P76+R76+T76+V76+X76+Z76+AB76+AD76</f>
        <v>2791.8</v>
      </c>
      <c r="C76" s="954">
        <f>H76+J76+L76+N76+P76+R76</f>
        <v>1250</v>
      </c>
      <c r="D76" s="954">
        <f>E76</f>
        <v>1197.09106</v>
      </c>
      <c r="E76" s="957">
        <f>I76+K76+M76+O76+Q76+S76</f>
        <v>1197.09106</v>
      </c>
      <c r="F76" s="959">
        <f>E76/B76*100</f>
        <v>42.878825847123714</v>
      </c>
      <c r="G76" s="959">
        <f>E76/C76*100</f>
        <v>95.767284799999999</v>
      </c>
      <c r="H76" s="953">
        <v>250</v>
      </c>
      <c r="I76" s="953">
        <v>170.17898</v>
      </c>
      <c r="J76" s="953">
        <v>200</v>
      </c>
      <c r="K76" s="953">
        <v>125.64381</v>
      </c>
      <c r="L76" s="953">
        <v>298.54500000000002</v>
      </c>
      <c r="M76" s="953">
        <v>437.79602</v>
      </c>
      <c r="N76" s="953">
        <v>200</v>
      </c>
      <c r="O76" s="953">
        <v>172.99515</v>
      </c>
      <c r="P76" s="953">
        <v>200</v>
      </c>
      <c r="Q76" s="953">
        <v>0</v>
      </c>
      <c r="R76" s="953">
        <v>101.455</v>
      </c>
      <c r="S76" s="953">
        <v>290.47710000000001</v>
      </c>
      <c r="T76" s="953">
        <v>200</v>
      </c>
      <c r="U76" s="953"/>
      <c r="V76" s="953">
        <v>200</v>
      </c>
      <c r="W76" s="953"/>
      <c r="X76" s="953">
        <v>200</v>
      </c>
      <c r="Y76" s="953"/>
      <c r="Z76" s="953">
        <v>409.9</v>
      </c>
      <c r="AA76" s="953"/>
      <c r="AB76" s="953">
        <v>200</v>
      </c>
      <c r="AC76" s="953"/>
      <c r="AD76" s="953">
        <v>331.9</v>
      </c>
      <c r="AE76" s="953"/>
      <c r="AF76" s="182"/>
      <c r="AG76" s="175">
        <f t="shared" ref="AG76:AG88" si="29">AD76+AB76+Z76+X76+V76+T76+R76+P76+N76+L76+J76+H76-B76</f>
        <v>0</v>
      </c>
    </row>
    <row r="77" spans="1:33" x14ac:dyDescent="0.3">
      <c r="A77" s="178" t="s">
        <v>33</v>
      </c>
      <c r="B77" s="953">
        <f>H77+J77+L77+N77+P77+R77+T77+V77+X77+Z77+AB77+AD77</f>
        <v>0</v>
      </c>
      <c r="C77" s="953">
        <f>H77</f>
        <v>0</v>
      </c>
      <c r="D77" s="953">
        <v>0</v>
      </c>
      <c r="E77" s="953">
        <v>0</v>
      </c>
      <c r="F77" s="959">
        <v>0</v>
      </c>
      <c r="G77" s="959">
        <v>0</v>
      </c>
      <c r="H77" s="953">
        <v>0</v>
      </c>
      <c r="I77" s="953">
        <v>0</v>
      </c>
      <c r="J77" s="953">
        <v>0</v>
      </c>
      <c r="K77" s="953">
        <v>0</v>
      </c>
      <c r="L77" s="953">
        <v>0</v>
      </c>
      <c r="M77" s="953">
        <v>0</v>
      </c>
      <c r="N77" s="953">
        <v>0</v>
      </c>
      <c r="O77" s="953">
        <v>0</v>
      </c>
      <c r="P77" s="953">
        <v>0</v>
      </c>
      <c r="Q77" s="953">
        <v>0</v>
      </c>
      <c r="R77" s="953">
        <v>0</v>
      </c>
      <c r="S77" s="953">
        <v>0</v>
      </c>
      <c r="T77" s="953">
        <v>0</v>
      </c>
      <c r="U77" s="953"/>
      <c r="V77" s="953">
        <v>0</v>
      </c>
      <c r="W77" s="953"/>
      <c r="X77" s="953">
        <v>0</v>
      </c>
      <c r="Y77" s="953"/>
      <c r="Z77" s="953">
        <v>0</v>
      </c>
      <c r="AA77" s="953"/>
      <c r="AB77" s="953">
        <v>0</v>
      </c>
      <c r="AC77" s="953"/>
      <c r="AD77" s="953">
        <v>0</v>
      </c>
      <c r="AE77" s="953"/>
      <c r="AF77" s="182"/>
      <c r="AG77" s="175">
        <f t="shared" si="29"/>
        <v>0</v>
      </c>
    </row>
    <row r="78" spans="1:33" x14ac:dyDescent="0.3">
      <c r="A78" s="178" t="s">
        <v>221</v>
      </c>
      <c r="B78" s="953">
        <f>H78+J78+L78+N78+P78+R78+T78+V78+X78+Z78+AB78+AD78</f>
        <v>0</v>
      </c>
      <c r="C78" s="953">
        <f>H78</f>
        <v>0</v>
      </c>
      <c r="D78" s="953">
        <v>0</v>
      </c>
      <c r="E78" s="953">
        <v>0</v>
      </c>
      <c r="F78" s="959">
        <v>0</v>
      </c>
      <c r="G78" s="959">
        <v>0</v>
      </c>
      <c r="H78" s="953">
        <v>0</v>
      </c>
      <c r="I78" s="953">
        <v>0</v>
      </c>
      <c r="J78" s="953">
        <v>0</v>
      </c>
      <c r="K78" s="953">
        <v>0</v>
      </c>
      <c r="L78" s="953">
        <v>0</v>
      </c>
      <c r="M78" s="953">
        <v>0</v>
      </c>
      <c r="N78" s="953">
        <v>0</v>
      </c>
      <c r="O78" s="953">
        <v>0</v>
      </c>
      <c r="P78" s="953">
        <v>0</v>
      </c>
      <c r="Q78" s="953">
        <v>0</v>
      </c>
      <c r="R78" s="953">
        <v>0</v>
      </c>
      <c r="S78" s="953">
        <v>0</v>
      </c>
      <c r="T78" s="953">
        <v>0</v>
      </c>
      <c r="U78" s="953"/>
      <c r="V78" s="953">
        <v>0</v>
      </c>
      <c r="W78" s="953"/>
      <c r="X78" s="953">
        <v>0</v>
      </c>
      <c r="Y78" s="953"/>
      <c r="Z78" s="953">
        <v>0</v>
      </c>
      <c r="AA78" s="953"/>
      <c r="AB78" s="953">
        <v>0</v>
      </c>
      <c r="AC78" s="953"/>
      <c r="AD78" s="953">
        <v>0</v>
      </c>
      <c r="AE78" s="953"/>
      <c r="AF78" s="182"/>
      <c r="AG78" s="175">
        <f t="shared" si="29"/>
        <v>0</v>
      </c>
    </row>
    <row r="79" spans="1:33" s="177" customFormat="1" x14ac:dyDescent="0.3">
      <c r="A79" s="148" t="s">
        <v>233</v>
      </c>
      <c r="B79" s="206">
        <f>B80+B81+B82+B83</f>
        <v>160529.75095000002</v>
      </c>
      <c r="C79" s="206">
        <f>C80+C81+C82+C83</f>
        <v>83365.643290000007</v>
      </c>
      <c r="D79" s="206">
        <f>D80+D81+D82+D83</f>
        <v>72238.695409999986</v>
      </c>
      <c r="E79" s="206">
        <f>E80+E81+E82+E83</f>
        <v>72238.695409999986</v>
      </c>
      <c r="F79" s="206">
        <f>E79/B79*100</f>
        <v>45.000191542376513</v>
      </c>
      <c r="G79" s="206">
        <f>E79/C79*100</f>
        <v>86.652837498904375</v>
      </c>
      <c r="H79" s="206">
        <f t="shared" ref="H79:AE79" si="30">H80+H81+H82+H83</f>
        <v>19353.07159</v>
      </c>
      <c r="I79" s="206">
        <f t="shared" si="30"/>
        <v>11125.359619999999</v>
      </c>
      <c r="J79" s="206">
        <f t="shared" si="30"/>
        <v>13626.387999999999</v>
      </c>
      <c r="K79" s="206">
        <f t="shared" si="30"/>
        <v>12836.116740000001</v>
      </c>
      <c r="L79" s="206">
        <f t="shared" si="30"/>
        <v>10072.715</v>
      </c>
      <c r="M79" s="206">
        <f t="shared" si="30"/>
        <v>11483.041259999998</v>
      </c>
      <c r="N79" s="206">
        <f t="shared" si="30"/>
        <v>17517.697</v>
      </c>
      <c r="O79" s="206">
        <f t="shared" si="30"/>
        <v>12260.26957</v>
      </c>
      <c r="P79" s="206">
        <f t="shared" si="30"/>
        <v>12292.42949</v>
      </c>
      <c r="Q79" s="206">
        <f t="shared" si="30"/>
        <v>12281.844709999998</v>
      </c>
      <c r="R79" s="206">
        <f t="shared" si="30"/>
        <v>11296.493160000002</v>
      </c>
      <c r="S79" s="206">
        <f t="shared" si="30"/>
        <v>13045.214459999999</v>
      </c>
      <c r="T79" s="206">
        <f t="shared" si="30"/>
        <v>17584.183830000002</v>
      </c>
      <c r="U79" s="206">
        <f t="shared" si="30"/>
        <v>0</v>
      </c>
      <c r="V79" s="206">
        <f t="shared" si="30"/>
        <v>10684.85349</v>
      </c>
      <c r="W79" s="206">
        <f t="shared" si="30"/>
        <v>0</v>
      </c>
      <c r="X79" s="206">
        <f t="shared" si="30"/>
        <v>9506.7685099999999</v>
      </c>
      <c r="Y79" s="206">
        <f t="shared" si="30"/>
        <v>0</v>
      </c>
      <c r="Z79" s="206">
        <f t="shared" si="30"/>
        <v>14696.479000000001</v>
      </c>
      <c r="AA79" s="206">
        <f t="shared" si="30"/>
        <v>0</v>
      </c>
      <c r="AB79" s="206">
        <f t="shared" si="30"/>
        <v>10706.053</v>
      </c>
      <c r="AC79" s="206">
        <f t="shared" si="30"/>
        <v>0</v>
      </c>
      <c r="AD79" s="206">
        <f t="shared" si="30"/>
        <v>13192.61888</v>
      </c>
      <c r="AE79" s="206">
        <f t="shared" si="30"/>
        <v>0</v>
      </c>
      <c r="AF79" s="207"/>
      <c r="AG79" s="175">
        <f t="shared" si="29"/>
        <v>0</v>
      </c>
    </row>
    <row r="80" spans="1:33" s="177" customFormat="1" x14ac:dyDescent="0.3">
      <c r="A80" s="150" t="s">
        <v>169</v>
      </c>
      <c r="B80" s="208">
        <f>B75+B69+B63+B33+B27+B21+B13</f>
        <v>6100.7000000000007</v>
      </c>
      <c r="C80" s="208">
        <f t="shared" ref="C80:E81" si="31">C75</f>
        <v>3007.94</v>
      </c>
      <c r="D80" s="208">
        <f t="shared" si="31"/>
        <v>3007.9400000000005</v>
      </c>
      <c r="E80" s="208">
        <f t="shared" si="31"/>
        <v>3007.9400000000005</v>
      </c>
      <c r="F80" s="208">
        <f>E80/B80*100</f>
        <v>49.304833871522938</v>
      </c>
      <c r="G80" s="208">
        <f>E80/C80*100</f>
        <v>100.00000000000003</v>
      </c>
      <c r="H80" s="208">
        <f t="shared" ref="H80:AE83" si="32">H75+H69+H63+H33+H27+H21+H13</f>
        <v>438.42099999999999</v>
      </c>
      <c r="I80" s="208">
        <f t="shared" si="32"/>
        <v>415.91363999999999</v>
      </c>
      <c r="J80" s="208">
        <f t="shared" si="32"/>
        <v>873.85599999999999</v>
      </c>
      <c r="K80" s="208">
        <f t="shared" si="32"/>
        <v>855.94970999999998</v>
      </c>
      <c r="L80" s="208">
        <f t="shared" si="32"/>
        <v>155.80000000000001</v>
      </c>
      <c r="M80" s="208">
        <f t="shared" si="32"/>
        <v>196.17665</v>
      </c>
      <c r="N80" s="208">
        <f t="shared" si="32"/>
        <v>565.00800000000004</v>
      </c>
      <c r="O80" s="208">
        <f t="shared" si="32"/>
        <v>335.28814</v>
      </c>
      <c r="P80" s="208">
        <f t="shared" si="32"/>
        <v>652.87800000000004</v>
      </c>
      <c r="Q80" s="208">
        <f t="shared" si="32"/>
        <v>780.76721999999995</v>
      </c>
      <c r="R80" s="208">
        <f t="shared" si="32"/>
        <v>321.97699999999998</v>
      </c>
      <c r="S80" s="208">
        <f t="shared" si="32"/>
        <v>423.84464000000003</v>
      </c>
      <c r="T80" s="208">
        <f t="shared" si="32"/>
        <v>532.11599999999999</v>
      </c>
      <c r="U80" s="208">
        <f t="shared" si="32"/>
        <v>0</v>
      </c>
      <c r="V80" s="208">
        <f t="shared" si="32"/>
        <v>606.75699999999995</v>
      </c>
      <c r="W80" s="208">
        <f t="shared" si="32"/>
        <v>0</v>
      </c>
      <c r="X80" s="208">
        <f t="shared" si="32"/>
        <v>384.42</v>
      </c>
      <c r="Y80" s="208">
        <f t="shared" si="32"/>
        <v>0</v>
      </c>
      <c r="Z80" s="208">
        <f t="shared" si="32"/>
        <v>568.47</v>
      </c>
      <c r="AA80" s="208">
        <f t="shared" si="32"/>
        <v>0</v>
      </c>
      <c r="AB80" s="208">
        <f t="shared" si="32"/>
        <v>476.66199999999998</v>
      </c>
      <c r="AC80" s="208">
        <f t="shared" si="32"/>
        <v>0</v>
      </c>
      <c r="AD80" s="208">
        <f t="shared" si="32"/>
        <v>524.33500000000004</v>
      </c>
      <c r="AE80" s="208">
        <f t="shared" si="32"/>
        <v>0</v>
      </c>
      <c r="AF80" s="209"/>
      <c r="AG80" s="175">
        <f>AD80+AB80+Z80+X80+V80+T80+R80+P80+N80+L80+J80+H80-B80</f>
        <v>0</v>
      </c>
    </row>
    <row r="81" spans="1:33" s="177" customFormat="1" x14ac:dyDescent="0.3">
      <c r="A81" s="150" t="s">
        <v>32</v>
      </c>
      <c r="B81" s="208">
        <f>B76+B70+B64+B34+B28+B22+B14</f>
        <v>3584.9509500000004</v>
      </c>
      <c r="C81" s="208">
        <f>C76</f>
        <v>1250</v>
      </c>
      <c r="D81" s="208">
        <f t="shared" si="31"/>
        <v>1197.09106</v>
      </c>
      <c r="E81" s="208">
        <f t="shared" si="31"/>
        <v>1197.09106</v>
      </c>
      <c r="F81" s="208">
        <f>E81/B81*100</f>
        <v>33.392118238047296</v>
      </c>
      <c r="G81" s="208">
        <f>E81/C81*100</f>
        <v>95.767284799999999</v>
      </c>
      <c r="H81" s="208">
        <f t="shared" si="32"/>
        <v>250</v>
      </c>
      <c r="I81" s="208">
        <f t="shared" si="32"/>
        <v>170.17898</v>
      </c>
      <c r="J81" s="208">
        <f t="shared" si="32"/>
        <v>200</v>
      </c>
      <c r="K81" s="208">
        <f t="shared" si="32"/>
        <v>125.64381</v>
      </c>
      <c r="L81" s="208">
        <f t="shared" si="32"/>
        <v>298.54500000000002</v>
      </c>
      <c r="M81" s="208">
        <f t="shared" si="32"/>
        <v>437.79602</v>
      </c>
      <c r="N81" s="208">
        <f t="shared" si="32"/>
        <v>200</v>
      </c>
      <c r="O81" s="208">
        <f t="shared" si="32"/>
        <v>172.99515</v>
      </c>
      <c r="P81" s="208">
        <f t="shared" si="32"/>
        <v>993.15094999999997</v>
      </c>
      <c r="Q81" s="208">
        <f t="shared" si="32"/>
        <v>793.15094999999997</v>
      </c>
      <c r="R81" s="208">
        <f t="shared" si="32"/>
        <v>101.455</v>
      </c>
      <c r="S81" s="208">
        <f t="shared" si="32"/>
        <v>290.47710000000001</v>
      </c>
      <c r="T81" s="208">
        <f t="shared" si="32"/>
        <v>200</v>
      </c>
      <c r="U81" s="208">
        <f t="shared" si="32"/>
        <v>0</v>
      </c>
      <c r="V81" s="208">
        <f t="shared" si="32"/>
        <v>200</v>
      </c>
      <c r="W81" s="208">
        <f t="shared" si="32"/>
        <v>0</v>
      </c>
      <c r="X81" s="208">
        <f t="shared" si="32"/>
        <v>200</v>
      </c>
      <c r="Y81" s="208">
        <f t="shared" si="32"/>
        <v>0</v>
      </c>
      <c r="Z81" s="208">
        <f t="shared" si="32"/>
        <v>409.9</v>
      </c>
      <c r="AA81" s="208">
        <f t="shared" si="32"/>
        <v>0</v>
      </c>
      <c r="AB81" s="208">
        <f t="shared" si="32"/>
        <v>200</v>
      </c>
      <c r="AC81" s="208">
        <f t="shared" si="32"/>
        <v>0</v>
      </c>
      <c r="AD81" s="208">
        <f t="shared" si="32"/>
        <v>331.9</v>
      </c>
      <c r="AE81" s="208">
        <f t="shared" si="32"/>
        <v>0</v>
      </c>
      <c r="AF81" s="210"/>
      <c r="AG81" s="175">
        <f t="shared" si="29"/>
        <v>0</v>
      </c>
    </row>
    <row r="82" spans="1:33" s="177" customFormat="1" x14ac:dyDescent="0.3">
      <c r="A82" s="150" t="s">
        <v>33</v>
      </c>
      <c r="B82" s="208">
        <f>B77+B71+B65+B35+B29+B23+B15</f>
        <v>150844.1</v>
      </c>
      <c r="C82" s="208">
        <f t="shared" ref="C82:E83" si="33">C15+C23+C29+C35+C65+C71+C77</f>
        <v>79107.703290000005</v>
      </c>
      <c r="D82" s="208">
        <f t="shared" si="33"/>
        <v>68033.664349999992</v>
      </c>
      <c r="E82" s="208">
        <f t="shared" si="33"/>
        <v>68033.664349999992</v>
      </c>
      <c r="F82" s="208">
        <f>E82/B82*100</f>
        <v>45.101972400644101</v>
      </c>
      <c r="G82" s="208">
        <f>E82/C82*100</f>
        <v>86.00131405736326</v>
      </c>
      <c r="H82" s="208">
        <f t="shared" si="32"/>
        <v>18664.650590000001</v>
      </c>
      <c r="I82" s="208">
        <f t="shared" si="32"/>
        <v>10539.267</v>
      </c>
      <c r="J82" s="208">
        <f t="shared" si="32"/>
        <v>12552.531999999999</v>
      </c>
      <c r="K82" s="208">
        <f t="shared" si="32"/>
        <v>11854.523220000001</v>
      </c>
      <c r="L82" s="208">
        <f t="shared" si="32"/>
        <v>9618.3700000000008</v>
      </c>
      <c r="M82" s="208">
        <f t="shared" si="32"/>
        <v>10849.068589999999</v>
      </c>
      <c r="N82" s="208">
        <f t="shared" si="32"/>
        <v>16752.688999999998</v>
      </c>
      <c r="O82" s="208">
        <f t="shared" si="32"/>
        <v>11751.986280000001</v>
      </c>
      <c r="P82" s="208">
        <f t="shared" si="32"/>
        <v>10646.400540000001</v>
      </c>
      <c r="Q82" s="208">
        <f t="shared" si="32"/>
        <v>10707.926539999999</v>
      </c>
      <c r="R82" s="208">
        <f t="shared" si="32"/>
        <v>10873.061160000001</v>
      </c>
      <c r="S82" s="208">
        <f t="shared" si="32"/>
        <v>12330.89272</v>
      </c>
      <c r="T82" s="208">
        <f t="shared" si="32"/>
        <v>16852.06783</v>
      </c>
      <c r="U82" s="208">
        <f t="shared" si="32"/>
        <v>0</v>
      </c>
      <c r="V82" s="208">
        <f t="shared" si="32"/>
        <v>9878.0964899999999</v>
      </c>
      <c r="W82" s="208">
        <f t="shared" si="32"/>
        <v>0</v>
      </c>
      <c r="X82" s="208">
        <f t="shared" si="32"/>
        <v>8922.3485099999998</v>
      </c>
      <c r="Y82" s="208">
        <f t="shared" si="32"/>
        <v>0</v>
      </c>
      <c r="Z82" s="208">
        <f t="shared" si="32"/>
        <v>13718.109</v>
      </c>
      <c r="AA82" s="208">
        <f t="shared" si="32"/>
        <v>0</v>
      </c>
      <c r="AB82" s="208">
        <f t="shared" si="32"/>
        <v>10029.391</v>
      </c>
      <c r="AC82" s="208">
        <f t="shared" si="32"/>
        <v>0</v>
      </c>
      <c r="AD82" s="208">
        <f t="shared" si="32"/>
        <v>12336.383879999999</v>
      </c>
      <c r="AE82" s="208">
        <f t="shared" si="32"/>
        <v>0</v>
      </c>
      <c r="AF82" s="210"/>
      <c r="AG82" s="175">
        <f t="shared" si="29"/>
        <v>0</v>
      </c>
    </row>
    <row r="83" spans="1:33" s="177" customFormat="1" x14ac:dyDescent="0.3">
      <c r="A83" s="152" t="s">
        <v>221</v>
      </c>
      <c r="B83" s="208">
        <f>B78+B72+B66+B36+B30+B24+B16</f>
        <v>0</v>
      </c>
      <c r="C83" s="208">
        <f t="shared" si="33"/>
        <v>0</v>
      </c>
      <c r="D83" s="208">
        <f t="shared" si="33"/>
        <v>0</v>
      </c>
      <c r="E83" s="208">
        <f t="shared" si="33"/>
        <v>0</v>
      </c>
      <c r="F83" s="208">
        <v>0</v>
      </c>
      <c r="G83" s="208">
        <v>0</v>
      </c>
      <c r="H83" s="208">
        <f t="shared" si="32"/>
        <v>0</v>
      </c>
      <c r="I83" s="208">
        <f t="shared" si="32"/>
        <v>0</v>
      </c>
      <c r="J83" s="208">
        <f t="shared" si="32"/>
        <v>0</v>
      </c>
      <c r="K83" s="208">
        <f t="shared" si="32"/>
        <v>0</v>
      </c>
      <c r="L83" s="208">
        <f t="shared" si="32"/>
        <v>0</v>
      </c>
      <c r="M83" s="208">
        <f t="shared" si="32"/>
        <v>0</v>
      </c>
      <c r="N83" s="208">
        <f t="shared" si="32"/>
        <v>0</v>
      </c>
      <c r="O83" s="208">
        <f t="shared" si="32"/>
        <v>0</v>
      </c>
      <c r="P83" s="208">
        <f t="shared" si="32"/>
        <v>0</v>
      </c>
      <c r="Q83" s="208">
        <f t="shared" si="32"/>
        <v>0</v>
      </c>
      <c r="R83" s="208">
        <f t="shared" si="32"/>
        <v>0</v>
      </c>
      <c r="S83" s="208">
        <f t="shared" si="32"/>
        <v>0</v>
      </c>
      <c r="T83" s="208">
        <f t="shared" si="32"/>
        <v>0</v>
      </c>
      <c r="U83" s="208">
        <f t="shared" si="32"/>
        <v>0</v>
      </c>
      <c r="V83" s="208">
        <f t="shared" si="32"/>
        <v>0</v>
      </c>
      <c r="W83" s="208">
        <f t="shared" si="32"/>
        <v>0</v>
      </c>
      <c r="X83" s="208">
        <f t="shared" si="32"/>
        <v>0</v>
      </c>
      <c r="Y83" s="208">
        <f t="shared" si="32"/>
        <v>0</v>
      </c>
      <c r="Z83" s="208">
        <f t="shared" si="32"/>
        <v>0</v>
      </c>
      <c r="AA83" s="208">
        <f t="shared" si="32"/>
        <v>0</v>
      </c>
      <c r="AB83" s="208">
        <f t="shared" si="32"/>
        <v>0</v>
      </c>
      <c r="AC83" s="208">
        <f t="shared" si="32"/>
        <v>0</v>
      </c>
      <c r="AD83" s="208">
        <f t="shared" si="32"/>
        <v>0</v>
      </c>
      <c r="AE83" s="208">
        <f t="shared" si="32"/>
        <v>0</v>
      </c>
      <c r="AF83" s="210"/>
      <c r="AG83" s="175">
        <f t="shared" si="29"/>
        <v>0</v>
      </c>
    </row>
    <row r="84" spans="1:33" s="177" customFormat="1" ht="37.5" x14ac:dyDescent="0.3">
      <c r="A84" s="148" t="s">
        <v>64</v>
      </c>
      <c r="B84" s="206">
        <f>B85+B86+B87+B88</f>
        <v>160529.75095000002</v>
      </c>
      <c r="C84" s="206">
        <f>C85+C86+C87+C88</f>
        <v>84158.794240000003</v>
      </c>
      <c r="D84" s="206">
        <f>D85+D86+D87+D88</f>
        <v>73031.846359999996</v>
      </c>
      <c r="E84" s="206">
        <f>E85+E86+E87+E88</f>
        <v>73031.846359999996</v>
      </c>
      <c r="F84" s="206">
        <f>E84/B84*100</f>
        <v>45.494275003732568</v>
      </c>
      <c r="G84" s="206">
        <f>E84/C84*100</f>
        <v>86.778627259952529</v>
      </c>
      <c r="H84" s="206">
        <f t="shared" ref="H84:AE84" si="34">H85+H86+H87+H88</f>
        <v>19353.07159</v>
      </c>
      <c r="I84" s="206">
        <f t="shared" si="34"/>
        <v>11125.359619999999</v>
      </c>
      <c r="J84" s="206">
        <f t="shared" si="34"/>
        <v>13626.387999999999</v>
      </c>
      <c r="K84" s="206">
        <f t="shared" si="34"/>
        <v>12836.116740000001</v>
      </c>
      <c r="L84" s="206">
        <f t="shared" si="34"/>
        <v>10072.714999999998</v>
      </c>
      <c r="M84" s="206">
        <f t="shared" si="34"/>
        <v>11483.041259999998</v>
      </c>
      <c r="N84" s="206">
        <f t="shared" si="34"/>
        <v>17517.697</v>
      </c>
      <c r="O84" s="206">
        <f t="shared" si="34"/>
        <v>12260.26957</v>
      </c>
      <c r="P84" s="206">
        <f t="shared" si="34"/>
        <v>12292.42949</v>
      </c>
      <c r="Q84" s="206">
        <f t="shared" si="34"/>
        <v>12281.844710000001</v>
      </c>
      <c r="R84" s="206">
        <f t="shared" si="34"/>
        <v>11296.493160000002</v>
      </c>
      <c r="S84" s="206">
        <f t="shared" si="34"/>
        <v>13045.214459999999</v>
      </c>
      <c r="T84" s="206">
        <f t="shared" si="34"/>
        <v>17584.183830000002</v>
      </c>
      <c r="U84" s="206">
        <f t="shared" si="34"/>
        <v>0</v>
      </c>
      <c r="V84" s="206">
        <f t="shared" si="34"/>
        <v>10684.85349</v>
      </c>
      <c r="W84" s="206">
        <f t="shared" si="34"/>
        <v>0</v>
      </c>
      <c r="X84" s="206">
        <f t="shared" si="34"/>
        <v>9506.7685099999999</v>
      </c>
      <c r="Y84" s="206">
        <f t="shared" si="34"/>
        <v>0</v>
      </c>
      <c r="Z84" s="206">
        <f t="shared" si="34"/>
        <v>14696.479000000001</v>
      </c>
      <c r="AA84" s="206">
        <f t="shared" si="34"/>
        <v>0</v>
      </c>
      <c r="AB84" s="206">
        <f t="shared" si="34"/>
        <v>10706.053</v>
      </c>
      <c r="AC84" s="206">
        <f t="shared" si="34"/>
        <v>0</v>
      </c>
      <c r="AD84" s="206">
        <f t="shared" si="34"/>
        <v>13192.61888</v>
      </c>
      <c r="AE84" s="206">
        <f t="shared" si="34"/>
        <v>0</v>
      </c>
      <c r="AF84" s="207"/>
      <c r="AG84" s="175">
        <f t="shared" si="29"/>
        <v>0</v>
      </c>
    </row>
    <row r="85" spans="1:33" s="177" customFormat="1" x14ac:dyDescent="0.3">
      <c r="A85" s="150" t="s">
        <v>169</v>
      </c>
      <c r="B85" s="208">
        <f t="shared" ref="B85:E88" si="35">B13+B21+B27+B33+B63+B69+B75</f>
        <v>6100.7000000000007</v>
      </c>
      <c r="C85" s="208">
        <f t="shared" si="35"/>
        <v>3007.94</v>
      </c>
      <c r="D85" s="208">
        <f t="shared" si="35"/>
        <v>3007.9400000000005</v>
      </c>
      <c r="E85" s="208">
        <f t="shared" si="35"/>
        <v>3007.9400000000005</v>
      </c>
      <c r="F85" s="208">
        <f>E85/B85*100</f>
        <v>49.304833871522938</v>
      </c>
      <c r="G85" s="208">
        <f>E85/C85*100</f>
        <v>100.00000000000003</v>
      </c>
      <c r="H85" s="208">
        <f t="shared" ref="H85:AE88" si="36">H13+H21+H27+H33+H63+H69+H75</f>
        <v>438.42099999999999</v>
      </c>
      <c r="I85" s="208">
        <f t="shared" si="36"/>
        <v>415.91363999999999</v>
      </c>
      <c r="J85" s="208">
        <f t="shared" si="36"/>
        <v>873.85599999999999</v>
      </c>
      <c r="K85" s="208">
        <f t="shared" si="36"/>
        <v>855.94970999999998</v>
      </c>
      <c r="L85" s="208">
        <f t="shared" si="36"/>
        <v>155.80000000000001</v>
      </c>
      <c r="M85" s="208">
        <f t="shared" si="36"/>
        <v>196.17665</v>
      </c>
      <c r="N85" s="208">
        <f t="shared" si="36"/>
        <v>565.00800000000004</v>
      </c>
      <c r="O85" s="208">
        <f t="shared" si="36"/>
        <v>335.28814</v>
      </c>
      <c r="P85" s="208">
        <f t="shared" si="36"/>
        <v>652.87800000000004</v>
      </c>
      <c r="Q85" s="208">
        <f t="shared" si="36"/>
        <v>780.76721999999995</v>
      </c>
      <c r="R85" s="208">
        <f t="shared" si="36"/>
        <v>321.97699999999998</v>
      </c>
      <c r="S85" s="208">
        <f t="shared" si="36"/>
        <v>423.84464000000003</v>
      </c>
      <c r="T85" s="208">
        <f t="shared" si="36"/>
        <v>532.11599999999999</v>
      </c>
      <c r="U85" s="208">
        <f t="shared" si="36"/>
        <v>0</v>
      </c>
      <c r="V85" s="208">
        <f t="shared" si="36"/>
        <v>606.75699999999995</v>
      </c>
      <c r="W85" s="208">
        <f t="shared" si="36"/>
        <v>0</v>
      </c>
      <c r="X85" s="208">
        <f t="shared" si="36"/>
        <v>384.42</v>
      </c>
      <c r="Y85" s="208">
        <f t="shared" si="36"/>
        <v>0</v>
      </c>
      <c r="Z85" s="208">
        <f t="shared" si="36"/>
        <v>568.47</v>
      </c>
      <c r="AA85" s="208">
        <f t="shared" si="36"/>
        <v>0</v>
      </c>
      <c r="AB85" s="208">
        <f t="shared" si="36"/>
        <v>476.66199999999998</v>
      </c>
      <c r="AC85" s="208">
        <f t="shared" si="36"/>
        <v>0</v>
      </c>
      <c r="AD85" s="208">
        <f t="shared" si="36"/>
        <v>524.33500000000004</v>
      </c>
      <c r="AE85" s="208">
        <f t="shared" si="36"/>
        <v>0</v>
      </c>
      <c r="AF85" s="209"/>
      <c r="AG85" s="175">
        <f t="shared" si="29"/>
        <v>0</v>
      </c>
    </row>
    <row r="86" spans="1:33" s="177" customFormat="1" x14ac:dyDescent="0.3">
      <c r="A86" s="150" t="s">
        <v>32</v>
      </c>
      <c r="B86" s="208">
        <f t="shared" si="35"/>
        <v>3584.9509500000004</v>
      </c>
      <c r="C86" s="208">
        <f t="shared" si="35"/>
        <v>2043.15095</v>
      </c>
      <c r="D86" s="208">
        <f t="shared" si="35"/>
        <v>1990.2420099999999</v>
      </c>
      <c r="E86" s="208">
        <f t="shared" si="35"/>
        <v>1990.2420099999999</v>
      </c>
      <c r="F86" s="208">
        <f>E86/B86*100</f>
        <v>55.516575756775687</v>
      </c>
      <c r="G86" s="208">
        <f>E86/C86*100</f>
        <v>97.410424325231574</v>
      </c>
      <c r="H86" s="208">
        <f t="shared" si="36"/>
        <v>250</v>
      </c>
      <c r="I86" s="208">
        <f t="shared" si="36"/>
        <v>170.17898</v>
      </c>
      <c r="J86" s="208">
        <f t="shared" si="36"/>
        <v>200</v>
      </c>
      <c r="K86" s="208">
        <f t="shared" si="36"/>
        <v>125.64381</v>
      </c>
      <c r="L86" s="208">
        <f t="shared" si="36"/>
        <v>298.54500000000002</v>
      </c>
      <c r="M86" s="208">
        <f t="shared" si="36"/>
        <v>437.79602</v>
      </c>
      <c r="N86" s="208">
        <f t="shared" si="36"/>
        <v>200</v>
      </c>
      <c r="O86" s="208">
        <f t="shared" si="36"/>
        <v>172.99515</v>
      </c>
      <c r="P86" s="208">
        <f t="shared" si="36"/>
        <v>993.15094999999997</v>
      </c>
      <c r="Q86" s="208">
        <f t="shared" si="36"/>
        <v>793.15094999999997</v>
      </c>
      <c r="R86" s="208">
        <f t="shared" si="36"/>
        <v>101.455</v>
      </c>
      <c r="S86" s="208">
        <f t="shared" si="36"/>
        <v>290.47710000000001</v>
      </c>
      <c r="T86" s="208">
        <f t="shared" si="36"/>
        <v>200</v>
      </c>
      <c r="U86" s="208">
        <f t="shared" si="36"/>
        <v>0</v>
      </c>
      <c r="V86" s="208">
        <f t="shared" si="36"/>
        <v>200</v>
      </c>
      <c r="W86" s="208">
        <f t="shared" si="36"/>
        <v>0</v>
      </c>
      <c r="X86" s="208">
        <f t="shared" si="36"/>
        <v>200</v>
      </c>
      <c r="Y86" s="208">
        <f t="shared" si="36"/>
        <v>0</v>
      </c>
      <c r="Z86" s="208">
        <f t="shared" si="36"/>
        <v>409.9</v>
      </c>
      <c r="AA86" s="208">
        <f t="shared" si="36"/>
        <v>0</v>
      </c>
      <c r="AB86" s="208">
        <f t="shared" si="36"/>
        <v>200</v>
      </c>
      <c r="AC86" s="208">
        <f t="shared" si="36"/>
        <v>0</v>
      </c>
      <c r="AD86" s="208">
        <f t="shared" si="36"/>
        <v>331.9</v>
      </c>
      <c r="AE86" s="208">
        <f t="shared" si="36"/>
        <v>0</v>
      </c>
      <c r="AF86" s="210"/>
      <c r="AG86" s="175">
        <f t="shared" si="29"/>
        <v>0</v>
      </c>
    </row>
    <row r="87" spans="1:33" s="177" customFormat="1" x14ac:dyDescent="0.3">
      <c r="A87" s="150" t="s">
        <v>33</v>
      </c>
      <c r="B87" s="208">
        <f t="shared" si="35"/>
        <v>150844.1</v>
      </c>
      <c r="C87" s="208">
        <f t="shared" si="35"/>
        <v>79107.703290000005</v>
      </c>
      <c r="D87" s="208">
        <f t="shared" si="35"/>
        <v>68033.664349999992</v>
      </c>
      <c r="E87" s="208">
        <f t="shared" si="35"/>
        <v>68033.664349999992</v>
      </c>
      <c r="F87" s="208">
        <f>E87/B87*100</f>
        <v>45.101972400644101</v>
      </c>
      <c r="G87" s="208">
        <f>E87/C87*100</f>
        <v>86.00131405736326</v>
      </c>
      <c r="H87" s="208">
        <f t="shared" si="36"/>
        <v>18664.650590000001</v>
      </c>
      <c r="I87" s="208">
        <f t="shared" si="36"/>
        <v>10539.267</v>
      </c>
      <c r="J87" s="208">
        <f t="shared" si="36"/>
        <v>12552.531999999999</v>
      </c>
      <c r="K87" s="208">
        <f t="shared" si="36"/>
        <v>11854.523220000001</v>
      </c>
      <c r="L87" s="208">
        <f t="shared" si="36"/>
        <v>9618.369999999999</v>
      </c>
      <c r="M87" s="208">
        <f t="shared" si="36"/>
        <v>10849.068589999999</v>
      </c>
      <c r="N87" s="208">
        <f t="shared" si="36"/>
        <v>16752.688999999998</v>
      </c>
      <c r="O87" s="208">
        <f t="shared" si="36"/>
        <v>11751.986280000001</v>
      </c>
      <c r="P87" s="208">
        <f t="shared" si="36"/>
        <v>10646.400540000001</v>
      </c>
      <c r="Q87" s="208">
        <f t="shared" si="36"/>
        <v>10707.92654</v>
      </c>
      <c r="R87" s="208">
        <f t="shared" si="36"/>
        <v>10873.061160000001</v>
      </c>
      <c r="S87" s="208">
        <f t="shared" si="36"/>
        <v>12330.89272</v>
      </c>
      <c r="T87" s="208">
        <f t="shared" si="36"/>
        <v>16852.06783</v>
      </c>
      <c r="U87" s="208">
        <f t="shared" si="36"/>
        <v>0</v>
      </c>
      <c r="V87" s="208">
        <f t="shared" si="36"/>
        <v>9878.0964899999999</v>
      </c>
      <c r="W87" s="208">
        <f t="shared" si="36"/>
        <v>0</v>
      </c>
      <c r="X87" s="208">
        <f t="shared" si="36"/>
        <v>8922.3485099999998</v>
      </c>
      <c r="Y87" s="208">
        <f t="shared" si="36"/>
        <v>0</v>
      </c>
      <c r="Z87" s="208">
        <f t="shared" si="36"/>
        <v>13718.109</v>
      </c>
      <c r="AA87" s="208">
        <f t="shared" si="36"/>
        <v>0</v>
      </c>
      <c r="AB87" s="208">
        <f t="shared" si="36"/>
        <v>10029.391</v>
      </c>
      <c r="AC87" s="208">
        <f t="shared" si="36"/>
        <v>0</v>
      </c>
      <c r="AD87" s="208">
        <f t="shared" si="36"/>
        <v>12336.383879999999</v>
      </c>
      <c r="AE87" s="208">
        <f t="shared" si="36"/>
        <v>0</v>
      </c>
      <c r="AF87" s="210"/>
      <c r="AG87" s="175">
        <f t="shared" si="29"/>
        <v>0</v>
      </c>
    </row>
    <row r="88" spans="1:33" s="177" customFormat="1" x14ac:dyDescent="0.3">
      <c r="A88" s="152" t="s">
        <v>221</v>
      </c>
      <c r="B88" s="208">
        <f t="shared" si="35"/>
        <v>0</v>
      </c>
      <c r="C88" s="208">
        <f t="shared" si="35"/>
        <v>0</v>
      </c>
      <c r="D88" s="208">
        <f t="shared" si="35"/>
        <v>0</v>
      </c>
      <c r="E88" s="208">
        <f t="shared" si="35"/>
        <v>0</v>
      </c>
      <c r="F88" s="208">
        <v>0</v>
      </c>
      <c r="G88" s="208">
        <v>0</v>
      </c>
      <c r="H88" s="208">
        <f t="shared" si="36"/>
        <v>0</v>
      </c>
      <c r="I88" s="208">
        <f t="shared" si="36"/>
        <v>0</v>
      </c>
      <c r="J88" s="208">
        <f t="shared" si="36"/>
        <v>0</v>
      </c>
      <c r="K88" s="208">
        <f t="shared" si="36"/>
        <v>0</v>
      </c>
      <c r="L88" s="208">
        <f t="shared" si="36"/>
        <v>0</v>
      </c>
      <c r="M88" s="208">
        <f t="shared" si="36"/>
        <v>0</v>
      </c>
      <c r="N88" s="208">
        <f t="shared" si="36"/>
        <v>0</v>
      </c>
      <c r="O88" s="208">
        <f t="shared" si="36"/>
        <v>0</v>
      </c>
      <c r="P88" s="208">
        <f t="shared" si="36"/>
        <v>0</v>
      </c>
      <c r="Q88" s="208">
        <f t="shared" si="36"/>
        <v>0</v>
      </c>
      <c r="R88" s="208">
        <f t="shared" si="36"/>
        <v>0</v>
      </c>
      <c r="S88" s="208">
        <f t="shared" si="36"/>
        <v>0</v>
      </c>
      <c r="T88" s="208">
        <f t="shared" si="36"/>
        <v>0</v>
      </c>
      <c r="U88" s="208">
        <f t="shared" si="36"/>
        <v>0</v>
      </c>
      <c r="V88" s="208">
        <f t="shared" si="36"/>
        <v>0</v>
      </c>
      <c r="W88" s="208">
        <f t="shared" si="36"/>
        <v>0</v>
      </c>
      <c r="X88" s="208">
        <f t="shared" si="36"/>
        <v>0</v>
      </c>
      <c r="Y88" s="208">
        <f t="shared" si="36"/>
        <v>0</v>
      </c>
      <c r="Z88" s="208">
        <f t="shared" si="36"/>
        <v>0</v>
      </c>
      <c r="AA88" s="208">
        <f t="shared" si="36"/>
        <v>0</v>
      </c>
      <c r="AB88" s="208">
        <f t="shared" si="36"/>
        <v>0</v>
      </c>
      <c r="AC88" s="208">
        <f t="shared" si="36"/>
        <v>0</v>
      </c>
      <c r="AD88" s="208">
        <f t="shared" si="36"/>
        <v>0</v>
      </c>
      <c r="AE88" s="208">
        <f t="shared" si="36"/>
        <v>0</v>
      </c>
      <c r="AF88" s="210"/>
      <c r="AG88" s="175">
        <f t="shared" si="29"/>
        <v>0</v>
      </c>
    </row>
    <row r="89" spans="1:33" s="159" customFormat="1" x14ac:dyDescent="0.3">
      <c r="B89" s="175">
        <f>B79-B11-B19-B25-B31-B61-B67-B73</f>
        <v>0</v>
      </c>
      <c r="C89" s="175">
        <f t="shared" ref="C89:AD89" si="37">C79-C11-C19-C25-C31-C61-C67-C73</f>
        <v>-793.15094999999383</v>
      </c>
      <c r="D89" s="175">
        <f t="shared" si="37"/>
        <v>-793.15095000000929</v>
      </c>
      <c r="E89" s="175">
        <f t="shared" si="37"/>
        <v>-793.15095000000929</v>
      </c>
      <c r="F89" s="175">
        <f t="shared" si="37"/>
        <v>-84.556864526858575</v>
      </c>
      <c r="G89" s="175">
        <f>G79-G11-G19-G25-G31-G61-G67-G73</f>
        <v>-172.12417054537991</v>
      </c>
      <c r="H89" s="175">
        <f t="shared" si="37"/>
        <v>0</v>
      </c>
      <c r="I89" s="175">
        <f t="shared" si="37"/>
        <v>0</v>
      </c>
      <c r="J89" s="175">
        <f t="shared" si="37"/>
        <v>0</v>
      </c>
      <c r="K89" s="175">
        <f t="shared" si="37"/>
        <v>0</v>
      </c>
      <c r="L89" s="175">
        <f t="shared" si="37"/>
        <v>-6.8212102632969618E-13</v>
      </c>
      <c r="M89" s="175">
        <f t="shared" si="37"/>
        <v>0</v>
      </c>
      <c r="N89" s="175">
        <f t="shared" si="37"/>
        <v>0</v>
      </c>
      <c r="O89" s="175">
        <f t="shared" si="37"/>
        <v>-5.6843418860808015E-13</v>
      </c>
      <c r="P89" s="175">
        <f t="shared" si="37"/>
        <v>0</v>
      </c>
      <c r="Q89" s="175">
        <f t="shared" si="37"/>
        <v>0</v>
      </c>
      <c r="R89" s="175">
        <f t="shared" si="37"/>
        <v>7.3896444519050419E-13</v>
      </c>
      <c r="S89" s="175">
        <f t="shared" si="37"/>
        <v>0</v>
      </c>
      <c r="T89" s="175">
        <f t="shared" si="37"/>
        <v>3.637978807091713E-12</v>
      </c>
      <c r="U89" s="175">
        <f t="shared" si="37"/>
        <v>0</v>
      </c>
      <c r="V89" s="175">
        <f t="shared" si="37"/>
        <v>0</v>
      </c>
      <c r="W89" s="175">
        <f t="shared" si="37"/>
        <v>0</v>
      </c>
      <c r="X89" s="175">
        <f t="shared" si="37"/>
        <v>-9.0949470177292824E-13</v>
      </c>
      <c r="Y89" s="175">
        <f t="shared" si="37"/>
        <v>0</v>
      </c>
      <c r="Z89" s="175">
        <f t="shared" si="37"/>
        <v>0</v>
      </c>
      <c r="AA89" s="175">
        <f t="shared" si="37"/>
        <v>0</v>
      </c>
      <c r="AB89" s="175">
        <f t="shared" si="37"/>
        <v>0</v>
      </c>
      <c r="AC89" s="175">
        <f t="shared" si="37"/>
        <v>0</v>
      </c>
      <c r="AD89" s="175">
        <f t="shared" si="37"/>
        <v>0</v>
      </c>
    </row>
    <row r="90" spans="1:33" s="159" customFormat="1" x14ac:dyDescent="0.3">
      <c r="B90" s="175">
        <f>B79-'[1]19 "Муницип. служба"'!$C$10</f>
        <v>2454.7509500000451</v>
      </c>
    </row>
    <row r="91" spans="1:33" x14ac:dyDescent="0.3">
      <c r="B91" s="155">
        <f>B13+B21+B27+B39+B45+B51+B57+B63+B69+B75-B80</f>
        <v>0</v>
      </c>
      <c r="C91" s="155">
        <f t="shared" ref="C91:AE94" si="38">C13+C21+C27+C39+C45+C51+C57+C63+C69+C75-C80</f>
        <v>0</v>
      </c>
      <c r="D91" s="155">
        <f t="shared" si="38"/>
        <v>0</v>
      </c>
      <c r="E91" s="155">
        <f t="shared" si="38"/>
        <v>0</v>
      </c>
      <c r="F91" s="155">
        <f t="shared" si="38"/>
        <v>0</v>
      </c>
      <c r="G91" s="155">
        <f t="shared" si="38"/>
        <v>0</v>
      </c>
      <c r="H91" s="155">
        <f t="shared" si="38"/>
        <v>0</v>
      </c>
      <c r="I91" s="155">
        <f t="shared" si="38"/>
        <v>0</v>
      </c>
      <c r="J91" s="155">
        <f t="shared" si="38"/>
        <v>0</v>
      </c>
      <c r="K91" s="155">
        <f t="shared" si="38"/>
        <v>0</v>
      </c>
      <c r="L91" s="155">
        <f t="shared" si="38"/>
        <v>0</v>
      </c>
      <c r="M91" s="155">
        <f t="shared" si="38"/>
        <v>0</v>
      </c>
      <c r="N91" s="155">
        <f t="shared" si="38"/>
        <v>0</v>
      </c>
      <c r="O91" s="155">
        <f t="shared" si="38"/>
        <v>0</v>
      </c>
      <c r="P91" s="155">
        <f t="shared" si="38"/>
        <v>0</v>
      </c>
      <c r="Q91" s="155">
        <f t="shared" si="38"/>
        <v>0</v>
      </c>
      <c r="R91" s="155">
        <f t="shared" si="38"/>
        <v>0</v>
      </c>
      <c r="S91" s="155">
        <f t="shared" si="38"/>
        <v>0</v>
      </c>
      <c r="T91" s="155">
        <f t="shared" si="38"/>
        <v>0</v>
      </c>
      <c r="U91" s="155">
        <f t="shared" si="38"/>
        <v>0</v>
      </c>
      <c r="V91" s="155">
        <f t="shared" si="38"/>
        <v>0</v>
      </c>
      <c r="W91" s="155">
        <f t="shared" si="38"/>
        <v>0</v>
      </c>
      <c r="X91" s="155">
        <f t="shared" si="38"/>
        <v>0</v>
      </c>
      <c r="Y91" s="155">
        <f t="shared" si="38"/>
        <v>0</v>
      </c>
      <c r="Z91" s="155">
        <f t="shared" si="38"/>
        <v>0</v>
      </c>
      <c r="AA91" s="155">
        <f t="shared" si="38"/>
        <v>0</v>
      </c>
      <c r="AB91" s="155">
        <f t="shared" si="38"/>
        <v>0</v>
      </c>
      <c r="AC91" s="155">
        <f t="shared" si="38"/>
        <v>0</v>
      </c>
      <c r="AD91" s="155">
        <f t="shared" si="38"/>
        <v>0</v>
      </c>
      <c r="AE91" s="155">
        <f t="shared" si="38"/>
        <v>0</v>
      </c>
    </row>
    <row r="92" spans="1:33" x14ac:dyDescent="0.3">
      <c r="B92" s="155">
        <f>B14+B22+B28+B40+B46+B52+B58+B64+B70+B76-B81</f>
        <v>0</v>
      </c>
      <c r="C92" s="155">
        <f t="shared" ref="C92:Q92" si="39">C14+C22+C28+C40+C46+C52+C58+C64+C70+C76-C81</f>
        <v>793.15094999999997</v>
      </c>
      <c r="D92" s="155">
        <f t="shared" si="39"/>
        <v>793.15094999999997</v>
      </c>
      <c r="E92" s="155">
        <f t="shared" si="39"/>
        <v>793.15094999999997</v>
      </c>
      <c r="F92" s="155">
        <f t="shared" si="39"/>
        <v>109.48670760907643</v>
      </c>
      <c r="G92" s="155">
        <f t="shared" si="39"/>
        <v>100</v>
      </c>
      <c r="H92" s="155">
        <f t="shared" si="39"/>
        <v>0</v>
      </c>
      <c r="I92" s="155">
        <f t="shared" si="39"/>
        <v>0</v>
      </c>
      <c r="J92" s="155">
        <f t="shared" si="39"/>
        <v>0</v>
      </c>
      <c r="K92" s="155">
        <f t="shared" si="39"/>
        <v>0</v>
      </c>
      <c r="L92" s="155">
        <f t="shared" si="39"/>
        <v>0</v>
      </c>
      <c r="M92" s="155">
        <f t="shared" si="39"/>
        <v>0</v>
      </c>
      <c r="N92" s="155">
        <f t="shared" si="39"/>
        <v>0</v>
      </c>
      <c r="O92" s="155">
        <f t="shared" si="39"/>
        <v>0</v>
      </c>
      <c r="P92" s="155">
        <f t="shared" si="39"/>
        <v>0</v>
      </c>
      <c r="Q92" s="155">
        <f t="shared" si="39"/>
        <v>0</v>
      </c>
      <c r="R92" s="155">
        <f t="shared" si="38"/>
        <v>0</v>
      </c>
      <c r="S92" s="155">
        <f t="shared" si="38"/>
        <v>0</v>
      </c>
      <c r="T92" s="155">
        <f t="shared" si="38"/>
        <v>0</v>
      </c>
      <c r="U92" s="155">
        <f t="shared" si="38"/>
        <v>0</v>
      </c>
      <c r="V92" s="155">
        <f t="shared" si="38"/>
        <v>0</v>
      </c>
      <c r="W92" s="155">
        <f t="shared" si="38"/>
        <v>0</v>
      </c>
      <c r="X92" s="155">
        <f t="shared" si="38"/>
        <v>0</v>
      </c>
      <c r="Y92" s="155">
        <f t="shared" si="38"/>
        <v>0</v>
      </c>
      <c r="Z92" s="155">
        <f t="shared" si="38"/>
        <v>0</v>
      </c>
      <c r="AA92" s="155">
        <f t="shared" si="38"/>
        <v>0</v>
      </c>
      <c r="AB92" s="155">
        <f t="shared" si="38"/>
        <v>0</v>
      </c>
      <c r="AC92" s="155">
        <f t="shared" si="38"/>
        <v>0</v>
      </c>
      <c r="AD92" s="155">
        <f t="shared" si="38"/>
        <v>0</v>
      </c>
      <c r="AE92" s="155">
        <f t="shared" si="38"/>
        <v>0</v>
      </c>
    </row>
    <row r="93" spans="1:33" x14ac:dyDescent="0.3">
      <c r="B93" s="155">
        <f>B15+B23+B29+B41+B47+B53+B59+B65+B71+B77-B82</f>
        <v>0</v>
      </c>
      <c r="C93" s="155">
        <f t="shared" si="38"/>
        <v>0</v>
      </c>
      <c r="D93" s="155">
        <f t="shared" si="38"/>
        <v>0</v>
      </c>
      <c r="E93" s="155">
        <f t="shared" si="38"/>
        <v>0</v>
      </c>
      <c r="F93" s="155">
        <f t="shared" si="38"/>
        <v>286.46055787783604</v>
      </c>
      <c r="G93" s="155">
        <f>G15+G23+G29+G41+G47+G53+G59+G65+G71+G77-G82</f>
        <v>417.77485041372597</v>
      </c>
      <c r="H93" s="155">
        <f t="shared" si="38"/>
        <v>0</v>
      </c>
      <c r="I93" s="155">
        <f t="shared" si="38"/>
        <v>0</v>
      </c>
      <c r="J93" s="155">
        <f t="shared" si="38"/>
        <v>0</v>
      </c>
      <c r="K93" s="155">
        <f t="shared" si="38"/>
        <v>0</v>
      </c>
      <c r="L93" s="155">
        <f t="shared" si="38"/>
        <v>0</v>
      </c>
      <c r="M93" s="155">
        <f t="shared" si="38"/>
        <v>0</v>
      </c>
      <c r="N93" s="155">
        <f t="shared" si="38"/>
        <v>0</v>
      </c>
      <c r="O93" s="155">
        <f t="shared" si="38"/>
        <v>0</v>
      </c>
      <c r="P93" s="155">
        <f t="shared" si="38"/>
        <v>0</v>
      </c>
      <c r="Q93" s="155">
        <f t="shared" si="38"/>
        <v>0</v>
      </c>
      <c r="R93" s="155">
        <f t="shared" si="38"/>
        <v>0</v>
      </c>
      <c r="S93" s="155">
        <f t="shared" si="38"/>
        <v>0</v>
      </c>
      <c r="T93" s="155">
        <f t="shared" si="38"/>
        <v>0</v>
      </c>
      <c r="U93" s="155">
        <f t="shared" si="38"/>
        <v>0</v>
      </c>
      <c r="V93" s="155">
        <f t="shared" si="38"/>
        <v>0</v>
      </c>
      <c r="W93" s="155">
        <f t="shared" si="38"/>
        <v>0</v>
      </c>
      <c r="X93" s="155">
        <f t="shared" si="38"/>
        <v>0</v>
      </c>
      <c r="Y93" s="155">
        <f t="shared" si="38"/>
        <v>0</v>
      </c>
      <c r="Z93" s="155">
        <f t="shared" si="38"/>
        <v>0</v>
      </c>
      <c r="AA93" s="155">
        <f t="shared" si="38"/>
        <v>0</v>
      </c>
      <c r="AB93" s="155">
        <f t="shared" si="38"/>
        <v>0</v>
      </c>
      <c r="AC93" s="155">
        <f t="shared" si="38"/>
        <v>0</v>
      </c>
      <c r="AD93" s="155">
        <f t="shared" si="38"/>
        <v>0</v>
      </c>
      <c r="AE93" s="155">
        <f t="shared" si="38"/>
        <v>0</v>
      </c>
    </row>
    <row r="94" spans="1:33" x14ac:dyDescent="0.3">
      <c r="B94" s="155">
        <f>B16+B24+B30+B42+B48+B54+B60+B66+B72+B78-B83</f>
        <v>0</v>
      </c>
      <c r="C94" s="155">
        <f t="shared" si="38"/>
        <v>0</v>
      </c>
      <c r="D94" s="155">
        <f t="shared" si="38"/>
        <v>0</v>
      </c>
      <c r="E94" s="155">
        <f t="shared" si="38"/>
        <v>0</v>
      </c>
      <c r="F94" s="155">
        <f t="shared" si="38"/>
        <v>0</v>
      </c>
      <c r="G94" s="155">
        <f t="shared" si="38"/>
        <v>0</v>
      </c>
      <c r="H94" s="155">
        <f t="shared" si="38"/>
        <v>0</v>
      </c>
      <c r="I94" s="155">
        <f t="shared" si="38"/>
        <v>0</v>
      </c>
      <c r="J94" s="155">
        <f t="shared" si="38"/>
        <v>0</v>
      </c>
      <c r="K94" s="155">
        <f t="shared" si="38"/>
        <v>0</v>
      </c>
      <c r="L94" s="155">
        <f t="shared" si="38"/>
        <v>0</v>
      </c>
      <c r="M94" s="155">
        <f t="shared" si="38"/>
        <v>0</v>
      </c>
      <c r="N94" s="155">
        <f t="shared" si="38"/>
        <v>0</v>
      </c>
      <c r="O94" s="155">
        <f t="shared" si="38"/>
        <v>0</v>
      </c>
      <c r="P94" s="155">
        <f t="shared" si="38"/>
        <v>0</v>
      </c>
      <c r="Q94" s="155">
        <f t="shared" si="38"/>
        <v>0</v>
      </c>
      <c r="R94" s="155">
        <f t="shared" si="38"/>
        <v>0</v>
      </c>
      <c r="S94" s="155">
        <f t="shared" si="38"/>
        <v>0</v>
      </c>
      <c r="T94" s="155">
        <f t="shared" si="38"/>
        <v>0</v>
      </c>
      <c r="U94" s="155">
        <f t="shared" si="38"/>
        <v>0</v>
      </c>
      <c r="V94" s="155">
        <f t="shared" si="38"/>
        <v>0</v>
      </c>
      <c r="W94" s="155">
        <f t="shared" si="38"/>
        <v>0</v>
      </c>
      <c r="X94" s="155">
        <f t="shared" si="38"/>
        <v>0</v>
      </c>
      <c r="Y94" s="155">
        <f t="shared" si="38"/>
        <v>0</v>
      </c>
      <c r="Z94" s="155">
        <f t="shared" si="38"/>
        <v>0</v>
      </c>
      <c r="AA94" s="155">
        <f t="shared" si="38"/>
        <v>0</v>
      </c>
      <c r="AB94" s="155">
        <f t="shared" si="38"/>
        <v>0</v>
      </c>
      <c r="AC94" s="155">
        <f t="shared" si="38"/>
        <v>0</v>
      </c>
      <c r="AD94" s="155">
        <f t="shared" si="38"/>
        <v>0</v>
      </c>
      <c r="AE94" s="155">
        <f t="shared" si="38"/>
        <v>0</v>
      </c>
    </row>
    <row r="143" spans="6:7" x14ac:dyDescent="0.3">
      <c r="F143" s="10">
        <v>0</v>
      </c>
      <c r="G143" s="10" t="e">
        <f>E143/C143*100</f>
        <v>#DIV/0!</v>
      </c>
    </row>
    <row r="146" spans="6:7" x14ac:dyDescent="0.3">
      <c r="F146" s="10">
        <v>0</v>
      </c>
      <c r="G146" s="10">
        <v>0</v>
      </c>
    </row>
  </sheetData>
  <customSheetViews>
    <customSheetView guid="{7C130984-112A-4861-AA43-E2940708E3DC}" scale="70" state="hidden">
      <pane xSplit="2" ySplit="10" topLeftCell="C11" activePane="bottomRight" state="frozen"/>
      <selection pane="bottomRight" activeCell="A49" sqref="A49"/>
      <pageMargins left="0.7" right="0.7" top="0.75" bottom="0.75" header="0.3" footer="0.3"/>
      <pageSetup paperSize="9" orientation="portrait" r:id="rId1"/>
    </customSheetView>
    <customSheetView guid="{3C3F523F-5F34-4CF7-831E-F1ABC4278CEB}" scale="70">
      <pane xSplit="2" ySplit="10" topLeftCell="C11" activePane="bottomRight" state="frozen"/>
      <selection pane="bottomRight" activeCell="A49" sqref="A49"/>
      <pageMargins left="0.7" right="0.7" top="0.75" bottom="0.75" header="0.3" footer="0.3"/>
      <pageSetup paperSize="9" orientation="portrait" r:id="rId2"/>
    </customSheetView>
    <customSheetView guid="{D01FA037-9AEC-4167-ADB8-2F327C01ECE6}" scale="70">
      <pane xSplit="2" ySplit="10" topLeftCell="C11" activePane="bottomRight" state="frozen"/>
      <selection pane="bottomRight" activeCell="A49" sqref="A49"/>
      <pageMargins left="0.7" right="0.7" top="0.75" bottom="0.75" header="0.3" footer="0.3"/>
      <pageSetup paperSize="9" orientation="portrait" r:id="rId3"/>
    </customSheetView>
    <customSheetView guid="{602C8EDB-B9EF-4C85-B0D5-0558C3A0ABAB}" scale="70">
      <pane xSplit="2" ySplit="10" topLeftCell="C11" activePane="bottomRight" state="frozen"/>
      <selection pane="bottomRight" activeCell="A49" sqref="A49"/>
      <pageMargins left="0.7" right="0.7" top="0.75" bottom="0.75" header="0.3" footer="0.3"/>
      <pageSetup paperSize="9" orientation="portrait" r:id="rId4"/>
    </customSheetView>
    <customSheetView guid="{69DABE6F-6182-4403-A4A2-969F10F1C13A}" scale="70">
      <pane xSplit="2" ySplit="10" topLeftCell="C11" activePane="bottomRight" state="frozen"/>
      <selection pane="bottomRight" activeCell="A49" sqref="A49"/>
      <pageMargins left="0.7" right="0.7" top="0.75" bottom="0.75" header="0.3" footer="0.3"/>
      <pageSetup paperSize="9" orientation="portrait" r:id="rId5"/>
    </customSheetView>
    <customSheetView guid="{E508E171-4ED9-4B07-84DF-DA28C60E1969}" scale="70">
      <pane xSplit="2" ySplit="10" topLeftCell="C11" activePane="bottomRight" state="frozen"/>
      <selection pane="bottomRight" activeCell="A49" sqref="A49"/>
      <pageMargins left="0.7" right="0.7" top="0.75" bottom="0.75" header="0.3" footer="0.3"/>
      <pageSetup paperSize="9" orientation="portrait" r:id="rId6"/>
    </customSheetView>
    <customSheetView guid="{AC2D5927-4079-4C74-AF69-1BFAC505648F}" scale="70">
      <pane xSplit="2" ySplit="10" topLeftCell="C11" activePane="bottomRight" state="frozen"/>
      <selection pane="bottomRight" activeCell="A49" sqref="A49"/>
      <pageMargins left="0.7" right="0.7" top="0.75" bottom="0.75" header="0.3" footer="0.3"/>
      <pageSetup paperSize="9" orientation="portrait" r:id="rId7"/>
    </customSheetView>
    <customSheetView guid="{442F2C94-DD1B-4A01-8694-513D4D6F3BD9}" scale="70">
      <pane xSplit="2" ySplit="10" topLeftCell="C11" activePane="bottomRight" state="frozen"/>
      <selection pane="bottomRight" activeCell="A49" sqref="A49"/>
      <pageMargins left="0.7" right="0.7" top="0.75" bottom="0.75" header="0.3" footer="0.3"/>
      <pageSetup paperSize="9" orientation="portrait" r:id="rId8"/>
    </customSheetView>
    <customSheetView guid="{CE1CCA00-200D-4EAA-9FBE-F8EE7C5F82FE}" scale="70">
      <pane xSplit="2" ySplit="10" topLeftCell="C11" activePane="bottomRight" state="frozen"/>
      <selection pane="bottomRight" activeCell="A49" sqref="A49"/>
      <pageMargins left="0.7" right="0.7" top="0.75" bottom="0.75" header="0.3" footer="0.3"/>
      <pageSetup paperSize="9" orientation="portrait" r:id="rId9"/>
    </customSheetView>
    <customSheetView guid="{4D0DFB57-2CBA-42F2-9A97-C453A6851FBA}" scale="70">
      <pane xSplit="2" ySplit="10" topLeftCell="C11" activePane="bottomRight" state="frozen"/>
      <selection pane="bottomRight" activeCell="A49" sqref="A49"/>
      <pageMargins left="0.7" right="0.7" top="0.75" bottom="0.75" header="0.3" footer="0.3"/>
      <pageSetup paperSize="9" orientation="portrait" r:id="rId10"/>
    </customSheetView>
    <customSheetView guid="{85F4575B-DBC5-482A-9916-255D8F0BC94E}" scale="70">
      <pane xSplit="2" ySplit="10" topLeftCell="C38" activePane="bottomRight" state="frozen"/>
      <selection pane="bottomRight" activeCell="A49" sqref="A49"/>
      <pageMargins left="0.7" right="0.7" top="0.75" bottom="0.75" header="0.3" footer="0.3"/>
      <pageSetup paperSize="9" orientation="portrait" r:id="rId11"/>
    </customSheetView>
    <customSheetView guid="{B1BF08D1-D416-4B47-ADD0-4F59132DC9E8}" scale="70">
      <pane xSplit="2" ySplit="10" topLeftCell="C77" activePane="bottomRight" state="frozen"/>
      <selection pane="bottomRight" activeCell="R41" sqref="R41"/>
      <pageMargins left="0.7" right="0.7" top="0.75" bottom="0.75" header="0.3" footer="0.3"/>
      <pageSetup paperSize="9" orientation="portrait" r:id="rId12"/>
    </customSheetView>
    <customSheetView guid="{BCD82A82-B724-4763-8580-D765356E09BA}" scale="70">
      <pane xSplit="2" ySplit="10" topLeftCell="F11" activePane="bottomRight" state="frozen"/>
      <selection pane="bottomRight" activeCell="A4" sqref="A4:AD4"/>
      <pageMargins left="0.7" right="0.7" top="0.75" bottom="0.75" header="0.3" footer="0.3"/>
      <pageSetup paperSize="9" orientation="portrait" r:id="rId13"/>
    </customSheetView>
    <customSheetView guid="{C236B307-BD63-48C4-A75F-B3F3717BF55C}" scale="70">
      <pane xSplit="2" ySplit="10" topLeftCell="F101" activePane="bottomRight" state="frozen"/>
      <selection pane="bottomRight" activeCell="A4" sqref="A4:AD4"/>
      <pageMargins left="0.7" right="0.7" top="0.75" bottom="0.75" header="0.3" footer="0.3"/>
      <pageSetup paperSize="9" orientation="portrait" r:id="rId14"/>
    </customSheetView>
    <customSheetView guid="{874882D1-E741-4CCA-BF0D-E72FA60B771D}" scale="70">
      <pane xSplit="2" ySplit="10" topLeftCell="F101" activePane="bottomRight" state="frozen"/>
      <selection pane="bottomRight" activeCell="A4" sqref="A4:AD4"/>
      <pageMargins left="0.7" right="0.7" top="0.75" bottom="0.75" header="0.3" footer="0.3"/>
      <pageSetup paperSize="9" orientation="portrait" r:id="rId15"/>
    </customSheetView>
    <customSheetView guid="{B82BA08A-1A30-4F4D-A478-74A6BD09EA97}" scale="70">
      <pane xSplit="2" ySplit="10" topLeftCell="F11" activePane="bottomRight" state="frozen"/>
      <selection pane="bottomRight" activeCell="A4" sqref="A4:AD4"/>
      <pageMargins left="0.7" right="0.7" top="0.75" bottom="0.75" header="0.3" footer="0.3"/>
      <pageSetup paperSize="9" orientation="portrait" r:id="rId16"/>
    </customSheetView>
    <customSheetView guid="{770624BF-07F3-44B6-94C3-4CC447CDD45C}" scale="70">
      <pane xSplit="2" ySplit="10" topLeftCell="C53" activePane="bottomRight" state="frozen"/>
      <selection pane="bottomRight" activeCell="K61" sqref="K61:K66"/>
      <pageMargins left="0.7" right="0.7" top="0.75" bottom="0.75" header="0.3" footer="0.3"/>
      <pageSetup paperSize="9" orientation="portrait" r:id="rId17"/>
    </customSheetView>
    <customSheetView guid="{009B3074-D8EC-4952-BF50-43CD64449612}" scale="70">
      <pane xSplit="2" ySplit="10" topLeftCell="C77" activePane="bottomRight" state="frozen"/>
      <selection pane="bottomRight" activeCell="R41" sqref="R41"/>
      <pageMargins left="0.7" right="0.7" top="0.75" bottom="0.75" header="0.3" footer="0.3"/>
      <pageSetup paperSize="9" orientation="portrait" r:id="rId18"/>
    </customSheetView>
    <customSheetView guid="{F679EF4A-C5FD-4B86-B87B-D85968E0F2CA}" scale="70">
      <pane xSplit="2" ySplit="10" topLeftCell="C77" activePane="bottomRight" state="frozen"/>
      <selection pane="bottomRight" activeCell="R41" sqref="R41"/>
      <pageMargins left="0.7" right="0.7" top="0.75" bottom="0.75" header="0.3" footer="0.3"/>
      <pageSetup paperSize="9" orientation="portrait" r:id="rId19"/>
    </customSheetView>
    <customSheetView guid="{959E901C-5DDE-42EE-AE94-AB8976B5E00B}" scale="70">
      <pane xSplit="2" ySplit="10" topLeftCell="C77" activePane="bottomRight" state="frozen"/>
      <selection pane="bottomRight" activeCell="R41" sqref="R41"/>
      <pageMargins left="0.7" right="0.7" top="0.75" bottom="0.75" header="0.3" footer="0.3"/>
      <pageSetup paperSize="9" orientation="portrait" r:id="rId20"/>
    </customSheetView>
    <customSheetView guid="{533DC55B-6AD4-4674-9488-685EF2039F3E}" scale="70">
      <pane xSplit="2" ySplit="10" topLeftCell="C38" activePane="bottomRight" state="frozen"/>
      <selection pane="bottomRight" activeCell="A49" sqref="A49"/>
      <pageMargins left="0.7" right="0.7" top="0.75" bottom="0.75" header="0.3" footer="0.3"/>
      <pageSetup paperSize="9" orientation="portrait" r:id="rId21"/>
    </customSheetView>
    <customSheetView guid="{87218168-6C8E-4D5B-A5E5-DCCC26803AA3}" scale="70">
      <pane xSplit="2" ySplit="10" topLeftCell="C11" activePane="bottomRight" state="frozen"/>
      <selection pane="bottomRight" activeCell="A49" sqref="A49"/>
      <pageMargins left="0.7" right="0.7" top="0.75" bottom="0.75" header="0.3" footer="0.3"/>
      <pageSetup paperSize="9" orientation="portrait" r:id="rId22"/>
    </customSheetView>
    <customSheetView guid="{DAA8A688-7558-4B5B-8DBD-E2629BD9E9A8}" scale="70">
      <pane xSplit="2" ySplit="10" topLeftCell="C11" activePane="bottomRight" state="frozen"/>
      <selection pane="bottomRight" activeCell="A49" sqref="A49"/>
      <pageMargins left="0.7" right="0.7" top="0.75" bottom="0.75" header="0.3" footer="0.3"/>
      <pageSetup paperSize="9" orientation="portrait" r:id="rId23"/>
    </customSheetView>
    <customSheetView guid="{391AB76E-B386-49C1-800F-016A48AA1A46}" scale="70">
      <pane xSplit="2" ySplit="10" topLeftCell="C11" activePane="bottomRight" state="frozen"/>
      <selection pane="bottomRight" activeCell="A49" sqref="A49"/>
      <pageMargins left="0.7" right="0.7" top="0.75" bottom="0.75" header="0.3" footer="0.3"/>
      <pageSetup paperSize="9" orientation="portrait" r:id="rId24"/>
    </customSheetView>
    <customSheetView guid="{09C3E205-981E-4A4E-BE89-8B7044192060}" scale="70">
      <pane xSplit="2" ySplit="10" topLeftCell="C11" activePane="bottomRight" state="frozen"/>
      <selection pane="bottomRight" activeCell="A49" sqref="A49"/>
      <pageMargins left="0.7" right="0.7" top="0.75" bottom="0.75" header="0.3" footer="0.3"/>
      <pageSetup paperSize="9" orientation="portrait" r:id="rId25"/>
    </customSheetView>
    <customSheetView guid="{84867370-1F3E-4368-AF79-FBCE46FFFE92}" scale="70">
      <pane xSplit="2" ySplit="10" topLeftCell="C11" activePane="bottomRight" state="frozen"/>
      <selection pane="bottomRight" activeCell="A49" sqref="A49"/>
      <pageMargins left="0.7" right="0.7" top="0.75" bottom="0.75" header="0.3" footer="0.3"/>
      <pageSetup paperSize="9" orientation="portrait" r:id="rId26"/>
    </customSheetView>
    <customSheetView guid="{0C2B9C2A-7B94-41EF-A2E6-F8AC9A67DE25}" scale="70">
      <pane xSplit="2" ySplit="10" topLeftCell="C11" activePane="bottomRight" state="frozen"/>
      <selection pane="bottomRight" activeCell="A49" sqref="A49"/>
      <pageMargins left="0.7" right="0.7" top="0.75" bottom="0.75" header="0.3" footer="0.3"/>
      <pageSetup paperSize="9" orientation="portrait" r:id="rId27"/>
    </customSheetView>
    <customSheetView guid="{CB4792DB-A624-4844-AEB6-A6ADA80946BB}" scale="70">
      <pane xSplit="2" ySplit="10" topLeftCell="C11" activePane="bottomRight" state="frozen"/>
      <selection pane="bottomRight" activeCell="A49" sqref="A49"/>
      <pageMargins left="0.7" right="0.7" top="0.75" bottom="0.75" header="0.3" footer="0.3"/>
      <pageSetup paperSize="9" orientation="portrait" r:id="rId28"/>
    </customSheetView>
    <customSheetView guid="{74870EE6-26B9-40F7-9DC9-260EF16D8959}" scale="70">
      <pane xSplit="2" ySplit="10" topLeftCell="C11" activePane="bottomRight" state="frozen"/>
      <selection pane="bottomRight" activeCell="A49" sqref="A49"/>
      <pageMargins left="0.7" right="0.7" top="0.75" bottom="0.75" header="0.3" footer="0.3"/>
      <pageSetup paperSize="9" orientation="portrait" r:id="rId29"/>
    </customSheetView>
    <customSheetView guid="{6A602CB8-B24C-4ED4-B378-B27354BE0A1A}" scale="70">
      <pane xSplit="2" ySplit="10" topLeftCell="C11" activePane="bottomRight" state="frozen"/>
      <selection pane="bottomRight" activeCell="A49" sqref="A49"/>
      <pageMargins left="0.7" right="0.7" top="0.75" bottom="0.75" header="0.3" footer="0.3"/>
      <pageSetup paperSize="9" orientation="portrait" r:id="rId30"/>
    </customSheetView>
    <customSheetView guid="{4F41B9CC-959D-442C-80B0-1F0DB2C76D27}" scale="70">
      <pane xSplit="2" ySplit="9" topLeftCell="C11" activePane="bottomRight" state="frozen"/>
      <selection pane="bottomRight" activeCell="A49" sqref="A49"/>
      <pageMargins left="0.7" right="0.7" top="0.75" bottom="0.75" header="0.3" footer="0.3"/>
      <pageSetup paperSize="9" orientation="portrait" r:id="rId31"/>
    </customSheetView>
    <customSheetView guid="{47B983AB-FE5F-4725-860C-A2F29420596D}" scale="70">
      <pane xSplit="2" ySplit="10" topLeftCell="C11" activePane="bottomRight" state="frozen"/>
      <selection pane="bottomRight" activeCell="A49" sqref="A49"/>
      <pageMargins left="0.7" right="0.7" top="0.75" bottom="0.75" header="0.3" footer="0.3"/>
      <pageSetup paperSize="9" orientation="portrait" r:id="rId32"/>
    </customSheetView>
  </customSheetViews>
  <mergeCells count="24">
    <mergeCell ref="H6:I6"/>
    <mergeCell ref="J6:K6"/>
    <mergeCell ref="L6:M6"/>
    <mergeCell ref="A1:AD1"/>
    <mergeCell ref="A2:AD2"/>
    <mergeCell ref="A3:AD3"/>
    <mergeCell ref="A4:AD4"/>
    <mergeCell ref="AB5:AD5"/>
    <mergeCell ref="A17:AF17"/>
    <mergeCell ref="A18:AF18"/>
    <mergeCell ref="Z6:AA6"/>
    <mergeCell ref="AB6:AC6"/>
    <mergeCell ref="AD6:AE6"/>
    <mergeCell ref="AF6:AF7"/>
    <mergeCell ref="A9:AF9"/>
    <mergeCell ref="A10:AF10"/>
    <mergeCell ref="N6:O6"/>
    <mergeCell ref="P6:Q6"/>
    <mergeCell ref="R6:S6"/>
    <mergeCell ref="T6:U6"/>
    <mergeCell ref="V6:W6"/>
    <mergeCell ref="X6:Y6"/>
    <mergeCell ref="A6:A7"/>
    <mergeCell ref="F6:G6"/>
  </mergeCells>
  <hyperlinks>
    <hyperlink ref="A4:AD4" location="Оглавление!A1" display="Комплексный план (сетевой график) по реализации муниципальной программы &quot;Развитие муниципальной службы  в городе Когалыме&quot;"/>
  </hyperlinks>
  <pageMargins left="0.7" right="0.7" top="0.75" bottom="0.75" header="0.3" footer="0.3"/>
  <pageSetup paperSize="9" orientation="portrait" r:id="rId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24</vt:i4>
      </vt:variant>
    </vt:vector>
  </HeadingPairs>
  <TitlesOfParts>
    <vt:vector size="24" baseType="lpstr">
      <vt:lpstr>Оглавление</vt:lpstr>
      <vt:lpstr>1.СЗН</vt:lpstr>
      <vt:lpstr>2.АПК</vt:lpstr>
      <vt:lpstr>3.БЖД</vt:lpstr>
      <vt:lpstr>4.УМИ</vt:lpstr>
      <vt:lpstr>5.Проф. прав.</vt:lpstr>
      <vt:lpstr>6.Экстримизм</vt:lpstr>
      <vt:lpstr>7.МП КП</vt:lpstr>
      <vt:lpstr>8.МП РМС</vt:lpstr>
      <vt:lpstr>Лист3</vt:lpstr>
      <vt:lpstr>9.МП РИГО</vt:lpstr>
      <vt:lpstr>10.МП РФКиС</vt:lpstr>
      <vt:lpstr>Лист2</vt:lpstr>
      <vt:lpstr>11.МП РО</vt:lpstr>
      <vt:lpstr>12.МП УМФ</vt:lpstr>
      <vt:lpstr>Лист1</vt:lpstr>
      <vt:lpstr>13.МП РЖС</vt:lpstr>
      <vt:lpstr>14.МП СЭР</vt:lpstr>
      <vt:lpstr>15.МП ЭБ</vt:lpstr>
      <vt:lpstr>16.МП РЖКК</vt:lpstr>
      <vt:lpstr>17.МП РТС</vt:lpstr>
      <vt:lpstr>Лист4</vt:lpstr>
      <vt:lpstr>18.МП ФКГС</vt:lpstr>
      <vt:lpstr>19.МП СОГХ</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Тихонова Лариса Анатольевна</dc:creator>
  <cp:lastModifiedBy>Тихонова Лариса Анатольевна</cp:lastModifiedBy>
  <cp:lastPrinted>2024-06-04T07:28:30Z</cp:lastPrinted>
  <dcterms:created xsi:type="dcterms:W3CDTF">2006-09-16T00:00:00Z</dcterms:created>
  <dcterms:modified xsi:type="dcterms:W3CDTF">2024-08-27T11:40:05Z</dcterms:modified>
</cp:coreProperties>
</file>