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58" i="1" l="1"/>
  <c r="E357" i="1"/>
  <c r="G357" i="1" s="1"/>
  <c r="D357" i="1"/>
  <c r="C357" i="1"/>
  <c r="B357" i="1"/>
  <c r="AG356" i="1"/>
  <c r="E356" i="1"/>
  <c r="C356" i="1"/>
  <c r="C354" i="1" s="1"/>
  <c r="B356" i="1"/>
  <c r="E355" i="1"/>
  <c r="D355" i="1"/>
  <c r="C355" i="1"/>
  <c r="G355" i="1" s="1"/>
  <c r="B355" i="1"/>
  <c r="AG355" i="1" s="1"/>
  <c r="AE354" i="1"/>
  <c r="AD354" i="1"/>
  <c r="AC354" i="1"/>
  <c r="AB354" i="1"/>
  <c r="AA354" i="1"/>
  <c r="Z354" i="1"/>
  <c r="Y354" i="1"/>
  <c r="X354" i="1"/>
  <c r="W354" i="1"/>
  <c r="V354" i="1"/>
  <c r="U354" i="1"/>
  <c r="T354" i="1"/>
  <c r="S354" i="1"/>
  <c r="R354" i="1"/>
  <c r="Q354" i="1"/>
  <c r="P354" i="1"/>
  <c r="O354" i="1"/>
  <c r="N354" i="1"/>
  <c r="M354" i="1"/>
  <c r="L354" i="1"/>
  <c r="K354" i="1"/>
  <c r="J354" i="1"/>
  <c r="I354" i="1"/>
  <c r="H354" i="1"/>
  <c r="AG353" i="1"/>
  <c r="AG352" i="1"/>
  <c r="E351" i="1"/>
  <c r="G351" i="1" s="1"/>
  <c r="D351" i="1"/>
  <c r="D345" i="1" s="1"/>
  <c r="C351" i="1"/>
  <c r="B351" i="1"/>
  <c r="E350" i="1"/>
  <c r="C350" i="1"/>
  <c r="B350" i="1"/>
  <c r="AG350" i="1" s="1"/>
  <c r="E349" i="1"/>
  <c r="G349" i="1" s="1"/>
  <c r="D349" i="1"/>
  <c r="C349" i="1"/>
  <c r="B349" i="1"/>
  <c r="AE348" i="1"/>
  <c r="AD348" i="1"/>
  <c r="AC348" i="1"/>
  <c r="AB348" i="1"/>
  <c r="AA348" i="1"/>
  <c r="Z348" i="1"/>
  <c r="Y348" i="1"/>
  <c r="X348" i="1"/>
  <c r="W348" i="1"/>
  <c r="V348" i="1"/>
  <c r="U348" i="1"/>
  <c r="T348" i="1"/>
  <c r="S348" i="1"/>
  <c r="R348" i="1"/>
  <c r="Q348" i="1"/>
  <c r="P348" i="1"/>
  <c r="O348" i="1"/>
  <c r="N348" i="1"/>
  <c r="M348" i="1"/>
  <c r="L348" i="1"/>
  <c r="K348" i="1"/>
  <c r="J348" i="1"/>
  <c r="I348" i="1"/>
  <c r="H348" i="1"/>
  <c r="C348" i="1"/>
  <c r="AG347" i="1"/>
  <c r="AE346" i="1"/>
  <c r="AD346" i="1"/>
  <c r="AC346" i="1"/>
  <c r="AB346" i="1"/>
  <c r="AA346" i="1"/>
  <c r="Z346" i="1"/>
  <c r="Y346" i="1"/>
  <c r="Y342" i="1" s="1"/>
  <c r="X346" i="1"/>
  <c r="W346" i="1"/>
  <c r="V346" i="1"/>
  <c r="U346" i="1"/>
  <c r="T346" i="1"/>
  <c r="S346" i="1"/>
  <c r="R346" i="1"/>
  <c r="Q346" i="1"/>
  <c r="Q342" i="1" s="1"/>
  <c r="P346" i="1"/>
  <c r="O346" i="1"/>
  <c r="N346" i="1"/>
  <c r="M346" i="1"/>
  <c r="L346" i="1"/>
  <c r="K346" i="1"/>
  <c r="J346" i="1"/>
  <c r="I346" i="1"/>
  <c r="I342" i="1" s="1"/>
  <c r="H346" i="1"/>
  <c r="E346" i="1"/>
  <c r="D346" i="1"/>
  <c r="C346" i="1"/>
  <c r="B346" i="1"/>
  <c r="AG346" i="1" s="1"/>
  <c r="AE345" i="1"/>
  <c r="AD345" i="1"/>
  <c r="AC345" i="1"/>
  <c r="AB345" i="1"/>
  <c r="AA345" i="1"/>
  <c r="Z345" i="1"/>
  <c r="Y345" i="1"/>
  <c r="X345" i="1"/>
  <c r="W345" i="1"/>
  <c r="V345" i="1"/>
  <c r="U345" i="1"/>
  <c r="T345" i="1"/>
  <c r="S345" i="1"/>
  <c r="R345" i="1"/>
  <c r="Q345" i="1"/>
  <c r="P345" i="1"/>
  <c r="O345" i="1"/>
  <c r="N345" i="1"/>
  <c r="M345" i="1"/>
  <c r="L345" i="1"/>
  <c r="K345" i="1"/>
  <c r="J345" i="1"/>
  <c r="I345" i="1"/>
  <c r="H345" i="1"/>
  <c r="E345" i="1"/>
  <c r="G345" i="1" s="1"/>
  <c r="C345" i="1"/>
  <c r="AE344" i="1"/>
  <c r="AD344" i="1"/>
  <c r="AC344" i="1"/>
  <c r="AB344" i="1"/>
  <c r="AA344" i="1"/>
  <c r="AA342" i="1" s="1"/>
  <c r="Z344" i="1"/>
  <c r="Y344" i="1"/>
  <c r="X344" i="1"/>
  <c r="W344" i="1"/>
  <c r="V344" i="1"/>
  <c r="U344" i="1"/>
  <c r="T344" i="1"/>
  <c r="S344" i="1"/>
  <c r="S342" i="1" s="1"/>
  <c r="R344" i="1"/>
  <c r="Q344" i="1"/>
  <c r="P344" i="1"/>
  <c r="O344" i="1"/>
  <c r="N344" i="1"/>
  <c r="M344" i="1"/>
  <c r="L344" i="1"/>
  <c r="K344" i="1"/>
  <c r="K342" i="1" s="1"/>
  <c r="J344" i="1"/>
  <c r="I344" i="1"/>
  <c r="H344" i="1"/>
  <c r="C344" i="1"/>
  <c r="C342" i="1" s="1"/>
  <c r="B344" i="1"/>
  <c r="AG344" i="1" s="1"/>
  <c r="AE343" i="1"/>
  <c r="AD343" i="1"/>
  <c r="AD342" i="1" s="1"/>
  <c r="AC343" i="1"/>
  <c r="AB343" i="1"/>
  <c r="AB342" i="1" s="1"/>
  <c r="AA343" i="1"/>
  <c r="Z343" i="1"/>
  <c r="Z342" i="1" s="1"/>
  <c r="Y343" i="1"/>
  <c r="X343" i="1"/>
  <c r="X342" i="1" s="1"/>
  <c r="W343" i="1"/>
  <c r="V343" i="1"/>
  <c r="V342" i="1" s="1"/>
  <c r="U343" i="1"/>
  <c r="T343" i="1"/>
  <c r="T342" i="1" s="1"/>
  <c r="S343" i="1"/>
  <c r="R343" i="1"/>
  <c r="R342" i="1" s="1"/>
  <c r="Q343" i="1"/>
  <c r="P343" i="1"/>
  <c r="P342" i="1" s="1"/>
  <c r="O343" i="1"/>
  <c r="N343" i="1"/>
  <c r="N342" i="1" s="1"/>
  <c r="M343" i="1"/>
  <c r="L343" i="1"/>
  <c r="L342" i="1" s="1"/>
  <c r="K343" i="1"/>
  <c r="J343" i="1"/>
  <c r="J342" i="1" s="1"/>
  <c r="I343" i="1"/>
  <c r="H343" i="1"/>
  <c r="H342" i="1" s="1"/>
  <c r="E343" i="1"/>
  <c r="D343" i="1"/>
  <c r="C343" i="1"/>
  <c r="AE342" i="1"/>
  <c r="AC342" i="1"/>
  <c r="W342" i="1"/>
  <c r="U342" i="1"/>
  <c r="O342" i="1"/>
  <c r="M342" i="1"/>
  <c r="AG341" i="1"/>
  <c r="AG340" i="1"/>
  <c r="AG339" i="1"/>
  <c r="E339" i="1"/>
  <c r="G339" i="1" s="1"/>
  <c r="D339" i="1"/>
  <c r="C339" i="1"/>
  <c r="B339" i="1"/>
  <c r="AG338" i="1"/>
  <c r="X338" i="1"/>
  <c r="G338" i="1"/>
  <c r="E338" i="1"/>
  <c r="C338" i="1"/>
  <c r="AH338" i="1" s="1"/>
  <c r="B338" i="1"/>
  <c r="AG337" i="1"/>
  <c r="E337" i="1"/>
  <c r="G337" i="1" s="1"/>
  <c r="D337" i="1"/>
  <c r="C337" i="1"/>
  <c r="B337" i="1"/>
  <c r="F337" i="1" s="1"/>
  <c r="AE336" i="1"/>
  <c r="AD336" i="1"/>
  <c r="AC336" i="1"/>
  <c r="AB336" i="1"/>
  <c r="AA336" i="1"/>
  <c r="Z336" i="1"/>
  <c r="Y336" i="1"/>
  <c r="X336" i="1"/>
  <c r="W336" i="1"/>
  <c r="V336" i="1"/>
  <c r="U336" i="1"/>
  <c r="T336" i="1"/>
  <c r="S336" i="1"/>
  <c r="R336" i="1"/>
  <c r="Q336" i="1"/>
  <c r="P336" i="1"/>
  <c r="O336" i="1"/>
  <c r="N336" i="1"/>
  <c r="M336" i="1"/>
  <c r="L336" i="1"/>
  <c r="K336" i="1"/>
  <c r="J336" i="1"/>
  <c r="I336" i="1"/>
  <c r="H336" i="1"/>
  <c r="E336" i="1"/>
  <c r="C336" i="1"/>
  <c r="AG335" i="1"/>
  <c r="AG334" i="1"/>
  <c r="E333" i="1"/>
  <c r="G333" i="1" s="1"/>
  <c r="D333" i="1"/>
  <c r="C333" i="1"/>
  <c r="B333" i="1"/>
  <c r="AG332" i="1"/>
  <c r="E332" i="1"/>
  <c r="C332" i="1"/>
  <c r="C330" i="1" s="1"/>
  <c r="B332" i="1"/>
  <c r="E331" i="1"/>
  <c r="D331" i="1"/>
  <c r="C331" i="1"/>
  <c r="G331" i="1" s="1"/>
  <c r="B331" i="1"/>
  <c r="AG331" i="1" s="1"/>
  <c r="AE330" i="1"/>
  <c r="AD330" i="1"/>
  <c r="AC330" i="1"/>
  <c r="AB330" i="1"/>
  <c r="AA330" i="1"/>
  <c r="Z330" i="1"/>
  <c r="Y330" i="1"/>
  <c r="X330" i="1"/>
  <c r="W330" i="1"/>
  <c r="V330" i="1"/>
  <c r="U330" i="1"/>
  <c r="T330" i="1"/>
  <c r="S330" i="1"/>
  <c r="R330" i="1"/>
  <c r="Q330" i="1"/>
  <c r="P330" i="1"/>
  <c r="O330" i="1"/>
  <c r="N330" i="1"/>
  <c r="M330" i="1"/>
  <c r="L330" i="1"/>
  <c r="K330" i="1"/>
  <c r="J330" i="1"/>
  <c r="I330" i="1"/>
  <c r="H330" i="1"/>
  <c r="AG329" i="1"/>
  <c r="AG328" i="1"/>
  <c r="AD327" i="1"/>
  <c r="Z327" i="1"/>
  <c r="X327" i="1"/>
  <c r="P327" i="1"/>
  <c r="N327" i="1"/>
  <c r="E327" i="1"/>
  <c r="AD326" i="1"/>
  <c r="Z326" i="1"/>
  <c r="X326" i="1"/>
  <c r="R326" i="1"/>
  <c r="P326" i="1"/>
  <c r="N326" i="1"/>
  <c r="E326" i="1"/>
  <c r="D326" i="1"/>
  <c r="AD325" i="1"/>
  <c r="Z325" i="1"/>
  <c r="X325" i="1"/>
  <c r="N325" i="1"/>
  <c r="E325" i="1"/>
  <c r="AE324" i="1"/>
  <c r="AD324" i="1"/>
  <c r="AC324" i="1"/>
  <c r="AB324" i="1"/>
  <c r="AA324" i="1"/>
  <c r="Y324" i="1"/>
  <c r="W324" i="1"/>
  <c r="V324" i="1"/>
  <c r="U324" i="1"/>
  <c r="T324" i="1"/>
  <c r="S324" i="1"/>
  <c r="R324" i="1"/>
  <c r="Q324" i="1"/>
  <c r="P324" i="1"/>
  <c r="O324" i="1"/>
  <c r="M324" i="1"/>
  <c r="L324" i="1"/>
  <c r="K324" i="1"/>
  <c r="J324" i="1"/>
  <c r="I324" i="1"/>
  <c r="H324" i="1"/>
  <c r="AG323" i="1"/>
  <c r="AE322" i="1"/>
  <c r="AD322" i="1"/>
  <c r="AD310" i="1" s="1"/>
  <c r="AC322" i="1"/>
  <c r="AB322" i="1"/>
  <c r="AB310" i="1" s="1"/>
  <c r="AA322" i="1"/>
  <c r="Z322" i="1"/>
  <c r="Z310" i="1" s="1"/>
  <c r="Y322" i="1"/>
  <c r="X322" i="1"/>
  <c r="X310" i="1" s="1"/>
  <c r="W322" i="1"/>
  <c r="V322" i="1"/>
  <c r="U322" i="1"/>
  <c r="T322" i="1"/>
  <c r="T310" i="1" s="1"/>
  <c r="S322" i="1"/>
  <c r="R322" i="1"/>
  <c r="R310" i="1" s="1"/>
  <c r="Q322" i="1"/>
  <c r="P322" i="1"/>
  <c r="P310" i="1" s="1"/>
  <c r="O322" i="1"/>
  <c r="N322" i="1"/>
  <c r="N310" i="1" s="1"/>
  <c r="M322" i="1"/>
  <c r="L322" i="1"/>
  <c r="L310" i="1" s="1"/>
  <c r="K322" i="1"/>
  <c r="J322" i="1"/>
  <c r="J310" i="1" s="1"/>
  <c r="I322" i="1"/>
  <c r="H322" i="1"/>
  <c r="H310" i="1" s="1"/>
  <c r="AE321" i="1"/>
  <c r="AD321" i="1"/>
  <c r="AC321" i="1"/>
  <c r="AB321" i="1"/>
  <c r="AA321" i="1"/>
  <c r="Y321" i="1"/>
  <c r="X321" i="1"/>
  <c r="W321" i="1"/>
  <c r="V321" i="1"/>
  <c r="U321" i="1"/>
  <c r="T321" i="1"/>
  <c r="S321" i="1"/>
  <c r="R321" i="1"/>
  <c r="Q321" i="1"/>
  <c r="O321" i="1"/>
  <c r="N321" i="1"/>
  <c r="M321" i="1"/>
  <c r="L321" i="1"/>
  <c r="K321" i="1"/>
  <c r="J321" i="1"/>
  <c r="I321" i="1"/>
  <c r="H321" i="1"/>
  <c r="C321" i="1"/>
  <c r="AE320" i="1"/>
  <c r="AD320" i="1"/>
  <c r="AD308" i="1" s="1"/>
  <c r="AC320" i="1"/>
  <c r="AB320" i="1"/>
  <c r="AA320" i="1"/>
  <c r="Y320" i="1"/>
  <c r="X320" i="1"/>
  <c r="W320" i="1"/>
  <c r="V320" i="1"/>
  <c r="V308" i="1" s="1"/>
  <c r="U320" i="1"/>
  <c r="T320" i="1"/>
  <c r="S320" i="1"/>
  <c r="R320" i="1"/>
  <c r="R308" i="1" s="1"/>
  <c r="Q320" i="1"/>
  <c r="P320" i="1"/>
  <c r="P308" i="1" s="1"/>
  <c r="O320" i="1"/>
  <c r="M320" i="1"/>
  <c r="L320" i="1"/>
  <c r="K320" i="1"/>
  <c r="E320" i="1" s="1"/>
  <c r="J320" i="1"/>
  <c r="J308" i="1" s="1"/>
  <c r="I320" i="1"/>
  <c r="H320" i="1"/>
  <c r="AE319" i="1"/>
  <c r="AE307" i="1" s="1"/>
  <c r="AC319" i="1"/>
  <c r="AC307" i="1" s="1"/>
  <c r="AB319" i="1"/>
  <c r="AA319" i="1"/>
  <c r="AA307" i="1" s="1"/>
  <c r="Z319" i="1"/>
  <c r="Y319" i="1"/>
  <c r="Y307" i="1" s="1"/>
  <c r="W319" i="1"/>
  <c r="W307" i="1" s="1"/>
  <c r="V319" i="1"/>
  <c r="U319" i="1"/>
  <c r="U307" i="1" s="1"/>
  <c r="T319" i="1"/>
  <c r="S319" i="1"/>
  <c r="S307" i="1" s="1"/>
  <c r="R319" i="1"/>
  <c r="Q319" i="1"/>
  <c r="Q307" i="1" s="1"/>
  <c r="P319" i="1"/>
  <c r="O319" i="1"/>
  <c r="O307" i="1" s="1"/>
  <c r="N319" i="1"/>
  <c r="M319" i="1"/>
  <c r="M307" i="1" s="1"/>
  <c r="L319" i="1"/>
  <c r="K319" i="1"/>
  <c r="K307" i="1" s="1"/>
  <c r="J319" i="1"/>
  <c r="I319" i="1"/>
  <c r="H319" i="1"/>
  <c r="C319" i="1"/>
  <c r="R318" i="1"/>
  <c r="AG317" i="1"/>
  <c r="AG316" i="1"/>
  <c r="V315" i="1"/>
  <c r="F315" i="1"/>
  <c r="E315" i="1"/>
  <c r="D315" i="1"/>
  <c r="B315" i="1"/>
  <c r="AG315" i="1" s="1"/>
  <c r="E314" i="1"/>
  <c r="C314" i="1"/>
  <c r="B314" i="1"/>
  <c r="AG314" i="1" s="1"/>
  <c r="E313" i="1"/>
  <c r="G313" i="1" s="1"/>
  <c r="D313" i="1"/>
  <c r="C313" i="1"/>
  <c r="B313" i="1"/>
  <c r="AG313" i="1" s="1"/>
  <c r="AE312" i="1"/>
  <c r="AD312" i="1"/>
  <c r="AC312" i="1"/>
  <c r="AB312" i="1"/>
  <c r="AA312" i="1"/>
  <c r="Z312" i="1"/>
  <c r="Y312" i="1"/>
  <c r="X312" i="1"/>
  <c r="W312" i="1"/>
  <c r="U312" i="1"/>
  <c r="T312" i="1"/>
  <c r="S312" i="1"/>
  <c r="R312" i="1"/>
  <c r="Q312" i="1"/>
  <c r="P312" i="1"/>
  <c r="O312" i="1"/>
  <c r="N312" i="1"/>
  <c r="M312" i="1"/>
  <c r="L312" i="1"/>
  <c r="K312" i="1"/>
  <c r="J312" i="1"/>
  <c r="I312" i="1"/>
  <c r="H312" i="1"/>
  <c r="AG311" i="1"/>
  <c r="AE310" i="1"/>
  <c r="AC310" i="1"/>
  <c r="AA310" i="1"/>
  <c r="Y310" i="1"/>
  <c r="W310" i="1"/>
  <c r="U310" i="1"/>
  <c r="S310" i="1"/>
  <c r="Q310" i="1"/>
  <c r="O310" i="1"/>
  <c r="M310" i="1"/>
  <c r="K310" i="1"/>
  <c r="I310" i="1"/>
  <c r="E310" i="1"/>
  <c r="D310" i="1" s="1"/>
  <c r="C310" i="1"/>
  <c r="AD309" i="1"/>
  <c r="AB309" i="1"/>
  <c r="X309" i="1"/>
  <c r="V309" i="1"/>
  <c r="T309" i="1"/>
  <c r="R309" i="1"/>
  <c r="N309" i="1"/>
  <c r="L309" i="1"/>
  <c r="J309" i="1"/>
  <c r="H309" i="1"/>
  <c r="AE308" i="1"/>
  <c r="AC308" i="1"/>
  <c r="AA308" i="1"/>
  <c r="Y308" i="1"/>
  <c r="W308" i="1"/>
  <c r="U308" i="1"/>
  <c r="S308" i="1"/>
  <c r="Q308" i="1"/>
  <c r="O308" i="1"/>
  <c r="M308" i="1"/>
  <c r="K308" i="1"/>
  <c r="I308" i="1"/>
  <c r="AB307" i="1"/>
  <c r="Z307" i="1"/>
  <c r="V307" i="1"/>
  <c r="T307" i="1"/>
  <c r="R307" i="1"/>
  <c r="R306" i="1" s="1"/>
  <c r="P307" i="1"/>
  <c r="N307" i="1"/>
  <c r="L307" i="1"/>
  <c r="J307" i="1"/>
  <c r="H307" i="1"/>
  <c r="AG305" i="1"/>
  <c r="AG304" i="1"/>
  <c r="AG303" i="1"/>
  <c r="V303" i="1"/>
  <c r="R303" i="1"/>
  <c r="F303" i="1"/>
  <c r="E303" i="1"/>
  <c r="D303" i="1"/>
  <c r="B303" i="1"/>
  <c r="B300" i="1" s="1"/>
  <c r="AG302" i="1"/>
  <c r="G302" i="1"/>
  <c r="E302" i="1"/>
  <c r="C302" i="1"/>
  <c r="B302" i="1"/>
  <c r="AG301" i="1"/>
  <c r="E301" i="1"/>
  <c r="D301" i="1"/>
  <c r="C301" i="1"/>
  <c r="G301" i="1" s="1"/>
  <c r="B301" i="1"/>
  <c r="F301" i="1" s="1"/>
  <c r="AE300" i="1"/>
  <c r="AD300" i="1"/>
  <c r="AC300" i="1"/>
  <c r="AB300" i="1"/>
  <c r="AA300" i="1"/>
  <c r="Z300" i="1"/>
  <c r="Y300" i="1"/>
  <c r="X300" i="1"/>
  <c r="W300" i="1"/>
  <c r="V300" i="1"/>
  <c r="U300" i="1"/>
  <c r="T300" i="1"/>
  <c r="S300" i="1"/>
  <c r="Q300" i="1"/>
  <c r="P300" i="1"/>
  <c r="O300" i="1"/>
  <c r="N300" i="1"/>
  <c r="M300" i="1"/>
  <c r="L300" i="1"/>
  <c r="K300" i="1"/>
  <c r="J300" i="1"/>
  <c r="I300" i="1"/>
  <c r="H300" i="1"/>
  <c r="E300" i="1"/>
  <c r="F300" i="1" s="1"/>
  <c r="AG299" i="1"/>
  <c r="AG298" i="1"/>
  <c r="E297" i="1"/>
  <c r="G297" i="1" s="1"/>
  <c r="D297" i="1"/>
  <c r="C297" i="1"/>
  <c r="B297" i="1"/>
  <c r="G296" i="1"/>
  <c r="E296" i="1"/>
  <c r="C296" i="1"/>
  <c r="B296" i="1"/>
  <c r="AG296" i="1" s="1"/>
  <c r="AG295" i="1"/>
  <c r="E295" i="1"/>
  <c r="G295" i="1" s="1"/>
  <c r="D295" i="1"/>
  <c r="C295" i="1"/>
  <c r="B295" i="1"/>
  <c r="F295" i="1" s="1"/>
  <c r="AE294" i="1"/>
  <c r="AD294" i="1"/>
  <c r="AC294" i="1"/>
  <c r="AB294" i="1"/>
  <c r="AA294" i="1"/>
  <c r="Z294" i="1"/>
  <c r="Y294" i="1"/>
  <c r="X294" i="1"/>
  <c r="W294" i="1"/>
  <c r="V294" i="1"/>
  <c r="U294" i="1"/>
  <c r="T294" i="1"/>
  <c r="S294" i="1"/>
  <c r="R294" i="1"/>
  <c r="Q294" i="1"/>
  <c r="P294" i="1"/>
  <c r="O294" i="1"/>
  <c r="N294" i="1"/>
  <c r="M294" i="1"/>
  <c r="L294" i="1"/>
  <c r="K294" i="1"/>
  <c r="J294" i="1"/>
  <c r="I294" i="1"/>
  <c r="H294" i="1"/>
  <c r="E294" i="1"/>
  <c r="C294" i="1"/>
  <c r="AG293" i="1"/>
  <c r="AG292" i="1"/>
  <c r="AD291" i="1"/>
  <c r="Z291" i="1"/>
  <c r="Z288" i="1" s="1"/>
  <c r="X291" i="1"/>
  <c r="R291" i="1"/>
  <c r="L291" i="1"/>
  <c r="J291" i="1"/>
  <c r="E291" i="1"/>
  <c r="D291" i="1"/>
  <c r="E290" i="1"/>
  <c r="C290" i="1"/>
  <c r="B290" i="1"/>
  <c r="AG290" i="1" s="1"/>
  <c r="E289" i="1"/>
  <c r="G289" i="1" s="1"/>
  <c r="D289" i="1"/>
  <c r="C289" i="1"/>
  <c r="B289" i="1"/>
  <c r="AG289" i="1" s="1"/>
  <c r="AE288" i="1"/>
  <c r="AD288" i="1"/>
  <c r="AC288" i="1"/>
  <c r="AB288" i="1"/>
  <c r="AA288" i="1"/>
  <c r="Y288" i="1"/>
  <c r="X288" i="1"/>
  <c r="W288" i="1"/>
  <c r="V288" i="1"/>
  <c r="U288" i="1"/>
  <c r="T288" i="1"/>
  <c r="S288" i="1"/>
  <c r="Q288" i="1"/>
  <c r="P288" i="1"/>
  <c r="O288" i="1"/>
  <c r="N288" i="1"/>
  <c r="M288" i="1"/>
  <c r="L288" i="1"/>
  <c r="K288" i="1"/>
  <c r="I288" i="1"/>
  <c r="H288" i="1"/>
  <c r="AG287" i="1"/>
  <c r="AE286" i="1"/>
  <c r="AD286" i="1"/>
  <c r="AC286" i="1"/>
  <c r="AB286" i="1"/>
  <c r="AA286" i="1"/>
  <c r="Z286" i="1"/>
  <c r="Y286" i="1"/>
  <c r="Y282" i="1" s="1"/>
  <c r="X286" i="1"/>
  <c r="W286" i="1"/>
  <c r="V286" i="1"/>
  <c r="U286" i="1"/>
  <c r="T286" i="1"/>
  <c r="S286" i="1"/>
  <c r="R286" i="1"/>
  <c r="Q286" i="1"/>
  <c r="Q282" i="1" s="1"/>
  <c r="P286" i="1"/>
  <c r="O286" i="1"/>
  <c r="N286" i="1"/>
  <c r="M286" i="1"/>
  <c r="L286" i="1"/>
  <c r="B286" i="1" s="1"/>
  <c r="AG286" i="1" s="1"/>
  <c r="K286" i="1"/>
  <c r="J286" i="1"/>
  <c r="I286" i="1"/>
  <c r="E286" i="1" s="1"/>
  <c r="H286" i="1"/>
  <c r="C286" i="1"/>
  <c r="AE285" i="1"/>
  <c r="AD285" i="1"/>
  <c r="AC285" i="1"/>
  <c r="AB285" i="1"/>
  <c r="AB282" i="1" s="1"/>
  <c r="AA285" i="1"/>
  <c r="Z285" i="1"/>
  <c r="Y285" i="1"/>
  <c r="X285" i="1"/>
  <c r="W285" i="1"/>
  <c r="V285" i="1"/>
  <c r="U285" i="1"/>
  <c r="T285" i="1"/>
  <c r="T282" i="1" s="1"/>
  <c r="S285" i="1"/>
  <c r="Q285" i="1"/>
  <c r="P285" i="1"/>
  <c r="O285" i="1"/>
  <c r="N285" i="1"/>
  <c r="M285" i="1"/>
  <c r="L285" i="1"/>
  <c r="K285" i="1"/>
  <c r="E285" i="1" s="1"/>
  <c r="J285" i="1"/>
  <c r="I285" i="1"/>
  <c r="H285" i="1"/>
  <c r="C285" i="1" s="1"/>
  <c r="D285" i="1"/>
  <c r="AE284" i="1"/>
  <c r="AE282" i="1" s="1"/>
  <c r="AD284" i="1"/>
  <c r="AC284" i="1"/>
  <c r="AB284" i="1"/>
  <c r="AA284" i="1"/>
  <c r="AA282" i="1" s="1"/>
  <c r="Z284" i="1"/>
  <c r="Y284" i="1"/>
  <c r="X284" i="1"/>
  <c r="W284" i="1"/>
  <c r="W282" i="1" s="1"/>
  <c r="V284" i="1"/>
  <c r="U284" i="1"/>
  <c r="T284" i="1"/>
  <c r="S284" i="1"/>
  <c r="S282" i="1" s="1"/>
  <c r="R284" i="1"/>
  <c r="Q284" i="1"/>
  <c r="P284" i="1"/>
  <c r="O284" i="1"/>
  <c r="O282" i="1" s="1"/>
  <c r="N284" i="1"/>
  <c r="M284" i="1"/>
  <c r="L284" i="1"/>
  <c r="K284" i="1"/>
  <c r="J284" i="1"/>
  <c r="I284" i="1"/>
  <c r="H284" i="1"/>
  <c r="C284" i="1"/>
  <c r="B284" i="1"/>
  <c r="AG284" i="1" s="1"/>
  <c r="AE283" i="1"/>
  <c r="AD283" i="1"/>
  <c r="AD282" i="1" s="1"/>
  <c r="AC283" i="1"/>
  <c r="AB283" i="1"/>
  <c r="AA283" i="1"/>
  <c r="Z283" i="1"/>
  <c r="Z282" i="1" s="1"/>
  <c r="Y283" i="1"/>
  <c r="X283" i="1"/>
  <c r="W283" i="1"/>
  <c r="V283" i="1"/>
  <c r="V282" i="1" s="1"/>
  <c r="U283" i="1"/>
  <c r="T283" i="1"/>
  <c r="S283" i="1"/>
  <c r="R283" i="1"/>
  <c r="Q283" i="1"/>
  <c r="P283" i="1"/>
  <c r="O283" i="1"/>
  <c r="N283" i="1"/>
  <c r="N282" i="1" s="1"/>
  <c r="M283" i="1"/>
  <c r="L283" i="1"/>
  <c r="K283" i="1"/>
  <c r="J283" i="1"/>
  <c r="I283" i="1"/>
  <c r="H283" i="1"/>
  <c r="E283" i="1"/>
  <c r="C283" i="1"/>
  <c r="AC282" i="1"/>
  <c r="X282" i="1"/>
  <c r="U282" i="1"/>
  <c r="P282" i="1"/>
  <c r="M282" i="1"/>
  <c r="L282" i="1"/>
  <c r="I282" i="1"/>
  <c r="H282" i="1"/>
  <c r="C282" i="1"/>
  <c r="AG281" i="1"/>
  <c r="AG280" i="1"/>
  <c r="AG279" i="1"/>
  <c r="E279" i="1"/>
  <c r="G279" i="1" s="1"/>
  <c r="D279" i="1"/>
  <c r="C279" i="1"/>
  <c r="B279" i="1"/>
  <c r="AG278" i="1"/>
  <c r="G278" i="1"/>
  <c r="E278" i="1"/>
  <c r="F278" i="1" s="1"/>
  <c r="D278" i="1"/>
  <c r="C278" i="1"/>
  <c r="B278" i="1"/>
  <c r="E277" i="1"/>
  <c r="D277" i="1"/>
  <c r="C277" i="1"/>
  <c r="G277" i="1" s="1"/>
  <c r="B277" i="1"/>
  <c r="AG277" i="1" s="1"/>
  <c r="E276" i="1"/>
  <c r="C276" i="1"/>
  <c r="C275" i="1" s="1"/>
  <c r="B276" i="1"/>
  <c r="AG276" i="1" s="1"/>
  <c r="AE275" i="1"/>
  <c r="AD275" i="1"/>
  <c r="AC275" i="1"/>
  <c r="AB275" i="1"/>
  <c r="AA275" i="1"/>
  <c r="Z275" i="1"/>
  <c r="Y275" i="1"/>
  <c r="X275" i="1"/>
  <c r="W275" i="1"/>
  <c r="V275" i="1"/>
  <c r="U275" i="1"/>
  <c r="T275" i="1"/>
  <c r="S275" i="1"/>
  <c r="R275" i="1"/>
  <c r="Q275" i="1"/>
  <c r="P275" i="1"/>
  <c r="O275" i="1"/>
  <c r="N275" i="1"/>
  <c r="M275" i="1"/>
  <c r="L275" i="1"/>
  <c r="K275" i="1"/>
  <c r="J275" i="1"/>
  <c r="I275" i="1"/>
  <c r="H275" i="1"/>
  <c r="AG274" i="1"/>
  <c r="AG273" i="1"/>
  <c r="C273" i="1"/>
  <c r="B273" i="1"/>
  <c r="AD272" i="1"/>
  <c r="E272" i="1"/>
  <c r="G272" i="1" s="1"/>
  <c r="D272" i="1"/>
  <c r="D266" i="1" s="1"/>
  <c r="C272" i="1"/>
  <c r="AD271" i="1"/>
  <c r="E271" i="1"/>
  <c r="G271" i="1" s="1"/>
  <c r="D271" i="1"/>
  <c r="D269" i="1" s="1"/>
  <c r="C271" i="1"/>
  <c r="AG270" i="1"/>
  <c r="G270" i="1"/>
  <c r="E270" i="1"/>
  <c r="F270" i="1" s="1"/>
  <c r="D270" i="1"/>
  <c r="C270" i="1"/>
  <c r="C269" i="1" s="1"/>
  <c r="B270" i="1"/>
  <c r="AE269" i="1"/>
  <c r="AD269" i="1"/>
  <c r="AC269" i="1"/>
  <c r="AB269" i="1"/>
  <c r="AA269" i="1"/>
  <c r="Z269" i="1"/>
  <c r="Y269" i="1"/>
  <c r="X269" i="1"/>
  <c r="W269" i="1"/>
  <c r="V269" i="1"/>
  <c r="U269" i="1"/>
  <c r="T269" i="1"/>
  <c r="S269" i="1"/>
  <c r="R269" i="1"/>
  <c r="Q269" i="1"/>
  <c r="P269" i="1"/>
  <c r="O269" i="1"/>
  <c r="N269" i="1"/>
  <c r="M269" i="1"/>
  <c r="L269" i="1"/>
  <c r="K269" i="1"/>
  <c r="J269" i="1"/>
  <c r="I269" i="1"/>
  <c r="H269" i="1"/>
  <c r="AG268" i="1"/>
  <c r="AE267" i="1"/>
  <c r="AD267" i="1"/>
  <c r="AC267" i="1"/>
  <c r="AB267" i="1"/>
  <c r="AA267" i="1"/>
  <c r="Z267" i="1"/>
  <c r="Z263" i="1" s="1"/>
  <c r="Y267" i="1"/>
  <c r="X267" i="1"/>
  <c r="W267" i="1"/>
  <c r="V267" i="1"/>
  <c r="U267" i="1"/>
  <c r="T267" i="1"/>
  <c r="S267" i="1"/>
  <c r="R267" i="1"/>
  <c r="Q267" i="1"/>
  <c r="P267" i="1"/>
  <c r="O267" i="1"/>
  <c r="N267" i="1"/>
  <c r="M267" i="1"/>
  <c r="L267" i="1"/>
  <c r="K267" i="1"/>
  <c r="J267" i="1"/>
  <c r="J263" i="1" s="1"/>
  <c r="I267" i="1"/>
  <c r="H267" i="1"/>
  <c r="E267" i="1"/>
  <c r="D267" i="1"/>
  <c r="C267" i="1"/>
  <c r="G267" i="1" s="1"/>
  <c r="B267" i="1"/>
  <c r="AG267" i="1" s="1"/>
  <c r="AE266" i="1"/>
  <c r="AC266" i="1"/>
  <c r="AB266" i="1"/>
  <c r="AA266" i="1"/>
  <c r="Z266" i="1"/>
  <c r="Y266" i="1"/>
  <c r="X266" i="1"/>
  <c r="W266" i="1"/>
  <c r="V266" i="1"/>
  <c r="U266" i="1"/>
  <c r="T266" i="1"/>
  <c r="S266" i="1"/>
  <c r="R266" i="1"/>
  <c r="Q266" i="1"/>
  <c r="P266" i="1"/>
  <c r="O266" i="1"/>
  <c r="N266" i="1"/>
  <c r="M266" i="1"/>
  <c r="L266" i="1"/>
  <c r="K266" i="1"/>
  <c r="J266" i="1"/>
  <c r="I266" i="1"/>
  <c r="H266" i="1"/>
  <c r="E266" i="1"/>
  <c r="C266" i="1"/>
  <c r="AE265" i="1"/>
  <c r="AC265" i="1"/>
  <c r="AB265" i="1"/>
  <c r="AA265" i="1"/>
  <c r="Z265" i="1"/>
  <c r="Y265" i="1"/>
  <c r="X265" i="1"/>
  <c r="W265" i="1"/>
  <c r="V265" i="1"/>
  <c r="U265" i="1"/>
  <c r="T265" i="1"/>
  <c r="S265" i="1"/>
  <c r="R265" i="1"/>
  <c r="Q265" i="1"/>
  <c r="P265" i="1"/>
  <c r="O265" i="1"/>
  <c r="N265" i="1"/>
  <c r="M265" i="1"/>
  <c r="L265" i="1"/>
  <c r="K265" i="1"/>
  <c r="J265" i="1"/>
  <c r="I265" i="1"/>
  <c r="H265" i="1"/>
  <c r="E265" i="1"/>
  <c r="G265" i="1" s="1"/>
  <c r="C265" i="1"/>
  <c r="AE264" i="1"/>
  <c r="AE263" i="1" s="1"/>
  <c r="AD264" i="1"/>
  <c r="AC264" i="1"/>
  <c r="AB264" i="1"/>
  <c r="AB263" i="1" s="1"/>
  <c r="AA264" i="1"/>
  <c r="AA263" i="1" s="1"/>
  <c r="Z264" i="1"/>
  <c r="Y264" i="1"/>
  <c r="X264" i="1"/>
  <c r="X263" i="1" s="1"/>
  <c r="W264" i="1"/>
  <c r="W263" i="1" s="1"/>
  <c r="V264" i="1"/>
  <c r="U264" i="1"/>
  <c r="T264" i="1"/>
  <c r="T263" i="1" s="1"/>
  <c r="S264" i="1"/>
  <c r="S263" i="1" s="1"/>
  <c r="R264" i="1"/>
  <c r="Q264" i="1"/>
  <c r="P264" i="1"/>
  <c r="P263" i="1" s="1"/>
  <c r="O264" i="1"/>
  <c r="O263" i="1" s="1"/>
  <c r="N264" i="1"/>
  <c r="M264" i="1"/>
  <c r="L264" i="1"/>
  <c r="L263" i="1" s="1"/>
  <c r="K264" i="1"/>
  <c r="K263" i="1" s="1"/>
  <c r="J264" i="1"/>
  <c r="I264" i="1"/>
  <c r="H264" i="1"/>
  <c r="H263" i="1" s="1"/>
  <c r="E264" i="1"/>
  <c r="F264" i="1" s="1"/>
  <c r="D264" i="1"/>
  <c r="C264" i="1"/>
  <c r="C263" i="1" s="1"/>
  <c r="B264" i="1"/>
  <c r="V263" i="1"/>
  <c r="R263" i="1"/>
  <c r="N263" i="1"/>
  <c r="AG262" i="1"/>
  <c r="AG260" i="1"/>
  <c r="AG259" i="1"/>
  <c r="AD258" i="1"/>
  <c r="AB258" i="1"/>
  <c r="X258" i="1"/>
  <c r="V258" i="1"/>
  <c r="R258" i="1"/>
  <c r="M258" i="1"/>
  <c r="B258" i="1"/>
  <c r="AG258" i="1" s="1"/>
  <c r="E257" i="1"/>
  <c r="C257" i="1"/>
  <c r="B257" i="1"/>
  <c r="AG257" i="1" s="1"/>
  <c r="AG256" i="1"/>
  <c r="E256" i="1"/>
  <c r="G256" i="1" s="1"/>
  <c r="D256" i="1"/>
  <c r="C256" i="1"/>
  <c r="B256" i="1"/>
  <c r="AE255" i="1"/>
  <c r="AD255" i="1"/>
  <c r="AC255" i="1"/>
  <c r="AB255" i="1"/>
  <c r="AA255" i="1"/>
  <c r="Z255" i="1"/>
  <c r="Y255" i="1"/>
  <c r="X255" i="1"/>
  <c r="W255" i="1"/>
  <c r="U255" i="1"/>
  <c r="T255" i="1"/>
  <c r="S255" i="1"/>
  <c r="R255" i="1"/>
  <c r="Q255" i="1"/>
  <c r="P255" i="1"/>
  <c r="O255" i="1"/>
  <c r="N255" i="1"/>
  <c r="M255" i="1"/>
  <c r="L255" i="1"/>
  <c r="K255" i="1"/>
  <c r="J255" i="1"/>
  <c r="I255" i="1"/>
  <c r="H255" i="1"/>
  <c r="AG254" i="1"/>
  <c r="AG253" i="1"/>
  <c r="AB252" i="1"/>
  <c r="Z252" i="1"/>
  <c r="V252" i="1"/>
  <c r="R252" i="1"/>
  <c r="E252" i="1"/>
  <c r="D252" i="1"/>
  <c r="AG251" i="1"/>
  <c r="E251" i="1"/>
  <c r="F251" i="1" s="1"/>
  <c r="D251" i="1"/>
  <c r="D249" i="1" s="1"/>
  <c r="C251" i="1"/>
  <c r="B251" i="1"/>
  <c r="E250" i="1"/>
  <c r="D250" i="1"/>
  <c r="C250" i="1"/>
  <c r="C244" i="1" s="1"/>
  <c r="B250" i="1"/>
  <c r="AE249" i="1"/>
  <c r="AD249" i="1"/>
  <c r="AC249" i="1"/>
  <c r="AB249" i="1"/>
  <c r="AA249" i="1"/>
  <c r="Z249" i="1"/>
  <c r="Y249" i="1"/>
  <c r="X249" i="1"/>
  <c r="W249" i="1"/>
  <c r="V249" i="1"/>
  <c r="U249" i="1"/>
  <c r="T249" i="1"/>
  <c r="S249" i="1"/>
  <c r="Q249" i="1"/>
  <c r="P249" i="1"/>
  <c r="O249" i="1"/>
  <c r="N249" i="1"/>
  <c r="M249" i="1"/>
  <c r="L249" i="1"/>
  <c r="K249" i="1"/>
  <c r="J249" i="1"/>
  <c r="I249" i="1"/>
  <c r="H249" i="1"/>
  <c r="E249" i="1"/>
  <c r="AG248" i="1"/>
  <c r="AE247" i="1"/>
  <c r="AD247" i="1"/>
  <c r="AC247" i="1"/>
  <c r="AB247" i="1"/>
  <c r="AA247" i="1"/>
  <c r="Z247" i="1"/>
  <c r="Y247" i="1"/>
  <c r="X247" i="1"/>
  <c r="W247" i="1"/>
  <c r="V247" i="1"/>
  <c r="U247" i="1"/>
  <c r="T247" i="1"/>
  <c r="S247" i="1"/>
  <c r="R247" i="1"/>
  <c r="Q247" i="1"/>
  <c r="P247" i="1"/>
  <c r="O247" i="1"/>
  <c r="N247" i="1"/>
  <c r="M247" i="1"/>
  <c r="L247" i="1"/>
  <c r="K247" i="1"/>
  <c r="J247" i="1"/>
  <c r="I247" i="1"/>
  <c r="H247" i="1"/>
  <c r="E247" i="1"/>
  <c r="D247" i="1"/>
  <c r="C247" i="1"/>
  <c r="B247" i="1"/>
  <c r="AG247" i="1" s="1"/>
  <c r="AE246" i="1"/>
  <c r="AD246" i="1"/>
  <c r="AC246" i="1"/>
  <c r="AB246" i="1"/>
  <c r="AA246" i="1"/>
  <c r="Z246" i="1"/>
  <c r="Y246" i="1"/>
  <c r="X246" i="1"/>
  <c r="W246" i="1"/>
  <c r="V246" i="1"/>
  <c r="U246" i="1"/>
  <c r="T246" i="1"/>
  <c r="S246" i="1"/>
  <c r="R246" i="1"/>
  <c r="Q246" i="1"/>
  <c r="P246" i="1"/>
  <c r="O246" i="1"/>
  <c r="N246" i="1"/>
  <c r="M246" i="1"/>
  <c r="L246" i="1"/>
  <c r="K246" i="1"/>
  <c r="J246" i="1"/>
  <c r="I246" i="1"/>
  <c r="H246" i="1"/>
  <c r="AE245" i="1"/>
  <c r="AD245" i="1"/>
  <c r="AC245" i="1"/>
  <c r="AC243" i="1" s="1"/>
  <c r="AB245" i="1"/>
  <c r="AA245" i="1"/>
  <c r="Z245" i="1"/>
  <c r="Y245" i="1"/>
  <c r="Y243" i="1" s="1"/>
  <c r="X245" i="1"/>
  <c r="W245" i="1"/>
  <c r="V245" i="1"/>
  <c r="U245" i="1"/>
  <c r="U243" i="1" s="1"/>
  <c r="T245" i="1"/>
  <c r="S245" i="1"/>
  <c r="R245" i="1"/>
  <c r="Q245" i="1"/>
  <c r="Q243" i="1" s="1"/>
  <c r="P245" i="1"/>
  <c r="O245" i="1"/>
  <c r="N245" i="1"/>
  <c r="M245" i="1"/>
  <c r="M243" i="1" s="1"/>
  <c r="L245" i="1"/>
  <c r="K245" i="1"/>
  <c r="J245" i="1"/>
  <c r="I245" i="1"/>
  <c r="I243" i="1" s="1"/>
  <c r="H245" i="1"/>
  <c r="B245" i="1"/>
  <c r="AG245" i="1" s="1"/>
  <c r="AE244" i="1"/>
  <c r="AD244" i="1"/>
  <c r="AD243" i="1" s="1"/>
  <c r="AC244" i="1"/>
  <c r="AB244" i="1"/>
  <c r="AA244" i="1"/>
  <c r="Z244" i="1"/>
  <c r="Z243" i="1" s="1"/>
  <c r="Y244" i="1"/>
  <c r="X244" i="1"/>
  <c r="W244" i="1"/>
  <c r="V244" i="1"/>
  <c r="V243" i="1" s="1"/>
  <c r="U244" i="1"/>
  <c r="T244" i="1"/>
  <c r="S244" i="1"/>
  <c r="R244" i="1"/>
  <c r="R243" i="1" s="1"/>
  <c r="Q244" i="1"/>
  <c r="P244" i="1"/>
  <c r="O244" i="1"/>
  <c r="N244" i="1"/>
  <c r="N243" i="1" s="1"/>
  <c r="M244" i="1"/>
  <c r="L244" i="1"/>
  <c r="K244" i="1"/>
  <c r="J244" i="1"/>
  <c r="J243" i="1" s="1"/>
  <c r="I244" i="1"/>
  <c r="H244" i="1"/>
  <c r="E244" i="1"/>
  <c r="D244" i="1"/>
  <c r="AE243" i="1"/>
  <c r="AB243" i="1"/>
  <c r="AA243" i="1"/>
  <c r="X243" i="1"/>
  <c r="W243" i="1"/>
  <c r="T243" i="1"/>
  <c r="S243" i="1"/>
  <c r="P243" i="1"/>
  <c r="O243" i="1"/>
  <c r="L243" i="1"/>
  <c r="K243" i="1"/>
  <c r="H243" i="1"/>
  <c r="AG242" i="1"/>
  <c r="AG241" i="1"/>
  <c r="AG240" i="1"/>
  <c r="E240" i="1"/>
  <c r="G240" i="1" s="1"/>
  <c r="D240" i="1"/>
  <c r="C240" i="1"/>
  <c r="B240" i="1"/>
  <c r="AG239" i="1"/>
  <c r="G239" i="1"/>
  <c r="E239" i="1"/>
  <c r="F239" i="1" s="1"/>
  <c r="D239" i="1"/>
  <c r="C239" i="1"/>
  <c r="B239" i="1"/>
  <c r="E238" i="1"/>
  <c r="D238" i="1"/>
  <c r="C238" i="1"/>
  <c r="G238" i="1" s="1"/>
  <c r="B238" i="1"/>
  <c r="AE237" i="1"/>
  <c r="AD237" i="1"/>
  <c r="AC237" i="1"/>
  <c r="AB237" i="1"/>
  <c r="AA237" i="1"/>
  <c r="Z237" i="1"/>
  <c r="Y237" i="1"/>
  <c r="X237" i="1"/>
  <c r="W237" i="1"/>
  <c r="V237" i="1"/>
  <c r="U237" i="1"/>
  <c r="T237" i="1"/>
  <c r="S237" i="1"/>
  <c r="R237" i="1"/>
  <c r="Q237" i="1"/>
  <c r="P237" i="1"/>
  <c r="O237" i="1"/>
  <c r="N237" i="1"/>
  <c r="M237" i="1"/>
  <c r="L237" i="1"/>
  <c r="K237" i="1"/>
  <c r="J237" i="1"/>
  <c r="I237" i="1"/>
  <c r="H237" i="1"/>
  <c r="E237" i="1"/>
  <c r="AG236" i="1"/>
  <c r="AG235" i="1"/>
  <c r="AD234" i="1"/>
  <c r="AB234" i="1"/>
  <c r="Z234" i="1"/>
  <c r="E234" i="1"/>
  <c r="C234" i="1"/>
  <c r="AG233" i="1"/>
  <c r="E233" i="1"/>
  <c r="G233" i="1" s="1"/>
  <c r="D233" i="1"/>
  <c r="C233" i="1"/>
  <c r="B233" i="1"/>
  <c r="AG232" i="1"/>
  <c r="G232" i="1"/>
  <c r="E232" i="1"/>
  <c r="F232" i="1" s="1"/>
  <c r="D232" i="1"/>
  <c r="C232" i="1"/>
  <c r="C231" i="1" s="1"/>
  <c r="B232" i="1"/>
  <c r="AE231" i="1"/>
  <c r="AD231" i="1"/>
  <c r="AC231" i="1"/>
  <c r="AA231" i="1"/>
  <c r="Z231" i="1"/>
  <c r="Y231" i="1"/>
  <c r="X231" i="1"/>
  <c r="W231" i="1"/>
  <c r="V231" i="1"/>
  <c r="U231" i="1"/>
  <c r="T231" i="1"/>
  <c r="S231" i="1"/>
  <c r="R231" i="1"/>
  <c r="Q231" i="1"/>
  <c r="P231" i="1"/>
  <c r="O231" i="1"/>
  <c r="N231" i="1"/>
  <c r="M231" i="1"/>
  <c r="L231" i="1"/>
  <c r="K231" i="1"/>
  <c r="J231" i="1"/>
  <c r="I231" i="1"/>
  <c r="H231" i="1"/>
  <c r="AG230" i="1"/>
  <c r="AG229" i="1"/>
  <c r="AG228" i="1"/>
  <c r="E228" i="1"/>
  <c r="F228" i="1" s="1"/>
  <c r="D228" i="1"/>
  <c r="C228" i="1"/>
  <c r="G228" i="1" s="1"/>
  <c r="B228" i="1"/>
  <c r="E227" i="1"/>
  <c r="D227" i="1"/>
  <c r="C227" i="1"/>
  <c r="B227" i="1"/>
  <c r="E226" i="1"/>
  <c r="C226" i="1"/>
  <c r="B226" i="1"/>
  <c r="AG226" i="1" s="1"/>
  <c r="AE225" i="1"/>
  <c r="AD225" i="1"/>
  <c r="AC225" i="1"/>
  <c r="AB225" i="1"/>
  <c r="AA225" i="1"/>
  <c r="Z225" i="1"/>
  <c r="Y225" i="1"/>
  <c r="X225" i="1"/>
  <c r="W225" i="1"/>
  <c r="V225" i="1"/>
  <c r="U225" i="1"/>
  <c r="T225" i="1"/>
  <c r="S225" i="1"/>
  <c r="R225" i="1"/>
  <c r="Q225" i="1"/>
  <c r="P225" i="1"/>
  <c r="O225" i="1"/>
  <c r="N225" i="1"/>
  <c r="M225" i="1"/>
  <c r="L225" i="1"/>
  <c r="K225" i="1"/>
  <c r="J225" i="1"/>
  <c r="I225" i="1"/>
  <c r="H225" i="1"/>
  <c r="AG224" i="1"/>
  <c r="AG223" i="1"/>
  <c r="E222" i="1"/>
  <c r="C222" i="1"/>
  <c r="B222" i="1"/>
  <c r="AG222" i="1" s="1"/>
  <c r="AG221" i="1"/>
  <c r="E221" i="1"/>
  <c r="G221" i="1" s="1"/>
  <c r="D221" i="1"/>
  <c r="C221" i="1"/>
  <c r="B221" i="1"/>
  <c r="AG220" i="1"/>
  <c r="E220" i="1"/>
  <c r="F220" i="1" s="1"/>
  <c r="D220" i="1"/>
  <c r="C220" i="1"/>
  <c r="G220" i="1" s="1"/>
  <c r="B220" i="1"/>
  <c r="AE219" i="1"/>
  <c r="AD219" i="1"/>
  <c r="AC219" i="1"/>
  <c r="AB219" i="1"/>
  <c r="AA219" i="1"/>
  <c r="Z219" i="1"/>
  <c r="Y219" i="1"/>
  <c r="X219" i="1"/>
  <c r="W219" i="1"/>
  <c r="V219" i="1"/>
  <c r="U219" i="1"/>
  <c r="T219" i="1"/>
  <c r="S219" i="1"/>
  <c r="R219" i="1"/>
  <c r="Q219" i="1"/>
  <c r="P219" i="1"/>
  <c r="O219" i="1"/>
  <c r="N219" i="1"/>
  <c r="M219" i="1"/>
  <c r="L219" i="1"/>
  <c r="K219" i="1"/>
  <c r="J219" i="1"/>
  <c r="I219" i="1"/>
  <c r="H219" i="1"/>
  <c r="B219" i="1"/>
  <c r="AG219" i="1" s="1"/>
  <c r="AG218" i="1"/>
  <c r="AE217" i="1"/>
  <c r="AD217" i="1"/>
  <c r="AC217" i="1"/>
  <c r="AB217" i="1"/>
  <c r="AA217" i="1"/>
  <c r="Z217" i="1"/>
  <c r="Y217" i="1"/>
  <c r="X217" i="1"/>
  <c r="W217" i="1"/>
  <c r="V217" i="1"/>
  <c r="U217" i="1"/>
  <c r="T217" i="1"/>
  <c r="S217" i="1"/>
  <c r="R217" i="1"/>
  <c r="Q217" i="1"/>
  <c r="P217" i="1"/>
  <c r="O217" i="1"/>
  <c r="N217" i="1"/>
  <c r="M217" i="1"/>
  <c r="L217" i="1"/>
  <c r="K217" i="1"/>
  <c r="J217" i="1"/>
  <c r="I217" i="1"/>
  <c r="H217" i="1"/>
  <c r="E217" i="1"/>
  <c r="D217" i="1"/>
  <c r="C217" i="1"/>
  <c r="B217" i="1"/>
  <c r="AE216" i="1"/>
  <c r="AD216" i="1"/>
  <c r="AC216" i="1"/>
  <c r="AA216" i="1"/>
  <c r="Z216" i="1"/>
  <c r="Y216" i="1"/>
  <c r="X216" i="1"/>
  <c r="W216" i="1"/>
  <c r="V216" i="1"/>
  <c r="U216" i="1"/>
  <c r="T216" i="1"/>
  <c r="S216" i="1"/>
  <c r="R216" i="1"/>
  <c r="Q216" i="1"/>
  <c r="P216" i="1"/>
  <c r="O216" i="1"/>
  <c r="N216" i="1"/>
  <c r="M216" i="1"/>
  <c r="L216" i="1"/>
  <c r="K216" i="1"/>
  <c r="J216" i="1"/>
  <c r="I216" i="1"/>
  <c r="H216" i="1"/>
  <c r="AE215" i="1"/>
  <c r="AD215" i="1"/>
  <c r="AC215" i="1"/>
  <c r="AB215" i="1"/>
  <c r="AA215" i="1"/>
  <c r="Z215" i="1"/>
  <c r="Y215" i="1"/>
  <c r="X215" i="1"/>
  <c r="W215" i="1"/>
  <c r="V215" i="1"/>
  <c r="U215" i="1"/>
  <c r="T215" i="1"/>
  <c r="S215" i="1"/>
  <c r="R215" i="1"/>
  <c r="Q215" i="1"/>
  <c r="P215" i="1"/>
  <c r="O215" i="1"/>
  <c r="N215" i="1"/>
  <c r="M215" i="1"/>
  <c r="L215" i="1"/>
  <c r="K215" i="1"/>
  <c r="J215" i="1"/>
  <c r="I215" i="1"/>
  <c r="H215" i="1"/>
  <c r="E215" i="1"/>
  <c r="AE214" i="1"/>
  <c r="AE213" i="1" s="1"/>
  <c r="AD214" i="1"/>
  <c r="AC214" i="1"/>
  <c r="AB214" i="1"/>
  <c r="AA214" i="1"/>
  <c r="AA213" i="1" s="1"/>
  <c r="Z214" i="1"/>
  <c r="Y214" i="1"/>
  <c r="X214" i="1"/>
  <c r="W214" i="1"/>
  <c r="W213" i="1" s="1"/>
  <c r="V214" i="1"/>
  <c r="U214" i="1"/>
  <c r="T214" i="1"/>
  <c r="S214" i="1"/>
  <c r="S213" i="1" s="1"/>
  <c r="R214" i="1"/>
  <c r="Q214" i="1"/>
  <c r="P214" i="1"/>
  <c r="O214" i="1"/>
  <c r="O213" i="1" s="1"/>
  <c r="N214" i="1"/>
  <c r="M214" i="1"/>
  <c r="L214" i="1"/>
  <c r="K214" i="1"/>
  <c r="K213" i="1" s="1"/>
  <c r="J214" i="1"/>
  <c r="I214" i="1"/>
  <c r="H214" i="1"/>
  <c r="E214" i="1"/>
  <c r="AC213" i="1"/>
  <c r="Y213" i="1"/>
  <c r="X213" i="1"/>
  <c r="U213" i="1"/>
  <c r="T213" i="1"/>
  <c r="Q213" i="1"/>
  <c r="P213" i="1"/>
  <c r="M213" i="1"/>
  <c r="L213" i="1"/>
  <c r="I213" i="1"/>
  <c r="H213" i="1"/>
  <c r="AG212" i="1"/>
  <c r="AG211" i="1"/>
  <c r="E210" i="1"/>
  <c r="C210" i="1"/>
  <c r="B210" i="1"/>
  <c r="AG210" i="1" s="1"/>
  <c r="AG209" i="1"/>
  <c r="E209" i="1"/>
  <c r="G209" i="1" s="1"/>
  <c r="D209" i="1"/>
  <c r="C209" i="1"/>
  <c r="B209" i="1"/>
  <c r="AG208" i="1"/>
  <c r="G208" i="1"/>
  <c r="E208" i="1"/>
  <c r="F208" i="1" s="1"/>
  <c r="D208" i="1"/>
  <c r="C208" i="1"/>
  <c r="C207" i="1" s="1"/>
  <c r="B208" i="1"/>
  <c r="AE207" i="1"/>
  <c r="AD207" i="1"/>
  <c r="AC207" i="1"/>
  <c r="AB207" i="1"/>
  <c r="AA207" i="1"/>
  <c r="Z207" i="1"/>
  <c r="Y207" i="1"/>
  <c r="X207" i="1"/>
  <c r="W207" i="1"/>
  <c r="V207" i="1"/>
  <c r="U207" i="1"/>
  <c r="T207" i="1"/>
  <c r="S207" i="1"/>
  <c r="R207" i="1"/>
  <c r="Q207" i="1"/>
  <c r="P207" i="1"/>
  <c r="O207" i="1"/>
  <c r="N207" i="1"/>
  <c r="M207" i="1"/>
  <c r="L207" i="1"/>
  <c r="K207" i="1"/>
  <c r="J207" i="1"/>
  <c r="I207" i="1"/>
  <c r="H207" i="1"/>
  <c r="B207" i="1"/>
  <c r="AG207" i="1" s="1"/>
  <c r="AG206" i="1"/>
  <c r="AG205" i="1"/>
  <c r="AD204" i="1"/>
  <c r="E204" i="1"/>
  <c r="G204" i="1" s="1"/>
  <c r="D204" i="1"/>
  <c r="C204" i="1"/>
  <c r="AG203" i="1"/>
  <c r="G203" i="1"/>
  <c r="E203" i="1"/>
  <c r="F203" i="1" s="1"/>
  <c r="D203" i="1"/>
  <c r="D201" i="1" s="1"/>
  <c r="C203" i="1"/>
  <c r="C201" i="1" s="1"/>
  <c r="B203" i="1"/>
  <c r="E202" i="1"/>
  <c r="D202" i="1"/>
  <c r="C202" i="1"/>
  <c r="C196" i="1" s="1"/>
  <c r="B202" i="1"/>
  <c r="AE201" i="1"/>
  <c r="AC201" i="1"/>
  <c r="AB201" i="1"/>
  <c r="AA201" i="1"/>
  <c r="Z201" i="1"/>
  <c r="Y201" i="1"/>
  <c r="X201" i="1"/>
  <c r="W201" i="1"/>
  <c r="V201" i="1"/>
  <c r="U201" i="1"/>
  <c r="T201" i="1"/>
  <c r="S201" i="1"/>
  <c r="R201" i="1"/>
  <c r="Q201" i="1"/>
  <c r="P201" i="1"/>
  <c r="O201" i="1"/>
  <c r="N201" i="1"/>
  <c r="M201" i="1"/>
  <c r="L201" i="1"/>
  <c r="K201" i="1"/>
  <c r="J201" i="1"/>
  <c r="I201" i="1"/>
  <c r="H201" i="1"/>
  <c r="E201" i="1"/>
  <c r="AG200" i="1"/>
  <c r="AE199" i="1"/>
  <c r="AD199" i="1"/>
  <c r="AC199" i="1"/>
  <c r="AB199" i="1"/>
  <c r="AA199" i="1"/>
  <c r="Z199" i="1"/>
  <c r="Y199" i="1"/>
  <c r="X199" i="1"/>
  <c r="W199" i="1"/>
  <c r="V199" i="1"/>
  <c r="U199" i="1"/>
  <c r="T199" i="1"/>
  <c r="S199" i="1"/>
  <c r="R199" i="1"/>
  <c r="Q199" i="1"/>
  <c r="P199" i="1"/>
  <c r="O199" i="1"/>
  <c r="N199" i="1"/>
  <c r="M199" i="1"/>
  <c r="L199" i="1"/>
  <c r="K199" i="1"/>
  <c r="J199" i="1"/>
  <c r="I199" i="1"/>
  <c r="H199" i="1"/>
  <c r="E199" i="1"/>
  <c r="D199" i="1"/>
  <c r="C199" i="1"/>
  <c r="B199" i="1"/>
  <c r="AG199" i="1" s="1"/>
  <c r="AE198" i="1"/>
  <c r="AD198" i="1"/>
  <c r="AC198" i="1"/>
  <c r="AB198" i="1"/>
  <c r="AA198" i="1"/>
  <c r="Z198" i="1"/>
  <c r="Y198" i="1"/>
  <c r="X198" i="1"/>
  <c r="W198" i="1"/>
  <c r="V198" i="1"/>
  <c r="U198" i="1"/>
  <c r="T198" i="1"/>
  <c r="S198" i="1"/>
  <c r="R198" i="1"/>
  <c r="Q198" i="1"/>
  <c r="P198" i="1"/>
  <c r="O198" i="1"/>
  <c r="N198" i="1"/>
  <c r="M198" i="1"/>
  <c r="L198" i="1"/>
  <c r="K198" i="1"/>
  <c r="J198" i="1"/>
  <c r="I198" i="1"/>
  <c r="H198" i="1"/>
  <c r="C198" i="1"/>
  <c r="AE197" i="1"/>
  <c r="AD197" i="1"/>
  <c r="AC197" i="1"/>
  <c r="AC195" i="1" s="1"/>
  <c r="AB197" i="1"/>
  <c r="AA197" i="1"/>
  <c r="Z197" i="1"/>
  <c r="Y197" i="1"/>
  <c r="Y195" i="1" s="1"/>
  <c r="X197" i="1"/>
  <c r="W197" i="1"/>
  <c r="V197" i="1"/>
  <c r="U197" i="1"/>
  <c r="U195" i="1" s="1"/>
  <c r="T197" i="1"/>
  <c r="S197" i="1"/>
  <c r="R197" i="1"/>
  <c r="Q197" i="1"/>
  <c r="Q195" i="1" s="1"/>
  <c r="P197" i="1"/>
  <c r="O197" i="1"/>
  <c r="N197" i="1"/>
  <c r="M197" i="1"/>
  <c r="M195" i="1" s="1"/>
  <c r="L197" i="1"/>
  <c r="K197" i="1"/>
  <c r="J197" i="1"/>
  <c r="I197" i="1"/>
  <c r="I195" i="1" s="1"/>
  <c r="H197" i="1"/>
  <c r="E197" i="1"/>
  <c r="C197" i="1"/>
  <c r="B197" i="1"/>
  <c r="AG197" i="1" s="1"/>
  <c r="AE196" i="1"/>
  <c r="AD196" i="1"/>
  <c r="AD195" i="1" s="1"/>
  <c r="AC196" i="1"/>
  <c r="AB196" i="1"/>
  <c r="AA196" i="1"/>
  <c r="Z196" i="1"/>
  <c r="Z195" i="1" s="1"/>
  <c r="Y196" i="1"/>
  <c r="X196" i="1"/>
  <c r="W196" i="1"/>
  <c r="V196" i="1"/>
  <c r="V195" i="1" s="1"/>
  <c r="U196" i="1"/>
  <c r="T196" i="1"/>
  <c r="S196" i="1"/>
  <c r="R196" i="1"/>
  <c r="R195" i="1" s="1"/>
  <c r="Q196" i="1"/>
  <c r="P196" i="1"/>
  <c r="O196" i="1"/>
  <c r="N196" i="1"/>
  <c r="N195" i="1" s="1"/>
  <c r="M196" i="1"/>
  <c r="L196" i="1"/>
  <c r="K196" i="1"/>
  <c r="J196" i="1"/>
  <c r="J195" i="1" s="1"/>
  <c r="I196" i="1"/>
  <c r="H196" i="1"/>
  <c r="E196" i="1"/>
  <c r="D196" i="1"/>
  <c r="AE195" i="1"/>
  <c r="AB195" i="1"/>
  <c r="AA195" i="1"/>
  <c r="X195" i="1"/>
  <c r="W195" i="1"/>
  <c r="T195" i="1"/>
  <c r="S195" i="1"/>
  <c r="P195" i="1"/>
  <c r="O195" i="1"/>
  <c r="L195" i="1"/>
  <c r="K195" i="1"/>
  <c r="H195" i="1"/>
  <c r="C195" i="1"/>
  <c r="AG194" i="1"/>
  <c r="AG193" i="1"/>
  <c r="AG192" i="1"/>
  <c r="AD191" i="1"/>
  <c r="AD188" i="1" s="1"/>
  <c r="Y191" i="1"/>
  <c r="Y185" i="1" s="1"/>
  <c r="X191" i="1"/>
  <c r="R191" i="1"/>
  <c r="E191" i="1"/>
  <c r="AB190" i="1"/>
  <c r="Z190" i="1"/>
  <c r="Z188" i="1" s="1"/>
  <c r="X190" i="1"/>
  <c r="X184" i="1" s="1"/>
  <c r="R190" i="1"/>
  <c r="E190" i="1"/>
  <c r="AB189" i="1"/>
  <c r="Y189" i="1"/>
  <c r="X189" i="1"/>
  <c r="V189" i="1"/>
  <c r="R189" i="1"/>
  <c r="E189" i="1"/>
  <c r="AE188" i="1"/>
  <c r="AC188" i="1"/>
  <c r="AA188" i="1"/>
  <c r="W188" i="1"/>
  <c r="U188" i="1"/>
  <c r="T188" i="1"/>
  <c r="S188" i="1"/>
  <c r="Q188" i="1"/>
  <c r="P188" i="1"/>
  <c r="O188" i="1"/>
  <c r="N188" i="1"/>
  <c r="M188" i="1"/>
  <c r="L188" i="1"/>
  <c r="K188" i="1"/>
  <c r="J188" i="1"/>
  <c r="I188" i="1"/>
  <c r="H188" i="1"/>
  <c r="AG187" i="1"/>
  <c r="AE186" i="1"/>
  <c r="AD186" i="1"/>
  <c r="AC186" i="1"/>
  <c r="AB186" i="1"/>
  <c r="AA186" i="1"/>
  <c r="AA182" i="1" s="1"/>
  <c r="Z186" i="1"/>
  <c r="Y186" i="1"/>
  <c r="X186" i="1"/>
  <c r="W186" i="1"/>
  <c r="V186" i="1"/>
  <c r="U186" i="1"/>
  <c r="T186" i="1"/>
  <c r="S186" i="1"/>
  <c r="R186" i="1"/>
  <c r="Q186" i="1"/>
  <c r="P186" i="1"/>
  <c r="O186" i="1"/>
  <c r="N186" i="1"/>
  <c r="M186" i="1"/>
  <c r="L186" i="1"/>
  <c r="K186" i="1"/>
  <c r="K182" i="1" s="1"/>
  <c r="J186" i="1"/>
  <c r="I186" i="1"/>
  <c r="H186" i="1"/>
  <c r="AG186" i="1" s="1"/>
  <c r="E186" i="1"/>
  <c r="F186" i="1" s="1"/>
  <c r="D186" i="1"/>
  <c r="C186" i="1"/>
  <c r="G186" i="1" s="1"/>
  <c r="B186" i="1"/>
  <c r="AE185" i="1"/>
  <c r="AD185" i="1"/>
  <c r="AC185" i="1"/>
  <c r="AB185" i="1"/>
  <c r="AA185" i="1"/>
  <c r="Z185" i="1"/>
  <c r="W185" i="1"/>
  <c r="V185" i="1"/>
  <c r="U185" i="1"/>
  <c r="T185" i="1"/>
  <c r="S185" i="1"/>
  <c r="R185" i="1"/>
  <c r="Q185" i="1"/>
  <c r="P185" i="1"/>
  <c r="O185" i="1"/>
  <c r="N185" i="1"/>
  <c r="M185" i="1"/>
  <c r="L185" i="1"/>
  <c r="K185" i="1"/>
  <c r="J185" i="1"/>
  <c r="I185" i="1"/>
  <c r="H185" i="1"/>
  <c r="AE184" i="1"/>
  <c r="AD184" i="1"/>
  <c r="AC184" i="1"/>
  <c r="AB184" i="1"/>
  <c r="AA184" i="1"/>
  <c r="Z184" i="1"/>
  <c r="Y184" i="1"/>
  <c r="W184" i="1"/>
  <c r="V184" i="1"/>
  <c r="U184" i="1"/>
  <c r="T184" i="1"/>
  <c r="S184" i="1"/>
  <c r="Q184" i="1"/>
  <c r="P184" i="1"/>
  <c r="O184" i="1"/>
  <c r="N184" i="1"/>
  <c r="M184" i="1"/>
  <c r="L184" i="1"/>
  <c r="K184" i="1"/>
  <c r="J184" i="1"/>
  <c r="I184" i="1"/>
  <c r="H184" i="1"/>
  <c r="E184" i="1"/>
  <c r="AE183" i="1"/>
  <c r="AD183" i="1"/>
  <c r="AD182" i="1" s="1"/>
  <c r="AC183" i="1"/>
  <c r="AC182" i="1" s="1"/>
  <c r="AA183" i="1"/>
  <c r="Z183" i="1"/>
  <c r="Z182" i="1" s="1"/>
  <c r="Y183" i="1"/>
  <c r="X183" i="1"/>
  <c r="W183" i="1"/>
  <c r="U183" i="1"/>
  <c r="U182" i="1" s="1"/>
  <c r="T183" i="1"/>
  <c r="T182" i="1" s="1"/>
  <c r="S183" i="1"/>
  <c r="Q183" i="1"/>
  <c r="Q182" i="1" s="1"/>
  <c r="P183" i="1"/>
  <c r="P182" i="1" s="1"/>
  <c r="O183" i="1"/>
  <c r="N183" i="1"/>
  <c r="N182" i="1" s="1"/>
  <c r="M183" i="1"/>
  <c r="M182" i="1" s="1"/>
  <c r="L183" i="1"/>
  <c r="L182" i="1" s="1"/>
  <c r="K183" i="1"/>
  <c r="J183" i="1"/>
  <c r="J182" i="1" s="1"/>
  <c r="I183" i="1"/>
  <c r="I182" i="1" s="1"/>
  <c r="H183" i="1"/>
  <c r="H182" i="1" s="1"/>
  <c r="E183" i="1"/>
  <c r="AE182" i="1"/>
  <c r="W182" i="1"/>
  <c r="S182" i="1"/>
  <c r="O182" i="1"/>
  <c r="AG181" i="1"/>
  <c r="AG180" i="1"/>
  <c r="AG179" i="1"/>
  <c r="E179" i="1"/>
  <c r="G179" i="1" s="1"/>
  <c r="D179" i="1"/>
  <c r="D173" i="1" s="1"/>
  <c r="C179" i="1"/>
  <c r="B179" i="1"/>
  <c r="AG178" i="1"/>
  <c r="G178" i="1"/>
  <c r="E178" i="1"/>
  <c r="F178" i="1" s="1"/>
  <c r="D178" i="1"/>
  <c r="D176" i="1" s="1"/>
  <c r="C178" i="1"/>
  <c r="C176" i="1" s="1"/>
  <c r="B178" i="1"/>
  <c r="E177" i="1"/>
  <c r="D177" i="1"/>
  <c r="C177" i="1"/>
  <c r="G177" i="1" s="1"/>
  <c r="B177" i="1"/>
  <c r="AG177" i="1" s="1"/>
  <c r="AE176" i="1"/>
  <c r="AD176" i="1"/>
  <c r="AC176" i="1"/>
  <c r="AB176" i="1"/>
  <c r="AA176" i="1"/>
  <c r="Z176" i="1"/>
  <c r="Y176" i="1"/>
  <c r="X176" i="1"/>
  <c r="W176" i="1"/>
  <c r="V176" i="1"/>
  <c r="U176" i="1"/>
  <c r="T176" i="1"/>
  <c r="S176" i="1"/>
  <c r="R176" i="1"/>
  <c r="Q176" i="1"/>
  <c r="P176" i="1"/>
  <c r="O176" i="1"/>
  <c r="N176" i="1"/>
  <c r="M176" i="1"/>
  <c r="L176" i="1"/>
  <c r="K176" i="1"/>
  <c r="J176" i="1"/>
  <c r="I176" i="1"/>
  <c r="H176" i="1"/>
  <c r="F176" i="1"/>
  <c r="E176" i="1"/>
  <c r="G176" i="1" s="1"/>
  <c r="B176" i="1"/>
  <c r="AG176" i="1" s="1"/>
  <c r="AG175" i="1"/>
  <c r="AE174" i="1"/>
  <c r="AD174" i="1"/>
  <c r="AC174" i="1"/>
  <c r="AB174" i="1"/>
  <c r="AA174" i="1"/>
  <c r="Z174" i="1"/>
  <c r="Y174" i="1"/>
  <c r="X174" i="1"/>
  <c r="W174" i="1"/>
  <c r="V174" i="1"/>
  <c r="U174" i="1"/>
  <c r="T174" i="1"/>
  <c r="S174" i="1"/>
  <c r="R174" i="1"/>
  <c r="Q174" i="1"/>
  <c r="P174" i="1"/>
  <c r="O174" i="1"/>
  <c r="N174" i="1"/>
  <c r="M174" i="1"/>
  <c r="L174" i="1"/>
  <c r="K174" i="1"/>
  <c r="J174" i="1"/>
  <c r="I174" i="1"/>
  <c r="H174" i="1"/>
  <c r="E174" i="1"/>
  <c r="G174" i="1" s="1"/>
  <c r="D174" i="1"/>
  <c r="C174" i="1"/>
  <c r="B174" i="1"/>
  <c r="AG174" i="1" s="1"/>
  <c r="AE173" i="1"/>
  <c r="AD173" i="1"/>
  <c r="AC173" i="1"/>
  <c r="AC170" i="1" s="1"/>
  <c r="AB173" i="1"/>
  <c r="AA173" i="1"/>
  <c r="Z173" i="1"/>
  <c r="Y173" i="1"/>
  <c r="Y170" i="1" s="1"/>
  <c r="X173" i="1"/>
  <c r="W173" i="1"/>
  <c r="V173" i="1"/>
  <c r="U173" i="1"/>
  <c r="U170" i="1" s="1"/>
  <c r="T173" i="1"/>
  <c r="S173" i="1"/>
  <c r="R173" i="1"/>
  <c r="Q173" i="1"/>
  <c r="Q170" i="1" s="1"/>
  <c r="P173" i="1"/>
  <c r="O173" i="1"/>
  <c r="N173" i="1"/>
  <c r="M173" i="1"/>
  <c r="M170" i="1" s="1"/>
  <c r="L173" i="1"/>
  <c r="K173" i="1"/>
  <c r="J173" i="1"/>
  <c r="I173" i="1"/>
  <c r="I170" i="1" s="1"/>
  <c r="H173" i="1"/>
  <c r="AG173" i="1" s="1"/>
  <c r="E173" i="1"/>
  <c r="E170" i="1" s="1"/>
  <c r="C173" i="1"/>
  <c r="B173" i="1"/>
  <c r="AE172" i="1"/>
  <c r="AD172" i="1"/>
  <c r="AC172" i="1"/>
  <c r="AB172" i="1"/>
  <c r="AA172" i="1"/>
  <c r="Z172" i="1"/>
  <c r="Y172" i="1"/>
  <c r="X172" i="1"/>
  <c r="W172" i="1"/>
  <c r="V172" i="1"/>
  <c r="U172" i="1"/>
  <c r="T172" i="1"/>
  <c r="S172" i="1"/>
  <c r="R172" i="1"/>
  <c r="Q172" i="1"/>
  <c r="P172" i="1"/>
  <c r="O172" i="1"/>
  <c r="N172" i="1"/>
  <c r="M172" i="1"/>
  <c r="L172" i="1"/>
  <c r="K172" i="1"/>
  <c r="J172" i="1"/>
  <c r="I172" i="1"/>
  <c r="H172" i="1"/>
  <c r="AG172" i="1" s="1"/>
  <c r="E172" i="1"/>
  <c r="F172" i="1" s="1"/>
  <c r="D172" i="1"/>
  <c r="C172" i="1"/>
  <c r="G172" i="1" s="1"/>
  <c r="B172" i="1"/>
  <c r="AE171" i="1"/>
  <c r="AE170" i="1" s="1"/>
  <c r="AD171" i="1"/>
  <c r="AC171" i="1"/>
  <c r="AB171" i="1"/>
  <c r="AA171" i="1"/>
  <c r="AA170" i="1" s="1"/>
  <c r="Z171" i="1"/>
  <c r="Y171" i="1"/>
  <c r="X171" i="1"/>
  <c r="W171" i="1"/>
  <c r="W170" i="1" s="1"/>
  <c r="V171" i="1"/>
  <c r="U171" i="1"/>
  <c r="T171" i="1"/>
  <c r="S171" i="1"/>
  <c r="S170" i="1" s="1"/>
  <c r="R171" i="1"/>
  <c r="Q171" i="1"/>
  <c r="P171" i="1"/>
  <c r="O171" i="1"/>
  <c r="O170" i="1" s="1"/>
  <c r="N171" i="1"/>
  <c r="M171" i="1"/>
  <c r="L171" i="1"/>
  <c r="K171" i="1"/>
  <c r="K170" i="1" s="1"/>
  <c r="J171" i="1"/>
  <c r="I171" i="1"/>
  <c r="H171" i="1"/>
  <c r="G171" i="1"/>
  <c r="E171" i="1"/>
  <c r="D171" i="1"/>
  <c r="C171" i="1"/>
  <c r="C170" i="1" s="1"/>
  <c r="B171" i="1"/>
  <c r="AG171" i="1" s="1"/>
  <c r="AD170" i="1"/>
  <c r="Z170" i="1"/>
  <c r="V170" i="1"/>
  <c r="R170" i="1"/>
  <c r="N170" i="1"/>
  <c r="J170" i="1"/>
  <c r="AG169" i="1"/>
  <c r="AG167" i="1"/>
  <c r="AG166" i="1"/>
  <c r="AG165" i="1"/>
  <c r="E165" i="1"/>
  <c r="F165" i="1" s="1"/>
  <c r="D165" i="1"/>
  <c r="C165" i="1"/>
  <c r="B165" i="1"/>
  <c r="AG164" i="1"/>
  <c r="AG163" i="1"/>
  <c r="AE162" i="1"/>
  <c r="AD162" i="1"/>
  <c r="AC162" i="1"/>
  <c r="AB162" i="1"/>
  <c r="AA162" i="1"/>
  <c r="Z162" i="1"/>
  <c r="Y162" i="1"/>
  <c r="X162" i="1"/>
  <c r="W162" i="1"/>
  <c r="V162" i="1"/>
  <c r="U162" i="1"/>
  <c r="T162" i="1"/>
  <c r="S162" i="1"/>
  <c r="R162" i="1"/>
  <c r="Q162" i="1"/>
  <c r="P162" i="1"/>
  <c r="O162" i="1"/>
  <c r="N162" i="1"/>
  <c r="M162" i="1"/>
  <c r="L162" i="1"/>
  <c r="K162" i="1"/>
  <c r="J162" i="1"/>
  <c r="I162" i="1"/>
  <c r="H162" i="1"/>
  <c r="AG162" i="1" s="1"/>
  <c r="E162" i="1"/>
  <c r="D162" i="1"/>
  <c r="B162" i="1"/>
  <c r="AG161" i="1"/>
  <c r="AE160" i="1"/>
  <c r="AD160" i="1"/>
  <c r="AC160" i="1"/>
  <c r="AB160" i="1"/>
  <c r="AA160" i="1"/>
  <c r="Z160" i="1"/>
  <c r="Y160" i="1"/>
  <c r="X160" i="1"/>
  <c r="W160" i="1"/>
  <c r="V160" i="1"/>
  <c r="U160" i="1"/>
  <c r="T160" i="1"/>
  <c r="S160" i="1"/>
  <c r="R160" i="1"/>
  <c r="Q160" i="1"/>
  <c r="P160" i="1"/>
  <c r="O160" i="1"/>
  <c r="N160" i="1"/>
  <c r="M160" i="1"/>
  <c r="L160" i="1"/>
  <c r="K160" i="1"/>
  <c r="J160" i="1"/>
  <c r="I160" i="1"/>
  <c r="H160" i="1"/>
  <c r="E160" i="1"/>
  <c r="D160" i="1"/>
  <c r="C160" i="1"/>
  <c r="B160" i="1"/>
  <c r="AE159" i="1"/>
  <c r="AD159" i="1"/>
  <c r="AC159" i="1"/>
  <c r="AB159" i="1"/>
  <c r="AA159" i="1"/>
  <c r="Z159" i="1"/>
  <c r="Y159" i="1"/>
  <c r="X159" i="1"/>
  <c r="W159" i="1"/>
  <c r="V159" i="1"/>
  <c r="U159" i="1"/>
  <c r="T159" i="1"/>
  <c r="S159" i="1"/>
  <c r="R159" i="1"/>
  <c r="Q159" i="1"/>
  <c r="P159" i="1"/>
  <c r="O159" i="1"/>
  <c r="N159" i="1"/>
  <c r="M159" i="1"/>
  <c r="L159" i="1"/>
  <c r="K159" i="1"/>
  <c r="J159" i="1"/>
  <c r="I159" i="1"/>
  <c r="H159" i="1"/>
  <c r="AG159" i="1" s="1"/>
  <c r="E159" i="1"/>
  <c r="F159" i="1" s="1"/>
  <c r="D159" i="1"/>
  <c r="C159" i="1"/>
  <c r="C156" i="1" s="1"/>
  <c r="B159" i="1"/>
  <c r="AE158" i="1"/>
  <c r="AD158" i="1"/>
  <c r="AD156" i="1" s="1"/>
  <c r="AC158" i="1"/>
  <c r="AB158" i="1"/>
  <c r="AB156" i="1" s="1"/>
  <c r="AA158" i="1"/>
  <c r="Z158" i="1"/>
  <c r="Z156" i="1" s="1"/>
  <c r="Y158" i="1"/>
  <c r="X158" i="1"/>
  <c r="X156" i="1" s="1"/>
  <c r="W158" i="1"/>
  <c r="V158" i="1"/>
  <c r="V156" i="1" s="1"/>
  <c r="U158" i="1"/>
  <c r="T158" i="1"/>
  <c r="T156" i="1" s="1"/>
  <c r="S158" i="1"/>
  <c r="R158" i="1"/>
  <c r="R156" i="1" s="1"/>
  <c r="Q158" i="1"/>
  <c r="P158" i="1"/>
  <c r="P156" i="1" s="1"/>
  <c r="O158" i="1"/>
  <c r="N158" i="1"/>
  <c r="N156" i="1" s="1"/>
  <c r="M158" i="1"/>
  <c r="L158" i="1"/>
  <c r="L156" i="1" s="1"/>
  <c r="K158" i="1"/>
  <c r="J158" i="1"/>
  <c r="J156" i="1" s="1"/>
  <c r="I158" i="1"/>
  <c r="H158" i="1"/>
  <c r="H156" i="1" s="1"/>
  <c r="E158" i="1"/>
  <c r="D158" i="1"/>
  <c r="C158" i="1"/>
  <c r="B158" i="1"/>
  <c r="AG158" i="1" s="1"/>
  <c r="AE157" i="1"/>
  <c r="AE156" i="1" s="1"/>
  <c r="AD157" i="1"/>
  <c r="AC157" i="1"/>
  <c r="AB157" i="1"/>
  <c r="AA157" i="1"/>
  <c r="AA156" i="1" s="1"/>
  <c r="Z157" i="1"/>
  <c r="Y157" i="1"/>
  <c r="X157" i="1"/>
  <c r="W157" i="1"/>
  <c r="W156" i="1" s="1"/>
  <c r="V157" i="1"/>
  <c r="U157" i="1"/>
  <c r="T157" i="1"/>
  <c r="S157" i="1"/>
  <c r="S156" i="1" s="1"/>
  <c r="R157" i="1"/>
  <c r="Q157" i="1"/>
  <c r="P157" i="1"/>
  <c r="O157" i="1"/>
  <c r="O156" i="1" s="1"/>
  <c r="N157" i="1"/>
  <c r="M157" i="1"/>
  <c r="L157" i="1"/>
  <c r="K157" i="1"/>
  <c r="K156" i="1" s="1"/>
  <c r="J157" i="1"/>
  <c r="I157" i="1"/>
  <c r="H157" i="1"/>
  <c r="G157" i="1"/>
  <c r="E157" i="1"/>
  <c r="D157" i="1"/>
  <c r="D156" i="1" s="1"/>
  <c r="C157" i="1"/>
  <c r="B157" i="1"/>
  <c r="AC156" i="1"/>
  <c r="Y156" i="1"/>
  <c r="U156" i="1"/>
  <c r="Q156" i="1"/>
  <c r="M156" i="1"/>
  <c r="I156" i="1"/>
  <c r="E156" i="1"/>
  <c r="AG155" i="1"/>
  <c r="AG154" i="1"/>
  <c r="AG153" i="1"/>
  <c r="AG152" i="1"/>
  <c r="AG151" i="1"/>
  <c r="V151" i="1"/>
  <c r="U151" i="1"/>
  <c r="U148" i="1" s="1"/>
  <c r="R151" i="1"/>
  <c r="G151" i="1"/>
  <c r="E151" i="1"/>
  <c r="F151" i="1" s="1"/>
  <c r="C151" i="1"/>
  <c r="C148" i="1" s="1"/>
  <c r="B151" i="1"/>
  <c r="AG150" i="1"/>
  <c r="AG149" i="1"/>
  <c r="AE148" i="1"/>
  <c r="AD148" i="1"/>
  <c r="AC148" i="1"/>
  <c r="AB148" i="1"/>
  <c r="AA148" i="1"/>
  <c r="Z148" i="1"/>
  <c r="Y148" i="1"/>
  <c r="X148" i="1"/>
  <c r="AG148" i="1" s="1"/>
  <c r="W148" i="1"/>
  <c r="V148" i="1"/>
  <c r="T148" i="1"/>
  <c r="S148" i="1"/>
  <c r="R148" i="1"/>
  <c r="Q148" i="1"/>
  <c r="P148" i="1"/>
  <c r="O148" i="1"/>
  <c r="N148" i="1"/>
  <c r="M148" i="1"/>
  <c r="L148" i="1"/>
  <c r="K148" i="1"/>
  <c r="J148" i="1"/>
  <c r="I148" i="1"/>
  <c r="H148" i="1"/>
  <c r="B148" i="1"/>
  <c r="AG147" i="1"/>
  <c r="S146" i="1"/>
  <c r="R146" i="1"/>
  <c r="C146" i="1" s="1"/>
  <c r="F146" i="1"/>
  <c r="E146" i="1"/>
  <c r="D146" i="1"/>
  <c r="D139" i="1" s="1"/>
  <c r="B146" i="1"/>
  <c r="B139" i="1" s="1"/>
  <c r="Z145" i="1"/>
  <c r="V145" i="1"/>
  <c r="C145" i="1" s="1"/>
  <c r="F145" i="1"/>
  <c r="E145" i="1"/>
  <c r="G145" i="1" s="1"/>
  <c r="D145" i="1"/>
  <c r="B145" i="1"/>
  <c r="AD144" i="1"/>
  <c r="S144" i="1"/>
  <c r="L144" i="1"/>
  <c r="E144" i="1"/>
  <c r="D144" i="1"/>
  <c r="AD143" i="1"/>
  <c r="B143" i="1" s="1"/>
  <c r="AG143" i="1" s="1"/>
  <c r="E143" i="1"/>
  <c r="C143" i="1"/>
  <c r="AH143" i="1" s="1"/>
  <c r="AG142" i="1"/>
  <c r="AE141" i="1"/>
  <c r="AC141" i="1"/>
  <c r="AB141" i="1"/>
  <c r="AA141" i="1"/>
  <c r="Z141" i="1"/>
  <c r="Y141" i="1"/>
  <c r="X141" i="1"/>
  <c r="W141" i="1"/>
  <c r="V141" i="1"/>
  <c r="U141" i="1"/>
  <c r="T141" i="1"/>
  <c r="S141" i="1"/>
  <c r="Q141" i="1"/>
  <c r="P141" i="1"/>
  <c r="O141" i="1"/>
  <c r="N141" i="1"/>
  <c r="M141" i="1"/>
  <c r="K141" i="1"/>
  <c r="J141" i="1"/>
  <c r="I141" i="1"/>
  <c r="H141" i="1"/>
  <c r="E141" i="1"/>
  <c r="AG140" i="1"/>
  <c r="AE139" i="1"/>
  <c r="AD139" i="1"/>
  <c r="AC139" i="1"/>
  <c r="AB139" i="1"/>
  <c r="AA139" i="1"/>
  <c r="Z139" i="1"/>
  <c r="Y139" i="1"/>
  <c r="X139" i="1"/>
  <c r="W139" i="1"/>
  <c r="V139" i="1"/>
  <c r="U139" i="1"/>
  <c r="T139" i="1"/>
  <c r="S139" i="1"/>
  <c r="Q139" i="1"/>
  <c r="P139" i="1"/>
  <c r="O139" i="1"/>
  <c r="N139" i="1"/>
  <c r="M139" i="1"/>
  <c r="L139" i="1"/>
  <c r="K139" i="1"/>
  <c r="J139" i="1"/>
  <c r="I139" i="1"/>
  <c r="H139" i="1"/>
  <c r="E139" i="1"/>
  <c r="AE138" i="1"/>
  <c r="AD138" i="1"/>
  <c r="AC138" i="1"/>
  <c r="AB138" i="1"/>
  <c r="AA138" i="1"/>
  <c r="Z138" i="1"/>
  <c r="Y138" i="1"/>
  <c r="X138" i="1"/>
  <c r="W138" i="1"/>
  <c r="V138" i="1"/>
  <c r="T138" i="1"/>
  <c r="S138" i="1"/>
  <c r="R138" i="1"/>
  <c r="Q138" i="1"/>
  <c r="P138" i="1"/>
  <c r="O138" i="1"/>
  <c r="N138" i="1"/>
  <c r="M138" i="1"/>
  <c r="K138" i="1"/>
  <c r="J138" i="1"/>
  <c r="I138" i="1"/>
  <c r="H138" i="1"/>
  <c r="AE137" i="1"/>
  <c r="AE135" i="1" s="1"/>
  <c r="AD137" i="1"/>
  <c r="AC137" i="1"/>
  <c r="AB137" i="1"/>
  <c r="AA137" i="1"/>
  <c r="AA135" i="1" s="1"/>
  <c r="Z137" i="1"/>
  <c r="Y137" i="1"/>
  <c r="X137" i="1"/>
  <c r="W137" i="1"/>
  <c r="W135" i="1" s="1"/>
  <c r="V137" i="1"/>
  <c r="U137" i="1"/>
  <c r="T137" i="1"/>
  <c r="S137" i="1"/>
  <c r="S135" i="1" s="1"/>
  <c r="R137" i="1"/>
  <c r="Q137" i="1"/>
  <c r="P137" i="1"/>
  <c r="O137" i="1"/>
  <c r="O135" i="1" s="1"/>
  <c r="N137" i="1"/>
  <c r="M137" i="1"/>
  <c r="L137" i="1"/>
  <c r="K137" i="1"/>
  <c r="K135" i="1" s="1"/>
  <c r="J137" i="1"/>
  <c r="I137" i="1"/>
  <c r="H137" i="1"/>
  <c r="C137" i="1"/>
  <c r="AE136" i="1"/>
  <c r="AD136" i="1"/>
  <c r="AD135" i="1" s="1"/>
  <c r="AC136" i="1"/>
  <c r="AB136" i="1"/>
  <c r="AA136" i="1"/>
  <c r="Z136" i="1"/>
  <c r="Z135" i="1" s="1"/>
  <c r="Y136" i="1"/>
  <c r="X136" i="1"/>
  <c r="W136" i="1"/>
  <c r="V136" i="1"/>
  <c r="V135" i="1" s="1"/>
  <c r="U136" i="1"/>
  <c r="T136" i="1"/>
  <c r="S136" i="1"/>
  <c r="R136" i="1"/>
  <c r="R135" i="1" s="1"/>
  <c r="Q136" i="1"/>
  <c r="P136" i="1"/>
  <c r="O136" i="1"/>
  <c r="N136" i="1"/>
  <c r="N135" i="1" s="1"/>
  <c r="M136" i="1"/>
  <c r="L136" i="1"/>
  <c r="K136" i="1"/>
  <c r="J136" i="1"/>
  <c r="J135" i="1" s="1"/>
  <c r="I136" i="1"/>
  <c r="H136" i="1"/>
  <c r="E136" i="1"/>
  <c r="G136" i="1" s="1"/>
  <c r="D136" i="1"/>
  <c r="C136" i="1"/>
  <c r="B136" i="1"/>
  <c r="AC135" i="1"/>
  <c r="Y135" i="1"/>
  <c r="Q135" i="1"/>
  <c r="M135" i="1"/>
  <c r="I135" i="1"/>
  <c r="AG134" i="1"/>
  <c r="AG133" i="1"/>
  <c r="E132" i="1"/>
  <c r="G132" i="1" s="1"/>
  <c r="D132" i="1"/>
  <c r="C132" i="1"/>
  <c r="B132" i="1"/>
  <c r="AG132" i="1" s="1"/>
  <c r="AD131" i="1"/>
  <c r="X131" i="1"/>
  <c r="X129" i="1" s="1"/>
  <c r="N131" i="1"/>
  <c r="J131" i="1"/>
  <c r="C131" i="1" s="1"/>
  <c r="E131" i="1"/>
  <c r="D131" i="1"/>
  <c r="B131" i="1"/>
  <c r="AG131" i="1" s="1"/>
  <c r="AG130" i="1"/>
  <c r="AE129" i="1"/>
  <c r="AD129" i="1"/>
  <c r="AC129" i="1"/>
  <c r="AB129" i="1"/>
  <c r="AA129" i="1"/>
  <c r="Z129" i="1"/>
  <c r="Y129" i="1"/>
  <c r="W129" i="1"/>
  <c r="V129" i="1"/>
  <c r="U129" i="1"/>
  <c r="T129" i="1"/>
  <c r="S129" i="1"/>
  <c r="R129" i="1"/>
  <c r="Q129" i="1"/>
  <c r="P129" i="1"/>
  <c r="O129" i="1"/>
  <c r="N129" i="1"/>
  <c r="M129" i="1"/>
  <c r="L129" i="1"/>
  <c r="K129" i="1"/>
  <c r="J129" i="1"/>
  <c r="I129" i="1"/>
  <c r="H129" i="1"/>
  <c r="E129" i="1"/>
  <c r="D129" i="1"/>
  <c r="AG128" i="1"/>
  <c r="AG127" i="1"/>
  <c r="G126" i="1"/>
  <c r="E126" i="1"/>
  <c r="F126" i="1" s="1"/>
  <c r="C126" i="1"/>
  <c r="B126" i="1"/>
  <c r="AG126" i="1" s="1"/>
  <c r="X125" i="1"/>
  <c r="E125" i="1"/>
  <c r="D125" i="1"/>
  <c r="AG124" i="1"/>
  <c r="AE123" i="1"/>
  <c r="AD123" i="1"/>
  <c r="AC123" i="1"/>
  <c r="AB123" i="1"/>
  <c r="AA123" i="1"/>
  <c r="Z123" i="1"/>
  <c r="Y123" i="1"/>
  <c r="X123" i="1"/>
  <c r="W123" i="1"/>
  <c r="V123" i="1"/>
  <c r="U123" i="1"/>
  <c r="T123" i="1"/>
  <c r="S123" i="1"/>
  <c r="R123" i="1"/>
  <c r="Q123" i="1"/>
  <c r="P123" i="1"/>
  <c r="O123" i="1"/>
  <c r="N123" i="1"/>
  <c r="M123" i="1"/>
  <c r="L123" i="1"/>
  <c r="K123" i="1"/>
  <c r="J123" i="1"/>
  <c r="I123" i="1"/>
  <c r="H123" i="1"/>
  <c r="AG122" i="1"/>
  <c r="E116" i="1"/>
  <c r="F116" i="1" s="1"/>
  <c r="C116" i="1"/>
  <c r="G116" i="1" s="1"/>
  <c r="B116" i="1"/>
  <c r="B115" i="1" s="1"/>
  <c r="E115" i="1"/>
  <c r="AG113" i="1"/>
  <c r="AG112" i="1"/>
  <c r="E112" i="1"/>
  <c r="C112" i="1"/>
  <c r="B112" i="1"/>
  <c r="AB111" i="1"/>
  <c r="Z111" i="1"/>
  <c r="Z109" i="1" s="1"/>
  <c r="X111" i="1"/>
  <c r="R111" i="1"/>
  <c r="H111" i="1"/>
  <c r="E111" i="1"/>
  <c r="AG110" i="1"/>
  <c r="AE109" i="1"/>
  <c r="AD109" i="1"/>
  <c r="AC109" i="1"/>
  <c r="AB109" i="1"/>
  <c r="AA109" i="1"/>
  <c r="Y109" i="1"/>
  <c r="X109" i="1"/>
  <c r="W109" i="1"/>
  <c r="V109" i="1"/>
  <c r="U109" i="1"/>
  <c r="T109" i="1"/>
  <c r="S109" i="1"/>
  <c r="Q109" i="1"/>
  <c r="P109" i="1"/>
  <c r="O109" i="1"/>
  <c r="N109" i="1"/>
  <c r="M109" i="1"/>
  <c r="L109" i="1"/>
  <c r="K109" i="1"/>
  <c r="J109" i="1"/>
  <c r="I109" i="1"/>
  <c r="H109" i="1"/>
  <c r="E109" i="1"/>
  <c r="AG108" i="1"/>
  <c r="AG107" i="1"/>
  <c r="E106" i="1"/>
  <c r="G106" i="1" s="1"/>
  <c r="D106" i="1"/>
  <c r="C106" i="1"/>
  <c r="B106" i="1"/>
  <c r="AG106" i="1" s="1"/>
  <c r="AB105" i="1"/>
  <c r="AB87" i="1" s="1"/>
  <c r="T105" i="1"/>
  <c r="R105" i="1"/>
  <c r="N105" i="1"/>
  <c r="E105" i="1"/>
  <c r="AG104" i="1"/>
  <c r="AE103" i="1"/>
  <c r="AD103" i="1"/>
  <c r="AC103" i="1"/>
  <c r="AA103" i="1"/>
  <c r="Z103" i="1"/>
  <c r="Y103" i="1"/>
  <c r="X103" i="1"/>
  <c r="W103" i="1"/>
  <c r="V103" i="1"/>
  <c r="U103" i="1"/>
  <c r="T103" i="1"/>
  <c r="S103" i="1"/>
  <c r="Q103" i="1"/>
  <c r="P103" i="1"/>
  <c r="O103" i="1"/>
  <c r="M103" i="1"/>
  <c r="L103" i="1"/>
  <c r="K103" i="1"/>
  <c r="J103" i="1"/>
  <c r="I103" i="1"/>
  <c r="H103" i="1"/>
  <c r="AG102" i="1"/>
  <c r="AA101" i="1"/>
  <c r="Z101" i="1"/>
  <c r="Y101" i="1"/>
  <c r="X101" i="1"/>
  <c r="B101" i="1" s="1"/>
  <c r="E101" i="1"/>
  <c r="C101" i="1"/>
  <c r="AB100" i="1"/>
  <c r="AA100" i="1"/>
  <c r="E100" i="1" s="1"/>
  <c r="Y100" i="1"/>
  <c r="V100" i="1"/>
  <c r="D100" i="1"/>
  <c r="AG99" i="1"/>
  <c r="AG98" i="1"/>
  <c r="AE97" i="1"/>
  <c r="AD97" i="1"/>
  <c r="AC97" i="1"/>
  <c r="AB97" i="1"/>
  <c r="AA97" i="1"/>
  <c r="Z97" i="1"/>
  <c r="Y97" i="1"/>
  <c r="X97" i="1"/>
  <c r="W97" i="1"/>
  <c r="U97" i="1"/>
  <c r="T97" i="1"/>
  <c r="S97" i="1"/>
  <c r="R97" i="1"/>
  <c r="Q97" i="1"/>
  <c r="P97" i="1"/>
  <c r="O97" i="1"/>
  <c r="N97" i="1"/>
  <c r="M97" i="1"/>
  <c r="L97" i="1"/>
  <c r="K97" i="1"/>
  <c r="J97" i="1"/>
  <c r="I97" i="1"/>
  <c r="H97" i="1"/>
  <c r="E97" i="1"/>
  <c r="AG96" i="1"/>
  <c r="AG95" i="1"/>
  <c r="E94" i="1"/>
  <c r="G94" i="1" s="1"/>
  <c r="D94" i="1"/>
  <c r="D91" i="1" s="1"/>
  <c r="C94" i="1"/>
  <c r="B94" i="1"/>
  <c r="AG93" i="1"/>
  <c r="E92" i="1"/>
  <c r="G92" i="1" s="1"/>
  <c r="D92" i="1"/>
  <c r="C92" i="1"/>
  <c r="B92" i="1"/>
  <c r="AG92" i="1" s="1"/>
  <c r="AE91" i="1"/>
  <c r="AD91" i="1"/>
  <c r="AC91" i="1"/>
  <c r="AB91" i="1"/>
  <c r="AA91" i="1"/>
  <c r="Z91" i="1"/>
  <c r="Y91" i="1"/>
  <c r="X91" i="1"/>
  <c r="W91" i="1"/>
  <c r="V91" i="1"/>
  <c r="U91" i="1"/>
  <c r="T91" i="1"/>
  <c r="S91" i="1"/>
  <c r="R91" i="1"/>
  <c r="Q91" i="1"/>
  <c r="P91" i="1"/>
  <c r="O91" i="1"/>
  <c r="N91" i="1"/>
  <c r="M91" i="1"/>
  <c r="L91" i="1"/>
  <c r="K91" i="1"/>
  <c r="J91" i="1"/>
  <c r="I91" i="1"/>
  <c r="H91" i="1"/>
  <c r="E91" i="1"/>
  <c r="C91" i="1"/>
  <c r="AG90" i="1"/>
  <c r="AE89" i="1"/>
  <c r="AD89" i="1"/>
  <c r="AC89" i="1"/>
  <c r="AB89" i="1"/>
  <c r="AA89" i="1"/>
  <c r="Z89" i="1"/>
  <c r="Y89" i="1"/>
  <c r="X89" i="1"/>
  <c r="W89" i="1"/>
  <c r="V89" i="1"/>
  <c r="U89" i="1"/>
  <c r="T89" i="1"/>
  <c r="S89" i="1"/>
  <c r="R89" i="1"/>
  <c r="Q89" i="1"/>
  <c r="P89" i="1"/>
  <c r="O89" i="1"/>
  <c r="N89" i="1"/>
  <c r="M89" i="1"/>
  <c r="L89" i="1"/>
  <c r="K89" i="1"/>
  <c r="J89" i="1"/>
  <c r="I89" i="1"/>
  <c r="I85" i="1" s="1"/>
  <c r="H89" i="1"/>
  <c r="C89" i="1"/>
  <c r="AE88" i="1"/>
  <c r="AD88" i="1"/>
  <c r="AC88" i="1"/>
  <c r="AB88" i="1"/>
  <c r="AB82" i="1" s="1"/>
  <c r="Z88" i="1"/>
  <c r="Y88" i="1"/>
  <c r="X88" i="1"/>
  <c r="X85" i="1" s="1"/>
  <c r="W88" i="1"/>
  <c r="U88" i="1"/>
  <c r="T88" i="1"/>
  <c r="T85" i="1" s="1"/>
  <c r="S88" i="1"/>
  <c r="R88" i="1"/>
  <c r="Q88" i="1"/>
  <c r="P88" i="1"/>
  <c r="P85" i="1" s="1"/>
  <c r="O88" i="1"/>
  <c r="N88" i="1"/>
  <c r="M88" i="1"/>
  <c r="L88" i="1"/>
  <c r="L85" i="1" s="1"/>
  <c r="K88" i="1"/>
  <c r="J88" i="1"/>
  <c r="I88" i="1"/>
  <c r="H88" i="1"/>
  <c r="H85" i="1" s="1"/>
  <c r="AE87" i="1"/>
  <c r="AE85" i="1" s="1"/>
  <c r="AD87" i="1"/>
  <c r="AD85" i="1" s="1"/>
  <c r="AC87" i="1"/>
  <c r="AA87" i="1"/>
  <c r="Y87" i="1"/>
  <c r="X87" i="1"/>
  <c r="W87" i="1"/>
  <c r="W85" i="1" s="1"/>
  <c r="V87" i="1"/>
  <c r="U87" i="1"/>
  <c r="T87" i="1"/>
  <c r="S87" i="1"/>
  <c r="S85" i="1" s="1"/>
  <c r="Q87" i="1"/>
  <c r="P87" i="1"/>
  <c r="O87" i="1"/>
  <c r="O85" i="1" s="1"/>
  <c r="N87" i="1"/>
  <c r="M87" i="1"/>
  <c r="L87" i="1"/>
  <c r="K87" i="1"/>
  <c r="K85" i="1" s="1"/>
  <c r="J87" i="1"/>
  <c r="I87" i="1"/>
  <c r="H87" i="1"/>
  <c r="AE86" i="1"/>
  <c r="AD86" i="1"/>
  <c r="AC86" i="1"/>
  <c r="AB86" i="1"/>
  <c r="AA86" i="1"/>
  <c r="Z86" i="1"/>
  <c r="Y86" i="1"/>
  <c r="X86" i="1"/>
  <c r="W86" i="1"/>
  <c r="V86" i="1"/>
  <c r="U86" i="1"/>
  <c r="T86" i="1"/>
  <c r="S86" i="1"/>
  <c r="R86" i="1"/>
  <c r="Q86" i="1"/>
  <c r="P86" i="1"/>
  <c r="O86" i="1"/>
  <c r="N86" i="1"/>
  <c r="M86" i="1"/>
  <c r="L86" i="1"/>
  <c r="K86" i="1"/>
  <c r="J86" i="1"/>
  <c r="I86" i="1"/>
  <c r="H86" i="1"/>
  <c r="B86" i="1"/>
  <c r="AG86" i="1" s="1"/>
  <c r="AC85" i="1"/>
  <c r="Y85" i="1"/>
  <c r="U85" i="1"/>
  <c r="Q85" i="1"/>
  <c r="M85" i="1"/>
  <c r="AG84" i="1"/>
  <c r="AE83" i="1"/>
  <c r="AD83" i="1"/>
  <c r="AC83" i="1"/>
  <c r="AB83" i="1"/>
  <c r="AA83" i="1"/>
  <c r="Z83" i="1"/>
  <c r="Y83" i="1"/>
  <c r="X83" i="1"/>
  <c r="W83" i="1"/>
  <c r="V83" i="1"/>
  <c r="U83" i="1"/>
  <c r="U79" i="1" s="1"/>
  <c r="T83" i="1"/>
  <c r="S83" i="1"/>
  <c r="R83" i="1"/>
  <c r="Q83" i="1"/>
  <c r="C83" i="1" s="1"/>
  <c r="P83" i="1"/>
  <c r="O83" i="1"/>
  <c r="N83" i="1"/>
  <c r="M83" i="1"/>
  <c r="L83" i="1"/>
  <c r="B83" i="1" s="1"/>
  <c r="AG83" i="1" s="1"/>
  <c r="K83" i="1"/>
  <c r="J83" i="1"/>
  <c r="I83" i="1"/>
  <c r="H83" i="1"/>
  <c r="E83" i="1"/>
  <c r="AE82" i="1"/>
  <c r="AD82" i="1"/>
  <c r="AC82" i="1"/>
  <c r="Z82" i="1"/>
  <c r="Y82" i="1"/>
  <c r="X82" i="1"/>
  <c r="W82" i="1"/>
  <c r="U82" i="1"/>
  <c r="T82" i="1"/>
  <c r="S82" i="1"/>
  <c r="R82" i="1"/>
  <c r="Q82" i="1"/>
  <c r="P82" i="1"/>
  <c r="O82" i="1"/>
  <c r="N82" i="1"/>
  <c r="M82" i="1"/>
  <c r="L82" i="1"/>
  <c r="K82" i="1"/>
  <c r="J82" i="1"/>
  <c r="I82" i="1"/>
  <c r="H82" i="1"/>
  <c r="C82" i="1" s="1"/>
  <c r="AD81" i="1"/>
  <c r="AC81" i="1"/>
  <c r="AA81" i="1"/>
  <c r="Y81" i="1"/>
  <c r="W81" i="1"/>
  <c r="W79" i="1" s="1"/>
  <c r="V81" i="1"/>
  <c r="U81" i="1"/>
  <c r="T81" i="1"/>
  <c r="S81" i="1"/>
  <c r="S79" i="1" s="1"/>
  <c r="Q81" i="1"/>
  <c r="P81" i="1"/>
  <c r="N81" i="1"/>
  <c r="M81" i="1"/>
  <c r="L81" i="1"/>
  <c r="J81" i="1"/>
  <c r="I81" i="1"/>
  <c r="H81" i="1"/>
  <c r="C81" i="1"/>
  <c r="AE80" i="1"/>
  <c r="AD80" i="1"/>
  <c r="AD79" i="1" s="1"/>
  <c r="AC80" i="1"/>
  <c r="AB80" i="1"/>
  <c r="AA80" i="1"/>
  <c r="Z80" i="1"/>
  <c r="Y80" i="1"/>
  <c r="X80" i="1"/>
  <c r="W80" i="1"/>
  <c r="V80" i="1"/>
  <c r="U80" i="1"/>
  <c r="T80" i="1"/>
  <c r="T79" i="1" s="1"/>
  <c r="S80" i="1"/>
  <c r="R80" i="1"/>
  <c r="Q80" i="1"/>
  <c r="P80" i="1"/>
  <c r="P79" i="1" s="1"/>
  <c r="O80" i="1"/>
  <c r="N80" i="1"/>
  <c r="N79" i="1" s="1"/>
  <c r="M80" i="1"/>
  <c r="L80" i="1"/>
  <c r="L79" i="1" s="1"/>
  <c r="K80" i="1"/>
  <c r="J80" i="1"/>
  <c r="J79" i="1" s="1"/>
  <c r="I80" i="1"/>
  <c r="H80" i="1"/>
  <c r="H79" i="1" s="1"/>
  <c r="E80" i="1"/>
  <c r="D80" i="1"/>
  <c r="AC79" i="1"/>
  <c r="Y79" i="1"/>
  <c r="Q79" i="1"/>
  <c r="M79" i="1"/>
  <c r="I79" i="1"/>
  <c r="AG78" i="1"/>
  <c r="AG77" i="1"/>
  <c r="AG76" i="1"/>
  <c r="S76" i="1"/>
  <c r="E76" i="1"/>
  <c r="F76" i="1" s="1"/>
  <c r="C76" i="1"/>
  <c r="G76" i="1" s="1"/>
  <c r="B76" i="1"/>
  <c r="E75" i="1"/>
  <c r="D75" i="1"/>
  <c r="C75" i="1"/>
  <c r="B75" i="1"/>
  <c r="AG75" i="1" s="1"/>
  <c r="E74" i="1"/>
  <c r="C74" i="1"/>
  <c r="C62" i="1" s="1"/>
  <c r="B74" i="1"/>
  <c r="AG74" i="1" s="1"/>
  <c r="AE73" i="1"/>
  <c r="AD73" i="1"/>
  <c r="AC73" i="1"/>
  <c r="AB73" i="1"/>
  <c r="AA73" i="1"/>
  <c r="Z73" i="1"/>
  <c r="Y73" i="1"/>
  <c r="X73" i="1"/>
  <c r="W73" i="1"/>
  <c r="V73" i="1"/>
  <c r="U73" i="1"/>
  <c r="T73" i="1"/>
  <c r="S73" i="1"/>
  <c r="R73" i="1"/>
  <c r="Q73" i="1"/>
  <c r="P73" i="1"/>
  <c r="O73" i="1"/>
  <c r="N73" i="1"/>
  <c r="M73" i="1"/>
  <c r="L73" i="1"/>
  <c r="K73" i="1"/>
  <c r="J73" i="1"/>
  <c r="I73" i="1"/>
  <c r="H73" i="1"/>
  <c r="AG73" i="1" s="1"/>
  <c r="B73" i="1"/>
  <c r="AG72" i="1"/>
  <c r="AG71" i="1"/>
  <c r="Y70" i="1"/>
  <c r="C70" i="1"/>
  <c r="B70" i="1"/>
  <c r="E69" i="1"/>
  <c r="D69" i="1" s="1"/>
  <c r="C69" i="1"/>
  <c r="C63" i="1" s="1"/>
  <c r="B69" i="1"/>
  <c r="AG69" i="1" s="1"/>
  <c r="E68" i="1"/>
  <c r="D68" i="1"/>
  <c r="C68" i="1"/>
  <c r="B68" i="1"/>
  <c r="AG68" i="1" s="1"/>
  <c r="AE67" i="1"/>
  <c r="AD67" i="1"/>
  <c r="AC67" i="1"/>
  <c r="AB67" i="1"/>
  <c r="AA67" i="1"/>
  <c r="Z67" i="1"/>
  <c r="Y67" i="1"/>
  <c r="X67" i="1"/>
  <c r="W67" i="1"/>
  <c r="V67" i="1"/>
  <c r="U67" i="1"/>
  <c r="T67" i="1"/>
  <c r="S67" i="1"/>
  <c r="R67" i="1"/>
  <c r="Q67" i="1"/>
  <c r="P67" i="1"/>
  <c r="O67" i="1"/>
  <c r="N67" i="1"/>
  <c r="M67" i="1"/>
  <c r="L67" i="1"/>
  <c r="K67" i="1"/>
  <c r="J67" i="1"/>
  <c r="I67" i="1"/>
  <c r="H67" i="1"/>
  <c r="C67" i="1"/>
  <c r="AG66" i="1"/>
  <c r="AE65" i="1"/>
  <c r="AD65" i="1"/>
  <c r="AC65" i="1"/>
  <c r="AB65" i="1"/>
  <c r="AA65" i="1"/>
  <c r="Z65" i="1"/>
  <c r="Y65" i="1"/>
  <c r="X65" i="1"/>
  <c r="W65" i="1"/>
  <c r="V65" i="1"/>
  <c r="U65" i="1"/>
  <c r="T65" i="1"/>
  <c r="S65" i="1"/>
  <c r="R65" i="1"/>
  <c r="Q65" i="1"/>
  <c r="P65" i="1"/>
  <c r="O65" i="1"/>
  <c r="N65" i="1"/>
  <c r="M65" i="1"/>
  <c r="L65" i="1"/>
  <c r="K65" i="1"/>
  <c r="J65" i="1"/>
  <c r="I65" i="1"/>
  <c r="H65" i="1"/>
  <c r="G65" i="1"/>
  <c r="E65" i="1"/>
  <c r="F65" i="1" s="1"/>
  <c r="D65" i="1"/>
  <c r="C65" i="1"/>
  <c r="B65" i="1"/>
  <c r="AG65" i="1" s="1"/>
  <c r="AE64" i="1"/>
  <c r="AD64" i="1"/>
  <c r="AC64" i="1"/>
  <c r="AB64" i="1"/>
  <c r="AA64" i="1"/>
  <c r="Z64" i="1"/>
  <c r="X64" i="1"/>
  <c r="W64" i="1"/>
  <c r="V64" i="1"/>
  <c r="U64" i="1"/>
  <c r="T64" i="1"/>
  <c r="S64" i="1"/>
  <c r="R64" i="1"/>
  <c r="Q64" i="1"/>
  <c r="P64" i="1"/>
  <c r="O64" i="1"/>
  <c r="N64" i="1"/>
  <c r="M64" i="1"/>
  <c r="L64" i="1"/>
  <c r="K64" i="1"/>
  <c r="J64" i="1"/>
  <c r="I64" i="1"/>
  <c r="H64" i="1"/>
  <c r="B64" i="1"/>
  <c r="AE63" i="1"/>
  <c r="AD63" i="1"/>
  <c r="AC63" i="1"/>
  <c r="AC61" i="1" s="1"/>
  <c r="AB63" i="1"/>
  <c r="AA63" i="1"/>
  <c r="Z63" i="1"/>
  <c r="Y63" i="1"/>
  <c r="X63" i="1"/>
  <c r="W63" i="1"/>
  <c r="V63" i="1"/>
  <c r="U63" i="1"/>
  <c r="U61" i="1" s="1"/>
  <c r="T63" i="1"/>
  <c r="S63" i="1"/>
  <c r="R63" i="1"/>
  <c r="Q63" i="1"/>
  <c r="Q61" i="1" s="1"/>
  <c r="P63" i="1"/>
  <c r="O63" i="1"/>
  <c r="N63" i="1"/>
  <c r="M63" i="1"/>
  <c r="M61" i="1" s="1"/>
  <c r="L63" i="1"/>
  <c r="K63" i="1"/>
  <c r="J63" i="1"/>
  <c r="I63" i="1"/>
  <c r="I61" i="1" s="1"/>
  <c r="H63" i="1"/>
  <c r="E63" i="1"/>
  <c r="AE62" i="1"/>
  <c r="AD62" i="1"/>
  <c r="AC62" i="1"/>
  <c r="AB62" i="1"/>
  <c r="AB61" i="1" s="1"/>
  <c r="AA62" i="1"/>
  <c r="Z62" i="1"/>
  <c r="Y62" i="1"/>
  <c r="X62" i="1"/>
  <c r="X61" i="1" s="1"/>
  <c r="W62" i="1"/>
  <c r="V62" i="1"/>
  <c r="V61" i="1" s="1"/>
  <c r="U62" i="1"/>
  <c r="T62" i="1"/>
  <c r="T61" i="1" s="1"/>
  <c r="S62" i="1"/>
  <c r="R62" i="1"/>
  <c r="R61" i="1" s="1"/>
  <c r="Q62" i="1"/>
  <c r="P62" i="1"/>
  <c r="P61" i="1" s="1"/>
  <c r="O62" i="1"/>
  <c r="N62" i="1"/>
  <c r="N61" i="1" s="1"/>
  <c r="M62" i="1"/>
  <c r="L62" i="1"/>
  <c r="L61" i="1" s="1"/>
  <c r="K62" i="1"/>
  <c r="J62" i="1"/>
  <c r="J61" i="1" s="1"/>
  <c r="I62" i="1"/>
  <c r="H62" i="1"/>
  <c r="H61" i="1" s="1"/>
  <c r="B62" i="1"/>
  <c r="AE61" i="1"/>
  <c r="AA61" i="1"/>
  <c r="W61" i="1"/>
  <c r="S61" i="1"/>
  <c r="O61" i="1"/>
  <c r="K61" i="1"/>
  <c r="AG60" i="1"/>
  <c r="E58" i="1"/>
  <c r="G58" i="1" s="1"/>
  <c r="D58" i="1"/>
  <c r="D55" i="1" s="1"/>
  <c r="C58" i="1"/>
  <c r="B58" i="1"/>
  <c r="B55" i="1" s="1"/>
  <c r="E57" i="1"/>
  <c r="D57" i="1"/>
  <c r="C57" i="1"/>
  <c r="B57" i="1"/>
  <c r="E56" i="1"/>
  <c r="D56" i="1"/>
  <c r="C56" i="1"/>
  <c r="B56" i="1"/>
  <c r="AF55" i="1"/>
  <c r="AE55" i="1"/>
  <c r="AD55" i="1"/>
  <c r="AC55" i="1"/>
  <c r="AB55" i="1"/>
  <c r="AA55" i="1"/>
  <c r="Z55" i="1"/>
  <c r="Y55" i="1"/>
  <c r="X55" i="1"/>
  <c r="W55" i="1"/>
  <c r="V55" i="1"/>
  <c r="U55" i="1"/>
  <c r="T55" i="1"/>
  <c r="S55" i="1"/>
  <c r="R55" i="1"/>
  <c r="Q55" i="1"/>
  <c r="P55" i="1"/>
  <c r="O55" i="1"/>
  <c r="N55" i="1"/>
  <c r="M55" i="1"/>
  <c r="L55" i="1"/>
  <c r="K55" i="1"/>
  <c r="J55" i="1"/>
  <c r="I55" i="1"/>
  <c r="H55" i="1"/>
  <c r="E55" i="1"/>
  <c r="C55" i="1"/>
  <c r="AG53" i="1"/>
  <c r="AG52" i="1"/>
  <c r="E52" i="1"/>
  <c r="C52" i="1"/>
  <c r="B52" i="1"/>
  <c r="E51" i="1"/>
  <c r="D51" i="1"/>
  <c r="C51" i="1"/>
  <c r="B51" i="1"/>
  <c r="B49" i="1" s="1"/>
  <c r="AG49" i="1" s="1"/>
  <c r="E50" i="1"/>
  <c r="D50" i="1" s="1"/>
  <c r="C50" i="1"/>
  <c r="B50" i="1"/>
  <c r="AG50" i="1" s="1"/>
  <c r="AE49" i="1"/>
  <c r="AD49" i="1"/>
  <c r="AC49" i="1"/>
  <c r="AB49" i="1"/>
  <c r="AA49" i="1"/>
  <c r="Z49" i="1"/>
  <c r="Y49" i="1"/>
  <c r="X49" i="1"/>
  <c r="W49" i="1"/>
  <c r="V49" i="1"/>
  <c r="U49" i="1"/>
  <c r="T49" i="1"/>
  <c r="S49" i="1"/>
  <c r="R49" i="1"/>
  <c r="Q49" i="1"/>
  <c r="P49" i="1"/>
  <c r="O49" i="1"/>
  <c r="N49" i="1"/>
  <c r="M49" i="1"/>
  <c r="L49" i="1"/>
  <c r="K49" i="1"/>
  <c r="J49" i="1"/>
  <c r="I49" i="1"/>
  <c r="H49" i="1"/>
  <c r="AG48" i="1"/>
  <c r="AG47" i="1"/>
  <c r="AD46" i="1"/>
  <c r="E46" i="1"/>
  <c r="D46" i="1"/>
  <c r="C46" i="1"/>
  <c r="G46" i="1" s="1"/>
  <c r="E45" i="1"/>
  <c r="D45" i="1" s="1"/>
  <c r="D43" i="1" s="1"/>
  <c r="C45" i="1"/>
  <c r="B45" i="1"/>
  <c r="AG45" i="1" s="1"/>
  <c r="E44" i="1"/>
  <c r="D44" i="1"/>
  <c r="C44" i="1"/>
  <c r="B44" i="1"/>
  <c r="AG44" i="1" s="1"/>
  <c r="AE43" i="1"/>
  <c r="AC43" i="1"/>
  <c r="AB43" i="1"/>
  <c r="AA43" i="1"/>
  <c r="Z43" i="1"/>
  <c r="Y43" i="1"/>
  <c r="X43" i="1"/>
  <c r="W43" i="1"/>
  <c r="V43" i="1"/>
  <c r="U43" i="1"/>
  <c r="T43" i="1"/>
  <c r="S43" i="1"/>
  <c r="R43" i="1"/>
  <c r="Q43" i="1"/>
  <c r="P43" i="1"/>
  <c r="O43" i="1"/>
  <c r="N43" i="1"/>
  <c r="M43" i="1"/>
  <c r="L43" i="1"/>
  <c r="K43" i="1"/>
  <c r="J43" i="1"/>
  <c r="I43" i="1"/>
  <c r="H43" i="1"/>
  <c r="C43" i="1"/>
  <c r="AG42" i="1"/>
  <c r="AG41" i="1"/>
  <c r="E41" i="1"/>
  <c r="C41" i="1"/>
  <c r="B41" i="1"/>
  <c r="AD40" i="1"/>
  <c r="N40" i="1"/>
  <c r="C40" i="1" s="1"/>
  <c r="C37" i="1" s="1"/>
  <c r="E40" i="1"/>
  <c r="D40" i="1"/>
  <c r="B40" i="1"/>
  <c r="B37" i="1" s="1"/>
  <c r="AG39" i="1"/>
  <c r="E39" i="1"/>
  <c r="C39" i="1"/>
  <c r="B39" i="1"/>
  <c r="AG38" i="1"/>
  <c r="E38" i="1"/>
  <c r="D38" i="1"/>
  <c r="C38" i="1"/>
  <c r="G38" i="1" s="1"/>
  <c r="B38" i="1"/>
  <c r="F38" i="1" s="1"/>
  <c r="AE37" i="1"/>
  <c r="AD37" i="1"/>
  <c r="AC37" i="1"/>
  <c r="AB37" i="1"/>
  <c r="AA37" i="1"/>
  <c r="Z37" i="1"/>
  <c r="Y37" i="1"/>
  <c r="X37" i="1"/>
  <c r="W37" i="1"/>
  <c r="V37" i="1"/>
  <c r="U37" i="1"/>
  <c r="T37" i="1"/>
  <c r="S37" i="1"/>
  <c r="R37" i="1"/>
  <c r="Q37" i="1"/>
  <c r="P37" i="1"/>
  <c r="O37" i="1"/>
  <c r="M37" i="1"/>
  <c r="L37" i="1"/>
  <c r="K37" i="1"/>
  <c r="J37" i="1"/>
  <c r="I37" i="1"/>
  <c r="H37" i="1"/>
  <c r="AG36" i="1"/>
  <c r="AE35" i="1"/>
  <c r="AE373" i="1" s="1"/>
  <c r="AD35" i="1"/>
  <c r="AC35" i="1"/>
  <c r="AB35" i="1"/>
  <c r="AB373" i="1" s="1"/>
  <c r="AA35" i="1"/>
  <c r="AA373" i="1" s="1"/>
  <c r="Z35" i="1"/>
  <c r="Y35" i="1"/>
  <c r="X35" i="1"/>
  <c r="X373" i="1" s="1"/>
  <c r="W35" i="1"/>
  <c r="W373" i="1" s="1"/>
  <c r="V35" i="1"/>
  <c r="U35" i="1"/>
  <c r="T35" i="1"/>
  <c r="T373" i="1" s="1"/>
  <c r="S35" i="1"/>
  <c r="S373" i="1" s="1"/>
  <c r="R35" i="1"/>
  <c r="Q35" i="1"/>
  <c r="P35" i="1"/>
  <c r="P373" i="1" s="1"/>
  <c r="O35" i="1"/>
  <c r="O373" i="1" s="1"/>
  <c r="N35" i="1"/>
  <c r="M35" i="1"/>
  <c r="L35" i="1"/>
  <c r="L373" i="1" s="1"/>
  <c r="K35" i="1"/>
  <c r="J35" i="1"/>
  <c r="I35" i="1"/>
  <c r="H35" i="1"/>
  <c r="H373" i="1" s="1"/>
  <c r="C35" i="1"/>
  <c r="B35" i="1"/>
  <c r="AG35" i="1" s="1"/>
  <c r="AF34" i="1"/>
  <c r="AE34" i="1"/>
  <c r="AC34" i="1"/>
  <c r="AB34" i="1"/>
  <c r="AA34" i="1"/>
  <c r="Z34" i="1"/>
  <c r="Y34" i="1"/>
  <c r="X34" i="1"/>
  <c r="W34" i="1"/>
  <c r="V34" i="1"/>
  <c r="U34" i="1"/>
  <c r="T34" i="1"/>
  <c r="S34" i="1"/>
  <c r="R34" i="1"/>
  <c r="Q34" i="1"/>
  <c r="P34" i="1"/>
  <c r="O34" i="1"/>
  <c r="M34" i="1"/>
  <c r="L34" i="1"/>
  <c r="K34" i="1"/>
  <c r="J34" i="1"/>
  <c r="I34" i="1"/>
  <c r="H34" i="1"/>
  <c r="AE33" i="1"/>
  <c r="AD33" i="1"/>
  <c r="AC33" i="1"/>
  <c r="AB33" i="1"/>
  <c r="AA33" i="1"/>
  <c r="Z33" i="1"/>
  <c r="Y33" i="1"/>
  <c r="X33" i="1"/>
  <c r="W33" i="1"/>
  <c r="V33" i="1"/>
  <c r="U33" i="1"/>
  <c r="T33" i="1"/>
  <c r="S33" i="1"/>
  <c r="R33" i="1"/>
  <c r="Q33" i="1"/>
  <c r="P33" i="1"/>
  <c r="P371" i="1" s="1"/>
  <c r="O33" i="1"/>
  <c r="N33" i="1"/>
  <c r="M33" i="1"/>
  <c r="L33" i="1"/>
  <c r="K33" i="1"/>
  <c r="J33" i="1"/>
  <c r="I33" i="1"/>
  <c r="H33" i="1"/>
  <c r="C33" i="1" s="1"/>
  <c r="F33" i="1"/>
  <c r="E33" i="1"/>
  <c r="D33" i="1"/>
  <c r="B33" i="1"/>
  <c r="AE32" i="1"/>
  <c r="AD32" i="1"/>
  <c r="AC32" i="1"/>
  <c r="AB32" i="1"/>
  <c r="AA32" i="1"/>
  <c r="Z32" i="1"/>
  <c r="Y32" i="1"/>
  <c r="X32" i="1"/>
  <c r="W32" i="1"/>
  <c r="V32" i="1"/>
  <c r="U32" i="1"/>
  <c r="T32" i="1"/>
  <c r="S32" i="1"/>
  <c r="R32" i="1"/>
  <c r="Q32" i="1"/>
  <c r="P32" i="1"/>
  <c r="O32" i="1"/>
  <c r="N32" i="1"/>
  <c r="M32" i="1"/>
  <c r="L32" i="1"/>
  <c r="B32" i="1" s="1"/>
  <c r="K32" i="1"/>
  <c r="J32" i="1"/>
  <c r="I32" i="1"/>
  <c r="H32" i="1"/>
  <c r="E32" i="1"/>
  <c r="C32" i="1"/>
  <c r="AB31" i="1"/>
  <c r="X31" i="1"/>
  <c r="T31" i="1"/>
  <c r="P31" i="1"/>
  <c r="L31" i="1"/>
  <c r="H31" i="1"/>
  <c r="AG30" i="1"/>
  <c r="AG29" i="1"/>
  <c r="E28" i="1"/>
  <c r="E24" i="1" s="1"/>
  <c r="C28" i="1"/>
  <c r="B28" i="1"/>
  <c r="AG27" i="1"/>
  <c r="E27" i="1"/>
  <c r="G27" i="1" s="1"/>
  <c r="D27" i="1"/>
  <c r="C27" i="1"/>
  <c r="B27" i="1"/>
  <c r="F27" i="1" s="1"/>
  <c r="AG26" i="1"/>
  <c r="E26" i="1"/>
  <c r="F26" i="1" s="1"/>
  <c r="C26" i="1"/>
  <c r="C24" i="1" s="1"/>
  <c r="B26" i="1"/>
  <c r="E25" i="1"/>
  <c r="D25" i="1"/>
  <c r="C25" i="1"/>
  <c r="G25" i="1" s="1"/>
  <c r="B25" i="1"/>
  <c r="AE24" i="1"/>
  <c r="AD24" i="1"/>
  <c r="AC24" i="1"/>
  <c r="AB24" i="1"/>
  <c r="AA24" i="1"/>
  <c r="Z24" i="1"/>
  <c r="Y24" i="1"/>
  <c r="X24" i="1"/>
  <c r="W24" i="1"/>
  <c r="V24" i="1"/>
  <c r="U24" i="1"/>
  <c r="T24" i="1"/>
  <c r="S24" i="1"/>
  <c r="R24" i="1"/>
  <c r="Q24" i="1"/>
  <c r="P24" i="1"/>
  <c r="O24" i="1"/>
  <c r="N24" i="1"/>
  <c r="M24" i="1"/>
  <c r="L24" i="1"/>
  <c r="K24" i="1"/>
  <c r="J24" i="1"/>
  <c r="I24" i="1"/>
  <c r="H24" i="1"/>
  <c r="AG23" i="1"/>
  <c r="AG22" i="1"/>
  <c r="AG21" i="1"/>
  <c r="R21" i="1"/>
  <c r="G21" i="1"/>
  <c r="E21" i="1"/>
  <c r="D21" i="1" s="1"/>
  <c r="C21" i="1"/>
  <c r="B21" i="1"/>
  <c r="E20" i="1"/>
  <c r="D20" i="1"/>
  <c r="C20" i="1"/>
  <c r="B20" i="1"/>
  <c r="E19" i="1"/>
  <c r="C19" i="1"/>
  <c r="B19" i="1"/>
  <c r="AE18" i="1"/>
  <c r="AD18" i="1"/>
  <c r="AC18" i="1"/>
  <c r="AB18" i="1"/>
  <c r="AA18" i="1"/>
  <c r="Z18" i="1"/>
  <c r="Y18" i="1"/>
  <c r="X18" i="1"/>
  <c r="W18" i="1"/>
  <c r="V18" i="1"/>
  <c r="U18" i="1"/>
  <c r="T18" i="1"/>
  <c r="S18" i="1"/>
  <c r="R18" i="1"/>
  <c r="Q18" i="1"/>
  <c r="P18" i="1"/>
  <c r="O18" i="1"/>
  <c r="N18" i="1"/>
  <c r="M18" i="1"/>
  <c r="L18" i="1"/>
  <c r="K18" i="1"/>
  <c r="J18" i="1"/>
  <c r="I18" i="1"/>
  <c r="H18" i="1"/>
  <c r="AG17" i="1"/>
  <c r="AE16" i="1"/>
  <c r="AD16" i="1"/>
  <c r="AC16" i="1"/>
  <c r="AB16" i="1"/>
  <c r="AA16" i="1"/>
  <c r="Z16" i="1"/>
  <c r="Y16" i="1"/>
  <c r="X16" i="1"/>
  <c r="W16" i="1"/>
  <c r="V16" i="1"/>
  <c r="U16" i="1"/>
  <c r="T16" i="1"/>
  <c r="S16" i="1"/>
  <c r="R16" i="1"/>
  <c r="Q16" i="1"/>
  <c r="P16" i="1"/>
  <c r="O16" i="1"/>
  <c r="N16" i="1"/>
  <c r="M16" i="1"/>
  <c r="L16" i="1"/>
  <c r="K16" i="1"/>
  <c r="J16" i="1"/>
  <c r="I16" i="1"/>
  <c r="H16" i="1"/>
  <c r="E16" i="1"/>
  <c r="D16" i="1"/>
  <c r="C16" i="1"/>
  <c r="B16" i="1"/>
  <c r="AE15" i="1"/>
  <c r="AD15" i="1"/>
  <c r="AC15" i="1"/>
  <c r="AB15" i="1"/>
  <c r="AA15" i="1"/>
  <c r="Z15" i="1"/>
  <c r="Y15" i="1"/>
  <c r="X15" i="1"/>
  <c r="W15" i="1"/>
  <c r="V15" i="1"/>
  <c r="U15" i="1"/>
  <c r="T15" i="1"/>
  <c r="S15" i="1"/>
  <c r="R15" i="1"/>
  <c r="Q15" i="1"/>
  <c r="P15" i="1"/>
  <c r="O15" i="1"/>
  <c r="N15" i="1"/>
  <c r="M15" i="1"/>
  <c r="L15" i="1"/>
  <c r="K15" i="1"/>
  <c r="J15" i="1"/>
  <c r="I15" i="1"/>
  <c r="H15" i="1"/>
  <c r="G15" i="1"/>
  <c r="E15" i="1"/>
  <c r="C15" i="1"/>
  <c r="B15" i="1"/>
  <c r="AG15" i="1" s="1"/>
  <c r="AE14" i="1"/>
  <c r="AD14" i="1"/>
  <c r="AC14" i="1"/>
  <c r="AB14" i="1"/>
  <c r="AA14" i="1"/>
  <c r="Z14" i="1"/>
  <c r="Y14" i="1"/>
  <c r="X14" i="1"/>
  <c r="W14" i="1"/>
  <c r="V14" i="1"/>
  <c r="U14" i="1"/>
  <c r="T14" i="1"/>
  <c r="S14" i="1"/>
  <c r="R14" i="1"/>
  <c r="Q14" i="1"/>
  <c r="P14" i="1"/>
  <c r="O14" i="1"/>
  <c r="N14" i="1"/>
  <c r="M14" i="1"/>
  <c r="L14" i="1"/>
  <c r="K14" i="1"/>
  <c r="J14" i="1"/>
  <c r="I14" i="1"/>
  <c r="H14" i="1"/>
  <c r="E14" i="1"/>
  <c r="G14" i="1" s="1"/>
  <c r="D14" i="1"/>
  <c r="C14" i="1"/>
  <c r="B14" i="1"/>
  <c r="F14" i="1" s="1"/>
  <c r="AE13" i="1"/>
  <c r="AD13" i="1"/>
  <c r="AC13" i="1"/>
  <c r="AB13" i="1"/>
  <c r="AA13" i="1"/>
  <c r="Z13" i="1"/>
  <c r="Y13" i="1"/>
  <c r="X13" i="1"/>
  <c r="W13" i="1"/>
  <c r="V13" i="1"/>
  <c r="U13" i="1"/>
  <c r="T13" i="1"/>
  <c r="S13" i="1"/>
  <c r="R13" i="1"/>
  <c r="Q13" i="1"/>
  <c r="P13" i="1"/>
  <c r="O13" i="1"/>
  <c r="N13" i="1"/>
  <c r="M13" i="1"/>
  <c r="L13" i="1"/>
  <c r="K13" i="1"/>
  <c r="J13" i="1"/>
  <c r="I13" i="1"/>
  <c r="H13" i="1"/>
  <c r="C13" i="1"/>
  <c r="B13" i="1"/>
  <c r="AD12" i="1"/>
  <c r="AB12" i="1"/>
  <c r="Z12" i="1"/>
  <c r="V12" i="1"/>
  <c r="T12" i="1"/>
  <c r="R12" i="1"/>
  <c r="N12" i="1"/>
  <c r="L12" i="1"/>
  <c r="J12" i="1"/>
  <c r="B12" i="1"/>
  <c r="AG11" i="1"/>
  <c r="G24" i="1" l="1"/>
  <c r="D19" i="1"/>
  <c r="G19" i="1"/>
  <c r="F19" i="1"/>
  <c r="D83" i="1"/>
  <c r="G83" i="1"/>
  <c r="F83" i="1"/>
  <c r="R87" i="1"/>
  <c r="C105" i="1"/>
  <c r="R103" i="1"/>
  <c r="C111" i="1"/>
  <c r="C109" i="1" s="1"/>
  <c r="B111" i="1"/>
  <c r="R109" i="1"/>
  <c r="B129" i="1"/>
  <c r="AH131" i="1"/>
  <c r="C129" i="1"/>
  <c r="G129" i="1" s="1"/>
  <c r="M365" i="1"/>
  <c r="M360" i="1"/>
  <c r="M12" i="1"/>
  <c r="Y365" i="1"/>
  <c r="Y360" i="1"/>
  <c r="Y12" i="1"/>
  <c r="P366" i="1"/>
  <c r="P361" i="1"/>
  <c r="P376" i="1" s="1"/>
  <c r="S367" i="1"/>
  <c r="AA367" i="1"/>
  <c r="AG32" i="1"/>
  <c r="AG33" i="1"/>
  <c r="O372" i="1"/>
  <c r="D41" i="1"/>
  <c r="G41" i="1"/>
  <c r="F41" i="1"/>
  <c r="E43" i="1"/>
  <c r="F58" i="1"/>
  <c r="AG62" i="1"/>
  <c r="AG94" i="1"/>
  <c r="B91" i="1"/>
  <c r="AG91" i="1" s="1"/>
  <c r="F94" i="1"/>
  <c r="D101" i="1"/>
  <c r="D89" i="1" s="1"/>
  <c r="G101" i="1"/>
  <c r="F101" i="1"/>
  <c r="C125" i="1"/>
  <c r="B125" i="1"/>
  <c r="X81" i="1"/>
  <c r="C373" i="1"/>
  <c r="C139" i="1"/>
  <c r="G156" i="1"/>
  <c r="F156" i="1"/>
  <c r="G160" i="1"/>
  <c r="F160" i="1"/>
  <c r="B170" i="1"/>
  <c r="D32" i="1"/>
  <c r="G32" i="1"/>
  <c r="F32" i="1"/>
  <c r="K373" i="1"/>
  <c r="E35" i="1"/>
  <c r="AG37" i="1"/>
  <c r="AD34" i="1"/>
  <c r="AD372" i="1" s="1"/>
  <c r="B46" i="1"/>
  <c r="AD43" i="1"/>
  <c r="F132" i="1"/>
  <c r="C144" i="1"/>
  <c r="L141" i="1"/>
  <c r="B144" i="1"/>
  <c r="F174" i="1"/>
  <c r="C12" i="1"/>
  <c r="U365" i="1"/>
  <c r="U360" i="1"/>
  <c r="U12" i="1"/>
  <c r="H366" i="1"/>
  <c r="T366" i="1"/>
  <c r="O367" i="1"/>
  <c r="AG20" i="1"/>
  <c r="B18" i="1"/>
  <c r="AG18" i="1" s="1"/>
  <c r="F20" i="1"/>
  <c r="H363" i="1"/>
  <c r="H368" i="1"/>
  <c r="L363" i="1"/>
  <c r="L368" i="1"/>
  <c r="P363" i="1"/>
  <c r="P368" i="1"/>
  <c r="T363" i="1"/>
  <c r="T368" i="1"/>
  <c r="X363" i="1"/>
  <c r="X368" i="1"/>
  <c r="AB363" i="1"/>
  <c r="AB368" i="1"/>
  <c r="AG16" i="1"/>
  <c r="I370" i="1"/>
  <c r="I31" i="1"/>
  <c r="M370" i="1"/>
  <c r="M31" i="1"/>
  <c r="Q370" i="1"/>
  <c r="Q31" i="1"/>
  <c r="U370" i="1"/>
  <c r="U31" i="1"/>
  <c r="Y370" i="1"/>
  <c r="Y31" i="1"/>
  <c r="AC370" i="1"/>
  <c r="AC31" i="1"/>
  <c r="K372" i="1"/>
  <c r="E34" i="1"/>
  <c r="D39" i="1"/>
  <c r="G39" i="1"/>
  <c r="E37" i="1"/>
  <c r="F39" i="1"/>
  <c r="G40" i="1"/>
  <c r="AG40" i="1"/>
  <c r="C49" i="1"/>
  <c r="G63" i="1"/>
  <c r="D63" i="1"/>
  <c r="D74" i="1"/>
  <c r="D62" i="1" s="1"/>
  <c r="E62" i="1"/>
  <c r="B80" i="1"/>
  <c r="X79" i="1"/>
  <c r="G91" i="1"/>
  <c r="F91" i="1"/>
  <c r="D97" i="1"/>
  <c r="AG101" i="1"/>
  <c r="B89" i="1"/>
  <c r="AG89" i="1" s="1"/>
  <c r="D105" i="1"/>
  <c r="E87" i="1"/>
  <c r="F105" i="1"/>
  <c r="AB85" i="1"/>
  <c r="AB81" i="1"/>
  <c r="AB79" i="1" s="1"/>
  <c r="G109" i="1"/>
  <c r="D111" i="1"/>
  <c r="G111" i="1"/>
  <c r="F111" i="1"/>
  <c r="G115" i="1"/>
  <c r="F115" i="1"/>
  <c r="G131" i="1"/>
  <c r="AG136" i="1"/>
  <c r="F136" i="1"/>
  <c r="L138" i="1"/>
  <c r="L372" i="1" s="1"/>
  <c r="G139" i="1"/>
  <c r="F139" i="1"/>
  <c r="AG160" i="1"/>
  <c r="C162" i="1"/>
  <c r="G162" i="1" s="1"/>
  <c r="G165" i="1"/>
  <c r="D197" i="1"/>
  <c r="D15" i="1"/>
  <c r="D28" i="1"/>
  <c r="G28" i="1"/>
  <c r="F28" i="1"/>
  <c r="AG51" i="1"/>
  <c r="C73" i="1"/>
  <c r="C64" i="1"/>
  <c r="C61" i="1" s="1"/>
  <c r="C115" i="1"/>
  <c r="C86" i="1"/>
  <c r="B137" i="1"/>
  <c r="AG137" i="1" s="1"/>
  <c r="B141" i="1"/>
  <c r="AG157" i="1"/>
  <c r="B156" i="1"/>
  <c r="AG156" i="1" s="1"/>
  <c r="G190" i="1"/>
  <c r="I365" i="1"/>
  <c r="I364" i="1" s="1"/>
  <c r="I12" i="1"/>
  <c r="Q365" i="1"/>
  <c r="Q360" i="1"/>
  <c r="Q12" i="1"/>
  <c r="AC365" i="1"/>
  <c r="AC360" i="1"/>
  <c r="AC12" i="1"/>
  <c r="L366" i="1"/>
  <c r="X366" i="1"/>
  <c r="X361" i="1"/>
  <c r="X376" i="1" s="1"/>
  <c r="AG14" i="1"/>
  <c r="K367" i="1"/>
  <c r="W367" i="1"/>
  <c r="AE367" i="1"/>
  <c r="E13" i="1"/>
  <c r="H12" i="1"/>
  <c r="AG12" i="1" s="1"/>
  <c r="P12" i="1"/>
  <c r="X12" i="1"/>
  <c r="K360" i="1"/>
  <c r="K365" i="1"/>
  <c r="K12" i="1"/>
  <c r="O365" i="1"/>
  <c r="O360" i="1"/>
  <c r="O12" i="1"/>
  <c r="S360" i="1"/>
  <c r="S365" i="1"/>
  <c r="S12" i="1"/>
  <c r="W365" i="1"/>
  <c r="W360" i="1"/>
  <c r="W12" i="1"/>
  <c r="AA365" i="1"/>
  <c r="AA360" i="1"/>
  <c r="AA12" i="1"/>
  <c r="AE365" i="1"/>
  <c r="AE360" i="1"/>
  <c r="AE12" i="1"/>
  <c r="J366" i="1"/>
  <c r="J361" i="1"/>
  <c r="N366" i="1"/>
  <c r="V366" i="1"/>
  <c r="V361" i="1"/>
  <c r="Z366" i="1"/>
  <c r="AD361" i="1"/>
  <c r="C367" i="1"/>
  <c r="C18" i="1"/>
  <c r="AG25" i="1"/>
  <c r="B24" i="1"/>
  <c r="AG24" i="1" s="1"/>
  <c r="F25" i="1"/>
  <c r="G26" i="1"/>
  <c r="G33" i="1"/>
  <c r="J371" i="1"/>
  <c r="J31" i="1"/>
  <c r="N31" i="1"/>
  <c r="R31" i="1"/>
  <c r="V371" i="1"/>
  <c r="V31" i="1"/>
  <c r="Z31" i="1"/>
  <c r="AD371" i="1"/>
  <c r="AD31" i="1"/>
  <c r="F40" i="1"/>
  <c r="D52" i="1"/>
  <c r="D49" i="1" s="1"/>
  <c r="E49" i="1"/>
  <c r="G52" i="1"/>
  <c r="F52" i="1"/>
  <c r="G55" i="1"/>
  <c r="F55" i="1"/>
  <c r="B61" i="1"/>
  <c r="AG61" i="1" s="1"/>
  <c r="Z61" i="1"/>
  <c r="AD61" i="1"/>
  <c r="AG64" i="1"/>
  <c r="AG70" i="1"/>
  <c r="B67" i="1"/>
  <c r="AG67" i="1" s="1"/>
  <c r="K81" i="1"/>
  <c r="O81" i="1"/>
  <c r="O79" i="1" s="1"/>
  <c r="AE81" i="1"/>
  <c r="AE79" i="1" s="1"/>
  <c r="J85" i="1"/>
  <c r="N85" i="1"/>
  <c r="E89" i="1"/>
  <c r="F92" i="1"/>
  <c r="C100" i="1"/>
  <c r="B100" i="1"/>
  <c r="V88" i="1"/>
  <c r="V82" i="1" s="1"/>
  <c r="B82" i="1" s="1"/>
  <c r="AG82" i="1" s="1"/>
  <c r="V97" i="1"/>
  <c r="E103" i="1"/>
  <c r="B105" i="1"/>
  <c r="F106" i="1"/>
  <c r="D112" i="1"/>
  <c r="D88" i="1" s="1"/>
  <c r="G112" i="1"/>
  <c r="F112" i="1"/>
  <c r="F131" i="1"/>
  <c r="H135" i="1"/>
  <c r="L135" i="1"/>
  <c r="P135" i="1"/>
  <c r="T135" i="1"/>
  <c r="X135" i="1"/>
  <c r="AB135" i="1"/>
  <c r="D143" i="1"/>
  <c r="G143" i="1"/>
  <c r="E137" i="1"/>
  <c r="F143" i="1"/>
  <c r="G146" i="1"/>
  <c r="AG146" i="1"/>
  <c r="G170" i="1"/>
  <c r="F170" i="1"/>
  <c r="Y182" i="1"/>
  <c r="C191" i="1"/>
  <c r="C185" i="1" s="1"/>
  <c r="X185" i="1"/>
  <c r="X362" i="1" s="1"/>
  <c r="B191" i="1"/>
  <c r="X188" i="1"/>
  <c r="D231" i="1"/>
  <c r="D234" i="1"/>
  <c r="G234" i="1"/>
  <c r="G266" i="1"/>
  <c r="F267" i="1"/>
  <c r="D320" i="1"/>
  <c r="T308" i="1"/>
  <c r="T371" i="1" s="1"/>
  <c r="T318" i="1"/>
  <c r="X308" i="1"/>
  <c r="X318" i="1"/>
  <c r="J365" i="1"/>
  <c r="J360" i="1"/>
  <c r="N365" i="1"/>
  <c r="N360" i="1"/>
  <c r="V365" i="1"/>
  <c r="Z365" i="1"/>
  <c r="Z360" i="1"/>
  <c r="AD365" i="1"/>
  <c r="K366" i="1"/>
  <c r="O366" i="1"/>
  <c r="S366" i="1"/>
  <c r="S361" i="1"/>
  <c r="W366" i="1"/>
  <c r="W361" i="1"/>
  <c r="AA366" i="1"/>
  <c r="AA361" i="1"/>
  <c r="AE366" i="1"/>
  <c r="AE361" i="1"/>
  <c r="H367" i="1"/>
  <c r="H362" i="1"/>
  <c r="L367" i="1"/>
  <c r="L362" i="1"/>
  <c r="P367" i="1"/>
  <c r="T367" i="1"/>
  <c r="T362" i="1"/>
  <c r="X367" i="1"/>
  <c r="AB367" i="1"/>
  <c r="E368" i="1"/>
  <c r="I368" i="1"/>
  <c r="I363" i="1"/>
  <c r="M368" i="1"/>
  <c r="M363" i="1"/>
  <c r="Q368" i="1"/>
  <c r="Q363" i="1"/>
  <c r="U368" i="1"/>
  <c r="U363" i="1"/>
  <c r="Y368" i="1"/>
  <c r="Y363" i="1"/>
  <c r="Y378" i="1" s="1"/>
  <c r="AC368" i="1"/>
  <c r="AC363" i="1"/>
  <c r="E18" i="1"/>
  <c r="G20" i="1"/>
  <c r="D26" i="1"/>
  <c r="D24" i="1" s="1"/>
  <c r="J370" i="1"/>
  <c r="N370" i="1"/>
  <c r="R370" i="1"/>
  <c r="V370" i="1"/>
  <c r="Z370" i="1"/>
  <c r="K371" i="1"/>
  <c r="O371" i="1"/>
  <c r="S371" i="1"/>
  <c r="W371" i="1"/>
  <c r="AA371" i="1"/>
  <c r="AE371" i="1"/>
  <c r="H372" i="1"/>
  <c r="T372" i="1"/>
  <c r="X372" i="1"/>
  <c r="B63" i="1"/>
  <c r="AG63" i="1" s="1"/>
  <c r="E73" i="1"/>
  <c r="D76" i="1"/>
  <c r="D73" i="1" s="1"/>
  <c r="C80" i="1"/>
  <c r="C79" i="1" s="1"/>
  <c r="E88" i="1"/>
  <c r="N103" i="1"/>
  <c r="X381" i="1"/>
  <c r="D116" i="1"/>
  <c r="E123" i="1"/>
  <c r="D126" i="1"/>
  <c r="D123" i="1" s="1"/>
  <c r="AD381" i="1"/>
  <c r="E138" i="1"/>
  <c r="U138" i="1"/>
  <c r="U135" i="1" s="1"/>
  <c r="R139" i="1"/>
  <c r="R363" i="1" s="1"/>
  <c r="R141" i="1"/>
  <c r="AD141" i="1"/>
  <c r="E148" i="1"/>
  <c r="D151" i="1"/>
  <c r="D170" i="1"/>
  <c r="H170" i="1"/>
  <c r="L170" i="1"/>
  <c r="P170" i="1"/>
  <c r="T170" i="1"/>
  <c r="X170" i="1"/>
  <c r="AB170" i="1"/>
  <c r="F177" i="1"/>
  <c r="G189" i="1"/>
  <c r="C190" i="1"/>
  <c r="R188" i="1"/>
  <c r="B190" i="1"/>
  <c r="R184" i="1"/>
  <c r="R366" i="1" s="1"/>
  <c r="G201" i="1"/>
  <c r="AG202" i="1"/>
  <c r="B196" i="1"/>
  <c r="F202" i="1"/>
  <c r="D210" i="1"/>
  <c r="D207" i="1" s="1"/>
  <c r="G210" i="1"/>
  <c r="F210" i="1"/>
  <c r="C216" i="1"/>
  <c r="D219" i="1"/>
  <c r="D226" i="1"/>
  <c r="D225" i="1" s="1"/>
  <c r="G226" i="1"/>
  <c r="F226" i="1"/>
  <c r="E225" i="1"/>
  <c r="C215" i="1"/>
  <c r="C237" i="1"/>
  <c r="D263" i="1"/>
  <c r="I263" i="1"/>
  <c r="M263" i="1"/>
  <c r="Q263" i="1"/>
  <c r="U263" i="1"/>
  <c r="Y263" i="1"/>
  <c r="AC263" i="1"/>
  <c r="D265" i="1"/>
  <c r="B271" i="1"/>
  <c r="AD265" i="1"/>
  <c r="AD366" i="1" s="1"/>
  <c r="B272" i="1"/>
  <c r="AD266" i="1"/>
  <c r="AD362" i="1" s="1"/>
  <c r="M362" i="1"/>
  <c r="M367" i="1"/>
  <c r="B368" i="1"/>
  <c r="J368" i="1"/>
  <c r="J363" i="1"/>
  <c r="V368" i="1"/>
  <c r="C383" i="1"/>
  <c r="K370" i="1"/>
  <c r="W370" i="1"/>
  <c r="H371" i="1"/>
  <c r="I373" i="1"/>
  <c r="Q373" i="1"/>
  <c r="Y373" i="1"/>
  <c r="AC373" i="1"/>
  <c r="AA383" i="1"/>
  <c r="J381" i="1"/>
  <c r="G173" i="1"/>
  <c r="F173" i="1"/>
  <c r="C189" i="1"/>
  <c r="B189" i="1"/>
  <c r="R183" i="1"/>
  <c r="AB188" i="1"/>
  <c r="D191" i="1"/>
  <c r="D185" i="1" s="1"/>
  <c r="E185" i="1"/>
  <c r="G191" i="1"/>
  <c r="F191" i="1"/>
  <c r="AG217" i="1"/>
  <c r="C214" i="1"/>
  <c r="C213" i="1" s="1"/>
  <c r="C219" i="1"/>
  <c r="D222" i="1"/>
  <c r="D216" i="1" s="1"/>
  <c r="G222" i="1"/>
  <c r="E216" i="1"/>
  <c r="E213" i="1" s="1"/>
  <c r="F222" i="1"/>
  <c r="AG227" i="1"/>
  <c r="B225" i="1"/>
  <c r="AG225" i="1" s="1"/>
  <c r="B215" i="1"/>
  <c r="AG215" i="1" s="1"/>
  <c r="F227" i="1"/>
  <c r="AB231" i="1"/>
  <c r="B234" i="1"/>
  <c r="F234" i="1" s="1"/>
  <c r="AB216" i="1"/>
  <c r="AB213" i="1" s="1"/>
  <c r="G237" i="1"/>
  <c r="D237" i="1"/>
  <c r="C245" i="1"/>
  <c r="AG250" i="1"/>
  <c r="B244" i="1"/>
  <c r="F250" i="1"/>
  <c r="D257" i="1"/>
  <c r="G257" i="1"/>
  <c r="E245" i="1"/>
  <c r="F257" i="1"/>
  <c r="D276" i="1"/>
  <c r="D275" i="1" s="1"/>
  <c r="G276" i="1"/>
  <c r="F276" i="1"/>
  <c r="E275" i="1"/>
  <c r="B283" i="1"/>
  <c r="J282" i="1"/>
  <c r="K282" i="1"/>
  <c r="E284" i="1"/>
  <c r="C307" i="1"/>
  <c r="F314" i="1"/>
  <c r="D314" i="1"/>
  <c r="D312" i="1" s="1"/>
  <c r="E312" i="1"/>
  <c r="G314" i="1"/>
  <c r="D327" i="1"/>
  <c r="G327" i="1"/>
  <c r="AB366" i="1"/>
  <c r="E367" i="1"/>
  <c r="I367" i="1"/>
  <c r="Q367" i="1"/>
  <c r="Q362" i="1"/>
  <c r="U367" i="1"/>
  <c r="Y367" i="1"/>
  <c r="AC367" i="1"/>
  <c r="F16" i="1"/>
  <c r="N363" i="1"/>
  <c r="N368" i="1"/>
  <c r="R368" i="1"/>
  <c r="Z363" i="1"/>
  <c r="Z368" i="1"/>
  <c r="AD363" i="1"/>
  <c r="AD368" i="1"/>
  <c r="O370" i="1"/>
  <c r="S370" i="1"/>
  <c r="AA370" i="1"/>
  <c r="AE370" i="1"/>
  <c r="L371" i="1"/>
  <c r="X371" i="1"/>
  <c r="I372" i="1"/>
  <c r="Q372" i="1"/>
  <c r="M373" i="1"/>
  <c r="U373" i="1"/>
  <c r="H365" i="1"/>
  <c r="H364" i="1" s="1"/>
  <c r="H360" i="1"/>
  <c r="L365" i="1"/>
  <c r="L364" i="1" s="1"/>
  <c r="L360" i="1"/>
  <c r="P365" i="1"/>
  <c r="P364" i="1" s="1"/>
  <c r="P360" i="1"/>
  <c r="T365" i="1"/>
  <c r="T360" i="1"/>
  <c r="X365" i="1"/>
  <c r="X364" i="1" s="1"/>
  <c r="AG13" i="1"/>
  <c r="E366" i="1"/>
  <c r="I366" i="1"/>
  <c r="I361" i="1"/>
  <c r="M366" i="1"/>
  <c r="M361" i="1"/>
  <c r="Q366" i="1"/>
  <c r="Q361" i="1"/>
  <c r="U366" i="1"/>
  <c r="U361" i="1"/>
  <c r="Y366" i="1"/>
  <c r="Y361" i="1"/>
  <c r="AC366" i="1"/>
  <c r="AC361" i="1"/>
  <c r="F15" i="1"/>
  <c r="J367" i="1"/>
  <c r="J362" i="1"/>
  <c r="J377" i="1" s="1"/>
  <c r="N367" i="1"/>
  <c r="R367" i="1"/>
  <c r="R362" i="1"/>
  <c r="R382" i="1" s="1"/>
  <c r="V367" i="1"/>
  <c r="V362" i="1"/>
  <c r="V382" i="1" s="1"/>
  <c r="Z367" i="1"/>
  <c r="AD367" i="1"/>
  <c r="C368" i="1"/>
  <c r="C363" i="1"/>
  <c r="G16" i="1"/>
  <c r="K368" i="1"/>
  <c r="K363" i="1"/>
  <c r="O363" i="1"/>
  <c r="O368" i="1"/>
  <c r="S363" i="1"/>
  <c r="S368" i="1"/>
  <c r="W363" i="1"/>
  <c r="W368" i="1"/>
  <c r="AA363" i="1"/>
  <c r="AA378" i="1" s="1"/>
  <c r="AA368" i="1"/>
  <c r="AE363" i="1"/>
  <c r="AE368" i="1"/>
  <c r="AG19" i="1"/>
  <c r="F21" i="1"/>
  <c r="AG28" i="1"/>
  <c r="K31" i="1"/>
  <c r="O31" i="1"/>
  <c r="S31" i="1"/>
  <c r="W31" i="1"/>
  <c r="AA31" i="1"/>
  <c r="AE31" i="1"/>
  <c r="H370" i="1"/>
  <c r="L370" i="1"/>
  <c r="P370" i="1"/>
  <c r="T370" i="1"/>
  <c r="AB370" i="1"/>
  <c r="I371" i="1"/>
  <c r="M371" i="1"/>
  <c r="Q371" i="1"/>
  <c r="U371" i="1"/>
  <c r="Y371" i="1"/>
  <c r="AC371" i="1"/>
  <c r="J372" i="1"/>
  <c r="N34" i="1"/>
  <c r="R372" i="1"/>
  <c r="V372" i="1"/>
  <c r="J373" i="1"/>
  <c r="N373" i="1"/>
  <c r="Z373" i="1"/>
  <c r="AD373" i="1"/>
  <c r="N37" i="1"/>
  <c r="Y64" i="1"/>
  <c r="Y372" i="1" s="1"/>
  <c r="E70" i="1"/>
  <c r="E86" i="1"/>
  <c r="Z87" i="1"/>
  <c r="AA88" i="1"/>
  <c r="AA82" i="1" s="1"/>
  <c r="AA79" i="1" s="1"/>
  <c r="X383" i="1"/>
  <c r="AB103" i="1"/>
  <c r="S383" i="1"/>
  <c r="F157" i="1"/>
  <c r="G159" i="1"/>
  <c r="F162" i="1"/>
  <c r="F171" i="1"/>
  <c r="AB183" i="1"/>
  <c r="AB182" i="1" s="1"/>
  <c r="B204" i="1"/>
  <c r="AD201" i="1"/>
  <c r="D215" i="1"/>
  <c r="J213" i="1"/>
  <c r="N213" i="1"/>
  <c r="R213" i="1"/>
  <c r="V213" i="1"/>
  <c r="Z213" i="1"/>
  <c r="AD213" i="1"/>
  <c r="D214" i="1"/>
  <c r="C225" i="1"/>
  <c r="AG238" i="1"/>
  <c r="B237" i="1"/>
  <c r="AG237" i="1" s="1"/>
  <c r="B214" i="1"/>
  <c r="F238" i="1"/>
  <c r="G251" i="1"/>
  <c r="C252" i="1"/>
  <c r="B252" i="1"/>
  <c r="R249" i="1"/>
  <c r="V255" i="1"/>
  <c r="C258" i="1"/>
  <c r="C255" i="1" s="1"/>
  <c r="G264" i="1"/>
  <c r="F277" i="1"/>
  <c r="D283" i="1"/>
  <c r="G283" i="1"/>
  <c r="F283" i="1"/>
  <c r="F313" i="1"/>
  <c r="X319" i="1"/>
  <c r="C325" i="1"/>
  <c r="X324" i="1"/>
  <c r="G202" i="1"/>
  <c r="G227" i="1"/>
  <c r="G250" i="1"/>
  <c r="AG264" i="1"/>
  <c r="D286" i="1"/>
  <c r="F286" i="1"/>
  <c r="G286" i="1"/>
  <c r="B294" i="1"/>
  <c r="AG294" i="1" s="1"/>
  <c r="AG297" i="1"/>
  <c r="F297" i="1"/>
  <c r="G303" i="1"/>
  <c r="J306" i="1"/>
  <c r="H308" i="1"/>
  <c r="L308" i="1"/>
  <c r="L361" i="1" s="1"/>
  <c r="B320" i="1"/>
  <c r="L318" i="1"/>
  <c r="K318" i="1"/>
  <c r="K309" i="1"/>
  <c r="K306" i="1" s="1"/>
  <c r="O318" i="1"/>
  <c r="O309" i="1"/>
  <c r="O306" i="1" s="1"/>
  <c r="AC318" i="1"/>
  <c r="AC309" i="1"/>
  <c r="AC306" i="1" s="1"/>
  <c r="Z321" i="1"/>
  <c r="Z309" i="1" s="1"/>
  <c r="Z372" i="1" s="1"/>
  <c r="C327" i="1"/>
  <c r="D350" i="1"/>
  <c r="F350" i="1"/>
  <c r="E348" i="1"/>
  <c r="G350" i="1"/>
  <c r="E344" i="1"/>
  <c r="E342" i="1" s="1"/>
  <c r="B354" i="1"/>
  <c r="AG354" i="1" s="1"/>
  <c r="B345" i="1"/>
  <c r="AG357" i="1"/>
  <c r="F357" i="1"/>
  <c r="F179" i="1"/>
  <c r="V183" i="1"/>
  <c r="V182" i="1" s="1"/>
  <c r="E188" i="1"/>
  <c r="Y188" i="1"/>
  <c r="F189" i="1"/>
  <c r="F190" i="1"/>
  <c r="F204" i="1"/>
  <c r="F209" i="1"/>
  <c r="F221" i="1"/>
  <c r="F233" i="1"/>
  <c r="F240" i="1"/>
  <c r="F256" i="1"/>
  <c r="M382" i="1"/>
  <c r="F272" i="1"/>
  <c r="B275" i="1"/>
  <c r="AG275" i="1" s="1"/>
  <c r="F279" i="1"/>
  <c r="F290" i="1"/>
  <c r="D290" i="1"/>
  <c r="D288" i="1" s="1"/>
  <c r="G290" i="1"/>
  <c r="E288" i="1"/>
  <c r="E308" i="1"/>
  <c r="D308" i="1" s="1"/>
  <c r="H318" i="1"/>
  <c r="Y306" i="1"/>
  <c r="Q318" i="1"/>
  <c r="Q309" i="1"/>
  <c r="U318" i="1"/>
  <c r="U309" i="1"/>
  <c r="U306" i="1" s="1"/>
  <c r="Y318" i="1"/>
  <c r="Y309" i="1"/>
  <c r="V310" i="1"/>
  <c r="V363" i="1" s="1"/>
  <c r="V318" i="1"/>
  <c r="C326" i="1"/>
  <c r="N320" i="1"/>
  <c r="N324" i="1"/>
  <c r="Z320" i="1"/>
  <c r="Z324" i="1"/>
  <c r="B330" i="1"/>
  <c r="AG330" i="1" s="1"/>
  <c r="AG333" i="1"/>
  <c r="F333" i="1"/>
  <c r="B343" i="1"/>
  <c r="AG349" i="1"/>
  <c r="F349" i="1"/>
  <c r="V188" i="1"/>
  <c r="E198" i="1"/>
  <c r="E207" i="1"/>
  <c r="E219" i="1"/>
  <c r="E231" i="1"/>
  <c r="B255" i="1"/>
  <c r="AG255" i="1" s="1"/>
  <c r="E258" i="1"/>
  <c r="E263" i="1"/>
  <c r="E269" i="1"/>
  <c r="F289" i="1"/>
  <c r="R288" i="1"/>
  <c r="B291" i="1"/>
  <c r="R285" i="1"/>
  <c r="B285" i="1" s="1"/>
  <c r="F294" i="1"/>
  <c r="G294" i="1"/>
  <c r="J318" i="1"/>
  <c r="I307" i="1"/>
  <c r="E319" i="1"/>
  <c r="Q306" i="1"/>
  <c r="AB308" i="1"/>
  <c r="AB371" i="1" s="1"/>
  <c r="AB318" i="1"/>
  <c r="B325" i="1"/>
  <c r="AG325" i="1" s="1"/>
  <c r="B326" i="1"/>
  <c r="F331" i="1"/>
  <c r="D332" i="1"/>
  <c r="D330" i="1" s="1"/>
  <c r="F332" i="1"/>
  <c r="F355" i="1"/>
  <c r="F356" i="1"/>
  <c r="D356" i="1"/>
  <c r="D354" i="1" s="1"/>
  <c r="R300" i="1"/>
  <c r="AG300" i="1" s="1"/>
  <c r="C303" i="1"/>
  <c r="C300" i="1" s="1"/>
  <c r="AB306" i="1"/>
  <c r="C309" i="1"/>
  <c r="C315" i="1"/>
  <c r="V312" i="1"/>
  <c r="I318" i="1"/>
  <c r="I309" i="1"/>
  <c r="I362" i="1" s="1"/>
  <c r="M318" i="1"/>
  <c r="M309" i="1"/>
  <c r="M306" i="1" s="1"/>
  <c r="AA318" i="1"/>
  <c r="AA309" i="1"/>
  <c r="AA306" i="1" s="1"/>
  <c r="AE318" i="1"/>
  <c r="AE309" i="1"/>
  <c r="AE306" i="1" s="1"/>
  <c r="D325" i="1"/>
  <c r="D324" i="1" s="1"/>
  <c r="F325" i="1"/>
  <c r="G326" i="1"/>
  <c r="B327" i="1"/>
  <c r="AG327" i="1" s="1"/>
  <c r="G332" i="1"/>
  <c r="G336" i="1"/>
  <c r="B348" i="1"/>
  <c r="AG348" i="1" s="1"/>
  <c r="F351" i="1"/>
  <c r="G356" i="1"/>
  <c r="G285" i="1"/>
  <c r="J382" i="1"/>
  <c r="C291" i="1"/>
  <c r="J288" i="1"/>
  <c r="F296" i="1"/>
  <c r="D296" i="1"/>
  <c r="D294" i="1" s="1"/>
  <c r="G300" i="1"/>
  <c r="D302" i="1"/>
  <c r="D300" i="1" s="1"/>
  <c r="F302" i="1"/>
  <c r="V306" i="1"/>
  <c r="E321" i="1"/>
  <c r="E318" i="1" s="1"/>
  <c r="S318" i="1"/>
  <c r="S309" i="1"/>
  <c r="S362" i="1" s="1"/>
  <c r="W318" i="1"/>
  <c r="W309" i="1"/>
  <c r="W306" i="1" s="1"/>
  <c r="AG322" i="1"/>
  <c r="G325" i="1"/>
  <c r="AD319" i="1"/>
  <c r="P321" i="1"/>
  <c r="P309" i="1" s="1"/>
  <c r="P362" i="1" s="1"/>
  <c r="E330" i="1"/>
  <c r="F338" i="1"/>
  <c r="D338" i="1"/>
  <c r="D336" i="1" s="1"/>
  <c r="B336" i="1"/>
  <c r="AG336" i="1" s="1"/>
  <c r="F339" i="1"/>
  <c r="AG351" i="1"/>
  <c r="E354" i="1"/>
  <c r="B312" i="1"/>
  <c r="AG312" i="1" s="1"/>
  <c r="E324" i="1"/>
  <c r="N380" i="1"/>
  <c r="P381" i="1"/>
  <c r="V383" i="1" l="1"/>
  <c r="P382" i="1"/>
  <c r="L376" i="1"/>
  <c r="L381" i="1"/>
  <c r="X377" i="1"/>
  <c r="X382" i="1"/>
  <c r="AD377" i="1"/>
  <c r="AD382" i="1"/>
  <c r="R383" i="1"/>
  <c r="G213" i="1"/>
  <c r="S382" i="1"/>
  <c r="I382" i="1"/>
  <c r="I377" i="1"/>
  <c r="C371" i="1"/>
  <c r="G291" i="1"/>
  <c r="C288" i="1"/>
  <c r="B288" i="1"/>
  <c r="AG288" i="1" s="1"/>
  <c r="F291" i="1"/>
  <c r="AG291" i="1"/>
  <c r="S306" i="1"/>
  <c r="AG320" i="1"/>
  <c r="F320" i="1"/>
  <c r="Y376" i="1"/>
  <c r="Y381" i="1"/>
  <c r="N383" i="1"/>
  <c r="N378" i="1"/>
  <c r="G367" i="1"/>
  <c r="B265" i="1"/>
  <c r="AG271" i="1"/>
  <c r="B269" i="1"/>
  <c r="AG269" i="1" s="1"/>
  <c r="V364" i="1"/>
  <c r="D141" i="1"/>
  <c r="D137" i="1"/>
  <c r="D135" i="1" s="1"/>
  <c r="AG141" i="1"/>
  <c r="Y369" i="1"/>
  <c r="Y61" i="1"/>
  <c r="F326" i="1"/>
  <c r="AG326" i="1"/>
  <c r="B324" i="1"/>
  <c r="AG324" i="1" s="1"/>
  <c r="G231" i="1"/>
  <c r="G198" i="1"/>
  <c r="N308" i="1"/>
  <c r="N318" i="1"/>
  <c r="P369" i="1"/>
  <c r="C378" i="1"/>
  <c r="Z362" i="1"/>
  <c r="AB360" i="1"/>
  <c r="O369" i="1"/>
  <c r="P306" i="1"/>
  <c r="R182" i="1"/>
  <c r="I383" i="1"/>
  <c r="I378" i="1"/>
  <c r="AB362" i="1"/>
  <c r="L377" i="1"/>
  <c r="W381" i="1"/>
  <c r="W376" i="1"/>
  <c r="O361" i="1"/>
  <c r="Z375" i="1"/>
  <c r="R360" i="1"/>
  <c r="J375" i="1"/>
  <c r="J380" i="1"/>
  <c r="J359" i="1"/>
  <c r="F141" i="1"/>
  <c r="Y383" i="1"/>
  <c r="C88" i="1"/>
  <c r="C97" i="1"/>
  <c r="G97" i="1" s="1"/>
  <c r="E81" i="1"/>
  <c r="K79" i="1"/>
  <c r="G49" i="1"/>
  <c r="F49" i="1"/>
  <c r="AD376" i="1"/>
  <c r="V376" i="1"/>
  <c r="V381" i="1"/>
  <c r="AA375" i="1"/>
  <c r="AA380" i="1"/>
  <c r="W364" i="1"/>
  <c r="K364" i="1"/>
  <c r="AE362" i="1"/>
  <c r="K362" i="1"/>
  <c r="AC380" i="1"/>
  <c r="AC375" i="1"/>
  <c r="Q364" i="1"/>
  <c r="D363" i="1"/>
  <c r="D378" i="1" s="1"/>
  <c r="E85" i="1"/>
  <c r="AA85" i="1"/>
  <c r="AG80" i="1"/>
  <c r="F80" i="1"/>
  <c r="X378" i="1"/>
  <c r="P378" i="1"/>
  <c r="P383" i="1"/>
  <c r="H378" i="1"/>
  <c r="H383" i="1"/>
  <c r="B363" i="1"/>
  <c r="T361" i="1"/>
  <c r="U380" i="1"/>
  <c r="U375" i="1"/>
  <c r="G144" i="1"/>
  <c r="C138" i="1"/>
  <c r="C135" i="1" s="1"/>
  <c r="C141" i="1"/>
  <c r="G141" i="1" s="1"/>
  <c r="E82" i="1"/>
  <c r="E373" i="1"/>
  <c r="F35" i="1"/>
  <c r="D35" i="1"/>
  <c r="D373" i="1" s="1"/>
  <c r="G35" i="1"/>
  <c r="AG139" i="1"/>
  <c r="G100" i="1"/>
  <c r="G43" i="1"/>
  <c r="AA372" i="1"/>
  <c r="AA362" i="1"/>
  <c r="Y364" i="1"/>
  <c r="B109" i="1"/>
  <c r="AG111" i="1"/>
  <c r="R81" i="1"/>
  <c r="R85" i="1"/>
  <c r="B321" i="1"/>
  <c r="AG321" i="1" s="1"/>
  <c r="F188" i="1"/>
  <c r="B309" i="1"/>
  <c r="AG309" i="1" s="1"/>
  <c r="T369" i="1"/>
  <c r="I376" i="1"/>
  <c r="I381" i="1"/>
  <c r="Z378" i="1"/>
  <c r="Y362" i="1"/>
  <c r="D284" i="1"/>
  <c r="D282" i="1" s="1"/>
  <c r="F284" i="1"/>
  <c r="G284" i="1"/>
  <c r="AG244" i="1"/>
  <c r="G73" i="1"/>
  <c r="F73" i="1"/>
  <c r="N364" i="1"/>
  <c r="G89" i="1"/>
  <c r="F89" i="1"/>
  <c r="S375" i="1"/>
  <c r="S380" i="1"/>
  <c r="S359" i="1"/>
  <c r="Q380" i="1"/>
  <c r="Q375" i="1"/>
  <c r="Q359" i="1"/>
  <c r="F37" i="1"/>
  <c r="G37" i="1"/>
  <c r="Q369" i="1"/>
  <c r="G125" i="1"/>
  <c r="C123" i="1"/>
  <c r="AH125" i="1"/>
  <c r="F100" i="1"/>
  <c r="B88" i="1"/>
  <c r="AG88" i="1" s="1"/>
  <c r="Y375" i="1"/>
  <c r="Y359" i="1"/>
  <c r="C103" i="1"/>
  <c r="G103" i="1" s="1"/>
  <c r="C87" i="1"/>
  <c r="C85" i="1" s="1"/>
  <c r="F354" i="1"/>
  <c r="G354" i="1"/>
  <c r="T306" i="1"/>
  <c r="D258" i="1"/>
  <c r="D246" i="1" s="1"/>
  <c r="G258" i="1"/>
  <c r="F258" i="1"/>
  <c r="F342" i="1"/>
  <c r="G342" i="1"/>
  <c r="D344" i="1"/>
  <c r="D342" i="1" s="1"/>
  <c r="D348" i="1"/>
  <c r="B249" i="1"/>
  <c r="AG252" i="1"/>
  <c r="B246" i="1"/>
  <c r="AG246" i="1" s="1"/>
  <c r="X182" i="1"/>
  <c r="Z81" i="1"/>
  <c r="Z85" i="1"/>
  <c r="V373" i="1"/>
  <c r="V378" i="1" s="1"/>
  <c r="W383" i="1"/>
  <c r="W378" i="1"/>
  <c r="L380" i="1"/>
  <c r="L375" i="1"/>
  <c r="L359" i="1"/>
  <c r="F327" i="1"/>
  <c r="AG234" i="1"/>
  <c r="B231" i="1"/>
  <c r="AG231" i="1" s="1"/>
  <c r="D198" i="1"/>
  <c r="D195" i="1" s="1"/>
  <c r="D148" i="1"/>
  <c r="D138" i="1"/>
  <c r="P372" i="1"/>
  <c r="P377" i="1" s="1"/>
  <c r="Q383" i="1"/>
  <c r="Q378" i="1"/>
  <c r="AE381" i="1"/>
  <c r="AE376" i="1"/>
  <c r="AD318" i="1"/>
  <c r="AD307" i="1"/>
  <c r="Z380" i="1"/>
  <c r="G315" i="1"/>
  <c r="C312" i="1"/>
  <c r="L306" i="1"/>
  <c r="D319" i="1"/>
  <c r="G319" i="1"/>
  <c r="G219" i="1"/>
  <c r="F219" i="1"/>
  <c r="Y380" i="1"/>
  <c r="B342" i="1"/>
  <c r="AG342" i="1" s="1"/>
  <c r="AG343" i="1"/>
  <c r="C324" i="1"/>
  <c r="F271" i="1"/>
  <c r="F252" i="1"/>
  <c r="C308" i="1"/>
  <c r="B319" i="1"/>
  <c r="AG319" i="1" s="1"/>
  <c r="X307" i="1"/>
  <c r="C246" i="1"/>
  <c r="C243" i="1" s="1"/>
  <c r="AG214" i="1"/>
  <c r="D213" i="1"/>
  <c r="G86" i="1"/>
  <c r="F86" i="1"/>
  <c r="R373" i="1"/>
  <c r="R378" i="1" s="1"/>
  <c r="AB369" i="1"/>
  <c r="L369" i="1"/>
  <c r="K383" i="1"/>
  <c r="K378" i="1"/>
  <c r="AC376" i="1"/>
  <c r="AC381" i="1"/>
  <c r="U376" i="1"/>
  <c r="U381" i="1"/>
  <c r="M376" i="1"/>
  <c r="M381" i="1"/>
  <c r="AB365" i="1"/>
  <c r="AB364" i="1" s="1"/>
  <c r="T364" i="1"/>
  <c r="AE369" i="1"/>
  <c r="C370" i="1"/>
  <c r="AD383" i="1"/>
  <c r="AD378" i="1"/>
  <c r="AC362" i="1"/>
  <c r="AB361" i="1"/>
  <c r="F312" i="1"/>
  <c r="G312" i="1"/>
  <c r="H306" i="1"/>
  <c r="R282" i="1"/>
  <c r="G252" i="1"/>
  <c r="F237" i="1"/>
  <c r="B183" i="1"/>
  <c r="AG189" i="1"/>
  <c r="U372" i="1"/>
  <c r="U369" i="1" s="1"/>
  <c r="AG368" i="1"/>
  <c r="AG272" i="1"/>
  <c r="B266" i="1"/>
  <c r="G148" i="1"/>
  <c r="F148" i="1"/>
  <c r="G123" i="1"/>
  <c r="AB372" i="1"/>
  <c r="G18" i="1"/>
  <c r="F18" i="1"/>
  <c r="Z364" i="1"/>
  <c r="R365" i="1"/>
  <c r="R364" i="1" s="1"/>
  <c r="J364" i="1"/>
  <c r="F137" i="1"/>
  <c r="E135" i="1"/>
  <c r="G137" i="1"/>
  <c r="AE375" i="1"/>
  <c r="AE380" i="1"/>
  <c r="AE359" i="1"/>
  <c r="AE374" i="1" s="1"/>
  <c r="AA364" i="1"/>
  <c r="O375" i="1"/>
  <c r="O380" i="1"/>
  <c r="O359" i="1"/>
  <c r="K375" i="1"/>
  <c r="K380" i="1"/>
  <c r="AC364" i="1"/>
  <c r="D368" i="1"/>
  <c r="G105" i="1"/>
  <c r="V85" i="1"/>
  <c r="G62" i="1"/>
  <c r="F62" i="1"/>
  <c r="F63" i="1"/>
  <c r="D37" i="1"/>
  <c r="O362" i="1"/>
  <c r="H361" i="1"/>
  <c r="U364" i="1"/>
  <c r="L382" i="1"/>
  <c r="V79" i="1"/>
  <c r="F46" i="1"/>
  <c r="AG46" i="1"/>
  <c r="B43" i="1"/>
  <c r="AG43" i="1" s="1"/>
  <c r="AG170" i="1"/>
  <c r="W372" i="1"/>
  <c r="W369" i="1" s="1"/>
  <c r="D13" i="1"/>
  <c r="D18" i="1"/>
  <c r="F24" i="1"/>
  <c r="G263" i="1"/>
  <c r="G207" i="1"/>
  <c r="F207" i="1"/>
  <c r="Q376" i="1"/>
  <c r="Q381" i="1"/>
  <c r="Q382" i="1"/>
  <c r="Q377" i="1"/>
  <c r="P318" i="1"/>
  <c r="AG283" i="1"/>
  <c r="B282" i="1"/>
  <c r="AG282" i="1" s="1"/>
  <c r="G216" i="1"/>
  <c r="J383" i="1"/>
  <c r="J378" i="1"/>
  <c r="G225" i="1"/>
  <c r="F225" i="1"/>
  <c r="G88" i="1"/>
  <c r="F88" i="1"/>
  <c r="V369" i="1"/>
  <c r="G368" i="1"/>
  <c r="F368" i="1"/>
  <c r="AD364" i="1"/>
  <c r="B97" i="1"/>
  <c r="AG100" i="1"/>
  <c r="W375" i="1"/>
  <c r="W380" i="1"/>
  <c r="E365" i="1"/>
  <c r="F13" i="1"/>
  <c r="E12" i="1"/>
  <c r="G13" i="1"/>
  <c r="I369" i="1"/>
  <c r="M364" i="1"/>
  <c r="F336" i="1"/>
  <c r="B310" i="1"/>
  <c r="E282" i="1"/>
  <c r="N372" i="1"/>
  <c r="B34" i="1"/>
  <c r="C34" i="1"/>
  <c r="AE383" i="1"/>
  <c r="AE378" i="1"/>
  <c r="O383" i="1"/>
  <c r="O378" i="1"/>
  <c r="R377" i="1"/>
  <c r="T380" i="1"/>
  <c r="T375" i="1"/>
  <c r="T359" i="1"/>
  <c r="T374" i="1" s="1"/>
  <c r="G275" i="1"/>
  <c r="F275" i="1"/>
  <c r="D255" i="1"/>
  <c r="D245" i="1"/>
  <c r="D243" i="1" s="1"/>
  <c r="G185" i="1"/>
  <c r="B188" i="1"/>
  <c r="AG188" i="1" s="1"/>
  <c r="B184" i="1"/>
  <c r="AG190" i="1"/>
  <c r="T382" i="1"/>
  <c r="T377" i="1"/>
  <c r="D321" i="1"/>
  <c r="D318" i="1" s="1"/>
  <c r="F321" i="1"/>
  <c r="G321" i="1"/>
  <c r="G324" i="1"/>
  <c r="F324" i="1"/>
  <c r="F330" i="1"/>
  <c r="G330" i="1"/>
  <c r="E309" i="1"/>
  <c r="E307" i="1"/>
  <c r="I306" i="1"/>
  <c r="F285" i="1"/>
  <c r="AG285" i="1"/>
  <c r="G269" i="1"/>
  <c r="F269" i="1"/>
  <c r="E246" i="1"/>
  <c r="B216" i="1"/>
  <c r="AG216" i="1" s="1"/>
  <c r="Z308" i="1"/>
  <c r="Z306" i="1" s="1"/>
  <c r="Z318" i="1"/>
  <c r="F288" i="1"/>
  <c r="G288" i="1"/>
  <c r="E182" i="1"/>
  <c r="AG345" i="1"/>
  <c r="F345" i="1"/>
  <c r="F348" i="1"/>
  <c r="G348" i="1"/>
  <c r="C320" i="1"/>
  <c r="AG204" i="1"/>
  <c r="B201" i="1"/>
  <c r="B198" i="1"/>
  <c r="AG198" i="1" s="1"/>
  <c r="E64" i="1"/>
  <c r="D70" i="1"/>
  <c r="E67" i="1"/>
  <c r="G70" i="1"/>
  <c r="F70" i="1"/>
  <c r="H369" i="1"/>
  <c r="S378" i="1"/>
  <c r="V377" i="1"/>
  <c r="N362" i="1"/>
  <c r="P380" i="1"/>
  <c r="P375" i="1"/>
  <c r="P359" i="1"/>
  <c r="P374" i="1" s="1"/>
  <c r="H380" i="1"/>
  <c r="H375" i="1"/>
  <c r="H359" i="1"/>
  <c r="AC372" i="1"/>
  <c r="AC369" i="1" s="1"/>
  <c r="AA369" i="1"/>
  <c r="U362" i="1"/>
  <c r="C306" i="1"/>
  <c r="E255" i="1"/>
  <c r="C183" i="1"/>
  <c r="D189" i="1"/>
  <c r="D183" i="1" s="1"/>
  <c r="M372" i="1"/>
  <c r="M377" i="1" s="1"/>
  <c r="K369" i="1"/>
  <c r="AD263" i="1"/>
  <c r="AG196" i="1"/>
  <c r="E195" i="1"/>
  <c r="C184" i="1"/>
  <c r="D190" i="1"/>
  <c r="C188" i="1"/>
  <c r="G188" i="1" s="1"/>
  <c r="F138" i="1"/>
  <c r="D115" i="1"/>
  <c r="D86" i="1"/>
  <c r="Z383" i="1"/>
  <c r="J369" i="1"/>
  <c r="AC383" i="1"/>
  <c r="AC378" i="1"/>
  <c r="U383" i="1"/>
  <c r="U378" i="1"/>
  <c r="M383" i="1"/>
  <c r="M378" i="1"/>
  <c r="E363" i="1"/>
  <c r="H382" i="1"/>
  <c r="H377" i="1"/>
  <c r="AA381" i="1"/>
  <c r="AA376" i="1"/>
  <c r="S381" i="1"/>
  <c r="S376" i="1"/>
  <c r="K361" i="1"/>
  <c r="K359" i="1" s="1"/>
  <c r="K374" i="1" s="1"/>
  <c r="V360" i="1"/>
  <c r="N375" i="1"/>
  <c r="C249" i="1"/>
  <c r="G249" i="1" s="1"/>
  <c r="AG191" i="1"/>
  <c r="B185" i="1"/>
  <c r="F185" i="1" s="1"/>
  <c r="AG105" i="1"/>
  <c r="B87" i="1"/>
  <c r="B103" i="1"/>
  <c r="AG103" i="1" s="1"/>
  <c r="J376" i="1"/>
  <c r="AE364" i="1"/>
  <c r="S364" i="1"/>
  <c r="O364" i="1"/>
  <c r="W362" i="1"/>
  <c r="W359" i="1" s="1"/>
  <c r="I360" i="1"/>
  <c r="D367" i="1"/>
  <c r="B135" i="1"/>
  <c r="AG135" i="1" s="1"/>
  <c r="D109" i="1"/>
  <c r="D103" i="1"/>
  <c r="D87" i="1"/>
  <c r="F34" i="1"/>
  <c r="D34" i="1"/>
  <c r="G34" i="1"/>
  <c r="AB378" i="1"/>
  <c r="AB383" i="1"/>
  <c r="T378" i="1"/>
  <c r="T383" i="1"/>
  <c r="L378" i="1"/>
  <c r="L383" i="1"/>
  <c r="AG144" i="1"/>
  <c r="F144" i="1"/>
  <c r="B138" i="1"/>
  <c r="AG138" i="1" s="1"/>
  <c r="G80" i="1"/>
  <c r="E31" i="1"/>
  <c r="E370" i="1"/>
  <c r="F125" i="1"/>
  <c r="B123" i="1"/>
  <c r="AG123" i="1" s="1"/>
  <c r="AG125" i="1"/>
  <c r="S372" i="1"/>
  <c r="S369" i="1" s="1"/>
  <c r="M380" i="1"/>
  <c r="M375" i="1"/>
  <c r="M359" i="1"/>
  <c r="AG129" i="1"/>
  <c r="F129" i="1"/>
  <c r="AE372" i="1"/>
  <c r="W374" i="1" l="1"/>
  <c r="D64" i="1"/>
  <c r="D67" i="1"/>
  <c r="M369" i="1"/>
  <c r="O374" i="1"/>
  <c r="AC382" i="1"/>
  <c r="AC377" i="1"/>
  <c r="X306" i="1"/>
  <c r="X360" i="1"/>
  <c r="X370" i="1"/>
  <c r="X369" i="1" s="1"/>
  <c r="B307" i="1"/>
  <c r="AG249" i="1"/>
  <c r="F249" i="1"/>
  <c r="AA377" i="1"/>
  <c r="AA382" i="1"/>
  <c r="R375" i="1"/>
  <c r="R380" i="1"/>
  <c r="F31" i="1"/>
  <c r="D85" i="1"/>
  <c r="I380" i="1"/>
  <c r="I375" i="1"/>
  <c r="I359" i="1"/>
  <c r="I374" i="1" s="1"/>
  <c r="AG87" i="1"/>
  <c r="B85" i="1"/>
  <c r="AG85" i="1" s="1"/>
  <c r="V375" i="1"/>
  <c r="V359" i="1"/>
  <c r="V374" i="1" s="1"/>
  <c r="V380" i="1"/>
  <c r="E378" i="1"/>
  <c r="G363" i="1"/>
  <c r="G383" i="1" s="1"/>
  <c r="F363" i="1"/>
  <c r="F383" i="1" s="1"/>
  <c r="E383" i="1"/>
  <c r="D184" i="1"/>
  <c r="D366" i="1" s="1"/>
  <c r="D188" i="1"/>
  <c r="B195" i="1"/>
  <c r="AG195" i="1" s="1"/>
  <c r="U377" i="1"/>
  <c r="U382" i="1"/>
  <c r="H374" i="1"/>
  <c r="N377" i="1"/>
  <c r="N382" i="1"/>
  <c r="G64" i="1"/>
  <c r="F64" i="1"/>
  <c r="E362" i="1"/>
  <c r="G246" i="1"/>
  <c r="F246" i="1"/>
  <c r="E243" i="1"/>
  <c r="B308" i="1"/>
  <c r="AG308" i="1" s="1"/>
  <c r="B372" i="1"/>
  <c r="AG372" i="1" s="1"/>
  <c r="AG34" i="1"/>
  <c r="B31" i="1"/>
  <c r="AG31" i="1" s="1"/>
  <c r="B362" i="1"/>
  <c r="G12" i="1"/>
  <c r="F12" i="1"/>
  <c r="AG97" i="1"/>
  <c r="F97" i="1"/>
  <c r="F216" i="1"/>
  <c r="D31" i="1"/>
  <c r="H376" i="1"/>
  <c r="H381" i="1"/>
  <c r="E61" i="1"/>
  <c r="G135" i="1"/>
  <c r="F135" i="1"/>
  <c r="F319" i="1"/>
  <c r="L374" i="1"/>
  <c r="Y374" i="1"/>
  <c r="B243" i="1"/>
  <c r="AG243" i="1" s="1"/>
  <c r="Y377" i="1"/>
  <c r="Y382" i="1"/>
  <c r="G373" i="1"/>
  <c r="G85" i="1"/>
  <c r="F85" i="1"/>
  <c r="D383" i="1"/>
  <c r="J374" i="1"/>
  <c r="AB375" i="1"/>
  <c r="AB359" i="1"/>
  <c r="AB374" i="1" s="1"/>
  <c r="AB380" i="1"/>
  <c r="F231" i="1"/>
  <c r="B263" i="1"/>
  <c r="AG265" i="1"/>
  <c r="F265" i="1"/>
  <c r="S377" i="1"/>
  <c r="G309" i="1"/>
  <c r="F309" i="1"/>
  <c r="D309" i="1"/>
  <c r="AG184" i="1"/>
  <c r="F184" i="1"/>
  <c r="B366" i="1"/>
  <c r="AG310" i="1"/>
  <c r="B373" i="1"/>
  <c r="AG373" i="1" s="1"/>
  <c r="D365" i="1"/>
  <c r="D364" i="1" s="1"/>
  <c r="D12" i="1"/>
  <c r="C182" i="1"/>
  <c r="G183" i="1"/>
  <c r="C365" i="1"/>
  <c r="C364" i="1" s="1"/>
  <c r="C318" i="1"/>
  <c r="G318" i="1" s="1"/>
  <c r="G320" i="1"/>
  <c r="O382" i="1"/>
  <c r="O377" i="1"/>
  <c r="F123" i="1"/>
  <c r="AG266" i="1"/>
  <c r="F266" i="1"/>
  <c r="B213" i="1"/>
  <c r="AD306" i="1"/>
  <c r="AD360" i="1"/>
  <c r="AD370" i="1"/>
  <c r="AD369" i="1" s="1"/>
  <c r="AG109" i="1"/>
  <c r="F109" i="1"/>
  <c r="F43" i="1"/>
  <c r="G82" i="1"/>
  <c r="F82" i="1"/>
  <c r="D82" i="1"/>
  <c r="D372" i="1" s="1"/>
  <c r="C360" i="1"/>
  <c r="T376" i="1"/>
  <c r="T381" i="1"/>
  <c r="G87" i="1"/>
  <c r="K382" i="1"/>
  <c r="K377" i="1"/>
  <c r="AA359" i="1"/>
  <c r="AA374" i="1" s="1"/>
  <c r="Z377" i="1"/>
  <c r="Z382" i="1"/>
  <c r="N306" i="1"/>
  <c r="N361" i="1"/>
  <c r="N371" i="1"/>
  <c r="N369" i="1" s="1"/>
  <c r="F103" i="1"/>
  <c r="B318" i="1"/>
  <c r="M374" i="1"/>
  <c r="G370" i="1"/>
  <c r="C372" i="1"/>
  <c r="C369" i="1" s="1"/>
  <c r="C362" i="1"/>
  <c r="C31" i="1"/>
  <c r="G31" i="1" s="1"/>
  <c r="E364" i="1"/>
  <c r="B182" i="1"/>
  <c r="AG182" i="1" s="1"/>
  <c r="AG183" i="1"/>
  <c r="B365" i="1"/>
  <c r="F365" i="1" s="1"/>
  <c r="F183" i="1"/>
  <c r="Z79" i="1"/>
  <c r="Z361" i="1"/>
  <c r="Z371" i="1"/>
  <c r="Z369" i="1" s="1"/>
  <c r="Q374" i="1"/>
  <c r="B81" i="1"/>
  <c r="R361" i="1"/>
  <c r="R371" i="1"/>
  <c r="R369" i="1" s="1"/>
  <c r="R79" i="1"/>
  <c r="W382" i="1"/>
  <c r="W377" i="1"/>
  <c r="B360" i="1"/>
  <c r="K381" i="1"/>
  <c r="K376" i="1"/>
  <c r="C366" i="1"/>
  <c r="G366" i="1" s="1"/>
  <c r="G184" i="1"/>
  <c r="C361" i="1"/>
  <c r="E372" i="1"/>
  <c r="AG185" i="1"/>
  <c r="B367" i="1"/>
  <c r="G138" i="1"/>
  <c r="F195" i="1"/>
  <c r="G195" i="1"/>
  <c r="F255" i="1"/>
  <c r="G255" i="1"/>
  <c r="F67" i="1"/>
  <c r="G67" i="1"/>
  <c r="AG201" i="1"/>
  <c r="F201" i="1"/>
  <c r="F182" i="1"/>
  <c r="G182" i="1"/>
  <c r="D307" i="1"/>
  <c r="E306" i="1"/>
  <c r="G282" i="1"/>
  <c r="F282" i="1"/>
  <c r="E360" i="1"/>
  <c r="AB376" i="1"/>
  <c r="AB381" i="1"/>
  <c r="S374" i="1"/>
  <c r="U359" i="1"/>
  <c r="U374" i="1" s="1"/>
  <c r="B378" i="1"/>
  <c r="AG378" i="1" s="1"/>
  <c r="AG363" i="1"/>
  <c r="B383" i="1"/>
  <c r="F87" i="1"/>
  <c r="AC359" i="1"/>
  <c r="AC374" i="1" s="1"/>
  <c r="AE382" i="1"/>
  <c r="AE377" i="1"/>
  <c r="D81" i="1"/>
  <c r="G81" i="1"/>
  <c r="E79" i="1"/>
  <c r="E361" i="1"/>
  <c r="E371" i="1"/>
  <c r="E369" i="1" s="1"/>
  <c r="O381" i="1"/>
  <c r="O376" i="1"/>
  <c r="AB377" i="1"/>
  <c r="AB382" i="1"/>
  <c r="F198" i="1"/>
  <c r="G369" i="1" l="1"/>
  <c r="D306" i="1"/>
  <c r="D370" i="1"/>
  <c r="D369" i="1" s="1"/>
  <c r="AG367" i="1"/>
  <c r="F367" i="1"/>
  <c r="AG213" i="1"/>
  <c r="F213" i="1"/>
  <c r="AG366" i="1"/>
  <c r="F366" i="1"/>
  <c r="R376" i="1"/>
  <c r="R381" i="1"/>
  <c r="Z376" i="1"/>
  <c r="Z381" i="1"/>
  <c r="Z359" i="1"/>
  <c r="Z374" i="1" s="1"/>
  <c r="AG318" i="1"/>
  <c r="F318" i="1"/>
  <c r="AG263" i="1"/>
  <c r="F263" i="1"/>
  <c r="B306" i="1"/>
  <c r="AG306" i="1" s="1"/>
  <c r="AG307" i="1"/>
  <c r="B370" i="1"/>
  <c r="B375" i="1" s="1"/>
  <c r="AG375" i="1" s="1"/>
  <c r="AG360" i="1"/>
  <c r="B380" i="1"/>
  <c r="AG365" i="1"/>
  <c r="B364" i="1"/>
  <c r="AG364" i="1" s="1"/>
  <c r="N376" i="1"/>
  <c r="N381" i="1"/>
  <c r="N359" i="1"/>
  <c r="N374" i="1" s="1"/>
  <c r="D360" i="1"/>
  <c r="G372" i="1"/>
  <c r="F372" i="1"/>
  <c r="C375" i="1"/>
  <c r="C359" i="1"/>
  <c r="C374" i="1" s="1"/>
  <c r="C380" i="1"/>
  <c r="AD375" i="1"/>
  <c r="AD359" i="1"/>
  <c r="AD374" i="1" s="1"/>
  <c r="AD380" i="1"/>
  <c r="F373" i="1"/>
  <c r="B377" i="1"/>
  <c r="AG377" i="1" s="1"/>
  <c r="AG362" i="1"/>
  <c r="B382" i="1"/>
  <c r="E377" i="1"/>
  <c r="F362" i="1"/>
  <c r="F382" i="1" s="1"/>
  <c r="G362" i="1"/>
  <c r="G382" i="1" s="1"/>
  <c r="E382" i="1"/>
  <c r="D182" i="1"/>
  <c r="G79" i="1"/>
  <c r="E375" i="1"/>
  <c r="F360" i="1"/>
  <c r="F380" i="1" s="1"/>
  <c r="E359" i="1"/>
  <c r="G360" i="1"/>
  <c r="G380" i="1" s="1"/>
  <c r="E380" i="1"/>
  <c r="G364" i="1"/>
  <c r="F61" i="1"/>
  <c r="G61" i="1"/>
  <c r="G371" i="1"/>
  <c r="F371" i="1"/>
  <c r="D371" i="1"/>
  <c r="D79" i="1"/>
  <c r="D361" i="1"/>
  <c r="AG81" i="1"/>
  <c r="B371" i="1"/>
  <c r="AG371" i="1" s="1"/>
  <c r="B79" i="1"/>
  <c r="AG79" i="1" s="1"/>
  <c r="B361" i="1"/>
  <c r="E376" i="1"/>
  <c r="G361" i="1"/>
  <c r="G381" i="1" s="1"/>
  <c r="F361" i="1"/>
  <c r="F381" i="1" s="1"/>
  <c r="E381" i="1"/>
  <c r="F81" i="1"/>
  <c r="G306" i="1"/>
  <c r="C376" i="1"/>
  <c r="C381" i="1"/>
  <c r="G365" i="1"/>
  <c r="C377" i="1"/>
  <c r="C382" i="1"/>
  <c r="F243" i="1"/>
  <c r="G243" i="1"/>
  <c r="R359" i="1"/>
  <c r="R374" i="1" s="1"/>
  <c r="X375" i="1"/>
  <c r="X359" i="1"/>
  <c r="X374" i="1" s="1"/>
  <c r="X380" i="1"/>
  <c r="D362" i="1"/>
  <c r="D61" i="1"/>
  <c r="F306" i="1" l="1"/>
  <c r="F79" i="1"/>
  <c r="D375" i="1"/>
  <c r="D359" i="1"/>
  <c r="D374" i="1" s="1"/>
  <c r="D380" i="1"/>
  <c r="F364" i="1"/>
  <c r="E374" i="1"/>
  <c r="G359" i="1"/>
  <c r="B369" i="1"/>
  <c r="AG370" i="1"/>
  <c r="F370" i="1"/>
  <c r="D377" i="1"/>
  <c r="D382" i="1"/>
  <c r="B376" i="1"/>
  <c r="AG376" i="1" s="1"/>
  <c r="AG361" i="1"/>
  <c r="B381" i="1"/>
  <c r="D376" i="1"/>
  <c r="D381" i="1"/>
  <c r="B359" i="1"/>
  <c r="AG369" i="1" l="1"/>
  <c r="F369" i="1"/>
  <c r="B374" i="1"/>
  <c r="AG374" i="1" s="1"/>
  <c r="AG359" i="1"/>
  <c r="F359" i="1"/>
</calcChain>
</file>

<file path=xl/comments1.xml><?xml version="1.0" encoding="utf-8"?>
<comments xmlns="http://schemas.openxmlformats.org/spreadsheetml/2006/main">
  <authors>
    <author>Автор</author>
  </authors>
  <commentList>
    <comment ref="AD37" authorId="0" shapeId="0">
      <text>
        <r>
          <rPr>
            <b/>
            <sz val="9"/>
            <color indexed="81"/>
            <rFont val="Tahoma"/>
            <family val="2"/>
            <charset val="204"/>
          </rPr>
          <t>Автор:</t>
        </r>
        <r>
          <rPr>
            <sz val="9"/>
            <color indexed="81"/>
            <rFont val="Tahoma"/>
            <family val="2"/>
            <charset val="204"/>
          </rPr>
          <t xml:space="preserve">
АЭС Бюджет:             358 057,25
Уточнить</t>
        </r>
      </text>
    </comment>
    <comment ref="AD141" authorId="0" shapeId="0">
      <text>
        <r>
          <rPr>
            <b/>
            <sz val="9"/>
            <color indexed="81"/>
            <rFont val="Tahoma"/>
            <family val="2"/>
            <charset val="204"/>
          </rPr>
          <t>Автор:</t>
        </r>
        <r>
          <rPr>
            <sz val="9"/>
            <color indexed="81"/>
            <rFont val="Tahoma"/>
            <family val="2"/>
            <charset val="204"/>
          </rPr>
          <t xml:space="preserve">
26 724 077,50
Уточнить</t>
        </r>
      </text>
    </comment>
    <comment ref="AD338" authorId="0" shapeId="0">
      <text>
        <r>
          <rPr>
            <b/>
            <sz val="9"/>
            <color indexed="81"/>
            <rFont val="Tahoma"/>
            <family val="2"/>
            <charset val="204"/>
          </rPr>
          <t>Автор:</t>
        </r>
        <r>
          <rPr>
            <sz val="9"/>
            <color indexed="81"/>
            <rFont val="Tahoma"/>
            <family val="2"/>
            <charset val="204"/>
          </rPr>
          <t xml:space="preserve">
9989,81</t>
        </r>
      </text>
    </comment>
  </commentList>
</comments>
</file>

<file path=xl/sharedStrings.xml><?xml version="1.0" encoding="utf-8"?>
<sst xmlns="http://schemas.openxmlformats.org/spreadsheetml/2006/main" count="425" uniqueCount="106">
  <si>
    <t>Комплексный план (сетевой график) по реализации муниципальной программы  "Развитие образования в городе Когалыме"</t>
  </si>
  <si>
    <t>Основные мероприятия программы</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</si>
  <si>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</si>
  <si>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</si>
  <si>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</si>
  <si>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</si>
  <si>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</si>
  <si>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</si>
  <si>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</si>
  <si>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</si>
  <si>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</si>
  <si>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</si>
  <si>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</si>
  <si>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</si>
  <si>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</si>
  <si>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</si>
  <si>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</si>
  <si>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</si>
  <si>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</si>
  <si>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текущему году</t>
  </si>
  <si>
    <t>на отчетную дату</t>
  </si>
  <si>
    <t xml:space="preserve">план </t>
  </si>
  <si>
    <t>факт</t>
  </si>
  <si>
    <t>план</t>
  </si>
  <si>
    <t>Подпрограмма 1. "Общее образование. Дополнительное образование"</t>
  </si>
  <si>
    <t>Проектная часть</t>
  </si>
  <si>
    <t>П.1.1. Портфель проектов «Образование», региональный проект «Успех каждого ребенка» (III, IV, V)</t>
  </si>
  <si>
    <t>Всего</t>
  </si>
  <si>
    <t>федеральный бюджет</t>
  </si>
  <si>
    <t>бюджет автономного округа</t>
  </si>
  <si>
    <t>бюджет города Когалыма</t>
  </si>
  <si>
    <t>привлеченные средства</t>
  </si>
  <si>
    <t>П.1.1.1. Развитие системы выявления, поддержки, сопровождения и стимулирования одаренных детей в различных сферах деятельности (03 01 11,12)</t>
  </si>
  <si>
    <t xml:space="preserve">П.1.2. Портфель проектов «Образование», региональный проект «Цифровая образовательная среда» (VII, VIII, IX, X)
</t>
  </si>
  <si>
    <t>Процессная часть</t>
  </si>
  <si>
    <t>1.1. Развитие системы дошкольного и общего образования (1, 2, 3)</t>
  </si>
  <si>
    <t>1.1.1. Развитие системы выявления, поддержки, сопровождения и стимулирования одаренных 
детей в различных сферах деятельности 03 01 32</t>
  </si>
  <si>
    <t>1.1.2. 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</si>
  <si>
    <t>1.1.3. Создание условий для распространения лучших практик и деятельности немуниципальных (коммерческих, некоммерческих) организаций по предоставлению услуг в сфере образования</t>
  </si>
  <si>
    <t xml:space="preserve">1.1.4.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</si>
  <si>
    <t>1.2. Развитие системы дополнительного образования детей (III, VI, 
11, 12, 13)</t>
  </si>
  <si>
    <t>1.2.1. Развитие системы 
доступного дополнительного образования в соответствии с индивидуальными запросами населения, оснащение материально технической базы образовательных организаций</t>
  </si>
  <si>
    <t>Низкое исполнение в связи с ликвидацией МАУ ДО "ДДТ" с 01.08.2024</t>
  </si>
  <si>
    <t>1.2.2. Персонифицированное 
финансирование 
дополнительного 
образования детей</t>
  </si>
  <si>
    <t>1.3. Обеспечение реализации 
общеобразовательных программ в образовательных организациях, расположенных на территории города Когалыма (I, II, 4, 12)</t>
  </si>
  <si>
    <t>1.3. Обеспечение доступности качественного общего образования в соответствии с современными требованиями, оснащение материально-технической базы образовательных организаций</t>
  </si>
  <si>
    <t xml:space="preserve">1.3.1.1. Иной межбюджетный трансферт, имеющий целевое назначение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(03 01 59)
</t>
  </si>
  <si>
    <t>1.3.1.2. Реализация полномочий органов местного самоуправления в сфере 
общего образования (51,52</t>
  </si>
  <si>
    <t>1.3.1.3.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 Мансийского автономного округа - Югры отдельных государственных полномочий в области образования в рамках основного мероприятия "Обеспечение реализации основных и дополнительных общеобразовательных программ в образовательных организациях, расположенных на территории Ханты Мансийского автономного округа – Югры" подпрограммы "Общее образование. Дополнительное образование детей" государственной программы "Развитие образования" * (53,54,55)</t>
  </si>
  <si>
    <t xml:space="preserve">Финансирование ШКОЛЫ + д.САДЫ.    Экономия плановых ассигнований складывается,из за перечисления средств по заключенным соглашениям и фактической потребности учреждений. </t>
  </si>
  <si>
    <t>1.3.1.4.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  (сады и уо) (020105)</t>
  </si>
  <si>
    <t>п.п.1.3.1.5. Обеспечение доступности качественного общего образования в соответствии с современными требованиями, оснащение МТБ образовательных организаций (п.п.1.3.1.5.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t>
  </si>
  <si>
    <t>1.3.2. Субсидии частным организациям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t>
  </si>
  <si>
    <t>В рамках данного мероприятия предусмотрена компенсация затрат, связанных с выплатой заработной платы, налогов и приобретение оборудования для реализации образовательных программ Частный ДС "Академия детства" и АНО "Город детства". Согласно фактически предоставленных документов.</t>
  </si>
  <si>
    <t xml:space="preserve">1.3.3.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(Субвенция ОБ)
</t>
  </si>
  <si>
    <t xml:space="preserve">1.4. Организация отдыха и оздоровления детей (10, 11, 12)
</t>
  </si>
  <si>
    <t>1.4.1.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 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 (03 01 61,62,63,64,65,69)</t>
  </si>
  <si>
    <t xml:space="preserve">Организация отдыха и оздоровления детей.   ОБ оплата питания в пришкольных лагерях, ОБ приобретение путевок,  МБ  - софинансирование питание. Перечисление средств происходит согласно, фактической потребности.
</t>
  </si>
  <si>
    <t>бюджет города Когалыма - софинансирование</t>
  </si>
  <si>
    <t>1.4.2. Организации культурно досуговой деятельности и совершенствование условий 
для развития сферы молодёжного отдыха, 
массовых видов спорта и туризма, обеспечивающих разумное и полезное 
проведение детьми свободного времени, их 
духовно-нравственное развитие (66,67,68)</t>
  </si>
  <si>
    <t>Подпрограмма 2. "Система оценки качества образования и информационная прозрачность системы образования города Когалыма"</t>
  </si>
  <si>
    <t>2.1. Развитие системы оценки качества образования, включающей оценку результатов деятельности по реализации 
федерального государственного образовательного стандарта и учет динамики 
достижений каждого обучающегося (1, 2, 3)</t>
  </si>
  <si>
    <t>2.1.1. Организация и проведение 
государственной итоговой аттестации</t>
  </si>
  <si>
    <t>Подпрограмма 3. "Молодёжь города Когалыма"</t>
  </si>
  <si>
    <t>П.3.1. Портфель проектов «Образование», региональный проект «Социальная активность» (показатель VI)</t>
  </si>
  <si>
    <t>П.3.1.1. Организация мероприятий в рамках реализации регионального проекта 
«Социальная активность»</t>
  </si>
  <si>
    <t xml:space="preserve">П.3.2. Портфель проектов «Образование», региональный проект «Патриотическое 
воспитание граждан Российской Федерации» 
(показатель 5, 6)
</t>
  </si>
  <si>
    <t>П.3.2.1. Проведение мероприятий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t>
  </si>
  <si>
    <t xml:space="preserve">ПРИЧИНЫ ОТКЛОНЕНИЙ НЕОБХОДИМО ПРОПИСАТЬ (Неисполнение в связи с изменением порядка финансирования МБТ и перечислением средств  по фактической потребности)       
20,31 тыс. рублей (ФБ)
31,70 тыс. рублей (ОБ)
0,54 тыс. рублей (МБ) </t>
  </si>
  <si>
    <t>3.1. Создание условий для развития духовно-нравственных и гражданско,- военно -патриотических качеств детей и молодежи ( 5, 6, 7)</t>
  </si>
  <si>
    <t>3.1.1. Организация мероприятий 
по развитию духовно -нравственных и 
гражданско-патриотических качеств (03 01 82,81)
молодёжи и детей</t>
  </si>
  <si>
    <t xml:space="preserve">3.1.2. Организация и проведение городского конкурса среди общеобразовательных организаций на лучшую подготовку граждан РФ к военной службе (03 01 83)
</t>
  </si>
  <si>
    <t>3.2. Создание условий для разностороннего развития, самореализации и роста созидательной активности молодёжи (5, 6, 7, 14)</t>
  </si>
  <si>
    <t>3.2.1. Организация мероприятий, проектов по повышению уровня потенциала и вовлечению молодёжи в творческую деятельность (91,92)</t>
  </si>
  <si>
    <t xml:space="preserve">3.2.2. Организация мероприятий, проектов по вовлечению молодежи в добровольческую 
деятельность (03 01 93)
</t>
  </si>
  <si>
    <t xml:space="preserve">3.2.3. Поддержка студентов педагогических вузов
</t>
  </si>
  <si>
    <t xml:space="preserve">3.2.4. Субсидии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 (03 01 95)
</t>
  </si>
  <si>
    <t>3.3. Обеспечение деятельности учреждения сферы работы с молодёжью и развитие 
его материально технической базы (7, 14)</t>
  </si>
  <si>
    <t>3.3.1. Финансовое и организационное 
сопровождение по исполнению МАУ «МКЦ «Феникс» муниципального задания, укрепление 
материально-технической базы учреждения 03 01 А1</t>
  </si>
  <si>
    <t xml:space="preserve">3.3.2. Обеспечение хозяйственного обслуживания и надлежащего состояния учреждения молодежной политики (03 01 А2)
</t>
  </si>
  <si>
    <t>Подпрограмма 4. "Ресурсное обеспечение в сфере образования"</t>
  </si>
  <si>
    <t xml:space="preserve">П.4.1. Портфель проектов «Образование», 
региональный проект «Современная школа» 
(показатели XI, XIII, XIV, 9)
</t>
  </si>
  <si>
    <t>П.4.1.1.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</si>
  <si>
    <t>В целях реализации мероприятия на отчетную дату ведутся (выполнены) следующие мероприятия:
1.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1.1. Заключено дополнительное соглашение №3 от 22.12.2022, в рамках которого увеличена стоимость проектно-изыскательских работ до 25 239,24 тыс. руб. за счет уменьшения стоимости строительно-монтажных работ и продлены сроки выполнения работ;
1.2. Заключено дополнительное соглашение №4 от 23.12.2022, в рамках которого установлено авансирование по контракту в размере 20,833% от цены контракта, что составляет 312 405,40 тыс. руб.;
1.3. Заключено дополнительное соглашение №6 от 22.06.2023, в рамках которого продлены сроки выполнения проектно-изыскательских работ по 31.08.2023;
1.4. Заключено дополнительное соглашение №7 от 26.07.2023, в рамках которого увеличен размер авансирования по контракту до 46,7538905945082% от цены контракта, что составляет 701 105,65 тыс.  руб. (из них 312 405,40 тыс. руб. за счет лимитов бюджетных обязательств 2022 года, 388 700,25 тыс. руб. за счет лимитов бюджетных обязательств 2023 года);
1.5. Стоимость работ по контракту 1 499 566,43 тыс. руб., из них стоимость проектно-изыскательских работ 25 239,24 тыс. руб.;
1.6. Состав и сроки выполнения работ этапа 1 Контракта: выполнение проектно-изыскательских работ): с даты заключения настоящего контракта по 31 августа 2023 года, в том числе эскизный проект, отчеты по инженерным изысканиям, проектная документация (без смет), положительное заключение государственной экспертизы результатов инженерных изысканий и проектной документации (без смет) по 28.02.2023,
1.7. Состав и сроки выполнения работ этапа 2 Контракта: строительно-монтажные, пусконаладочные работы, поставка оборудования и ввод объекта в эксплуатацию) с момента выполнения первого этапа по 13 февраля 2025 года, в том числе строительно-монтажные, пусконаладочные работы и поставка оборудования по 20 декабря 2024 года;
2. При строительстве объекта применяется экономически эффективная проектная документация повторного применения «Средняя общеобразовательная школа в микрорайоне 32 г. Сургута» шифр 1541-ПИ.00.32;
3. Муниципальным заказчиком перечислен аванс в 2022 году в размере 312 405,40тыс. руб., в 2023 году - 388 700,25 тыс.  руб.;
4. Степень готовности объекта:
4.1 Проектно-изыскательские работы:
- получено положительное заключение государственной экспертизы результатов инженерных изысканий и проектной документации (без смет) №86-1-1-3-091907-2022 от 23.12.2022;
- разработана проектно-сметная документация – 100%;
- получено отрицательное заключение государственной экспертизы о проверке достоверности определения сметной стоимости объекта №86-1-2-2-013819-2024 от 27.03.2024. Требуется повторная ценовая экспертиза после устранения замечаний к сметной документации.
4.2 Строительство объекта - готовность 14%:
- получено разрешение на строительство № RU86–301–726–2023 от 10.01.2023;
- выполнены 100%: подготовительные работы, разработка котлована, свайные работы, фундаменты, бетонирование наружных стен и колонн цокольного этажа;
- ведутся работы: обратная засыпка фундаментов – 94% (10170 м3); бетонирование плиты цокольного перекрытия – 34% (421 м3); устройство щебеночного основания полов подвала – 90% (4500 м3); монтаж опалубки и армирование для цокольного перекрытия – 42% (2100 м2); монтаж тепловых сетей к объекту – 56% (400 м.п.).
5. Выполнение проектно-изыскательских работ по 1 этапу контракта ведется с нарушением сроков выполнения работ подрядной организацией, выставлено четыре претензии об уплате неустойки на общую сумму 2 153 748,85 руб.</t>
  </si>
  <si>
    <t>П.4.2. Портфель проектов «Демография», 
региональный проект «Содействие занятости» 
(показатели I, II)</t>
  </si>
  <si>
    <t>4.1. Финансовое обеспечение полномочий управления образования и ресурсного центра (1, 2, 3, 4, 8, 10)</t>
  </si>
  <si>
    <t>4.1.1. Финансовое и организационно методическое сопровождение по исполнению бюджетными, автономными образовательными организациями и организациями дополнительного образования муниципального задания на оказание муниципальных 
услуг (выполнение работ)</t>
  </si>
  <si>
    <t>4.1.2. Проведение мероприятий аппаратом управления</t>
  </si>
  <si>
    <t>4.1.3. Финансовое и организационно методическое сопровождение по исполнению МАУ «Информационно ресурсный центр города 
Когалыма» муниципального задания на 
оказание муниципальных услуг (выполнение работ), оснащение материально технической базы 
организации (03 01 И3)</t>
  </si>
  <si>
    <t xml:space="preserve">4.2. Обеспечение комплексной безопасности в образовательных организациях и 
учреждениях и создание условий для сохранения и укрепления здоровья детей в общеобразовательных организациях (8)
</t>
  </si>
  <si>
    <t>4.2.1.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</si>
  <si>
    <t>4.2.2. Создание системных механизмов сохранения и укрепления здоровья детей 
в образовательных организациях</t>
  </si>
  <si>
    <t>4.2.2.1. Мероприятия по организации бесплатного 
горячего питания обучающихся, получающих 
начальное общее образование в муниципальных образовательных организациях</t>
  </si>
  <si>
    <t>4.2.2.2. Организация питания обучающихся 5-11 классов (не относящиеся к льготной категории)</t>
  </si>
  <si>
    <t>4.2.2.3.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t>
  </si>
  <si>
    <t xml:space="preserve">Перечисление средств происходит по фактической потребности учреждени, согласно предоставленных счетов по организации питания.  </t>
  </si>
  <si>
    <t>4.3. Развитие материально технической базы 
образовательных организаций (XIV)</t>
  </si>
  <si>
    <t>4.3.1. Развитие инфраструктуры общего и дополнительного образования</t>
  </si>
  <si>
    <t>4.3.2. Капитальный ремонт здания МАОУ СОШ №7 (03 01 У2)</t>
  </si>
  <si>
    <t>ИТОГО по программе, в том числе</t>
  </si>
  <si>
    <t>ПРОЕКТНАЯ ЧАСТЬ в целом по муниципальной программе</t>
  </si>
  <si>
    <t>ПРОЦЕССНАЯ ЧАСТЬ в целом по муниципальной программе</t>
  </si>
  <si>
    <t>Руководитель структурного подразделения</t>
  </si>
  <si>
    <t>Лаврентьева А.Н.</t>
  </si>
  <si>
    <t>(подпись)</t>
  </si>
  <si>
    <t>Исполнитель: Харченко Ольга Владимировна
тел. 9 36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</si>
</sst>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_ ;[Red]\-#,##0.0\ "/>
    <numFmt numFmtId="165" formatCode="#,##0_ ;[Red]\-#,##0\ "/>
    <numFmt numFmtId="166" formatCode="#,##0.000\ _₽"/>
    <numFmt numFmtId="167" formatCode="#,##0.00\ _₽"/>
    <numFmt numFmtId="168" formatCode="#,##0.00_ ;[Red]\-#,##0.00\ "/>
  </numFmts>
  <fonts count="16" x14ac:knownFonts="1">
    <font>
      <sz val="11"/>
      <color theme="1"/>
      <name val="Calibri"/>
      <family val="2"/>
      <scheme val="minor"/>
    </font>
    <font>
      <u/>
      <sz val="11"/>
      <color theme="10"/>
      <name val="Calibri"/>
      <family val="2"/>
      <scheme val="minor"/>
    </font>
    <font>
      <u/>
      <sz val="14"/>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4"/>
      <color rgb="FFFF0000"/>
      <name val="Times New Roman"/>
      <family val="1"/>
      <charset val="204"/>
    </font>
    <font>
      <b/>
      <sz val="14"/>
      <color rgb="FFFF0000"/>
      <name val="Times New Roman"/>
      <family val="1"/>
      <charset val="204"/>
    </font>
    <font>
      <sz val="18"/>
      <color theme="1"/>
      <name val="Times New Roman"/>
      <family val="1"/>
      <charset val="204"/>
    </font>
    <font>
      <sz val="10"/>
      <name val="Arial"/>
      <family val="2"/>
      <charset val="204"/>
    </font>
    <font>
      <b/>
      <sz val="9"/>
      <color indexed="81"/>
      <name val="Tahoma"/>
      <family val="2"/>
      <charset val="204"/>
    </font>
    <font>
      <sz val="9"/>
      <color indexed="81"/>
      <name val="Tahoma"/>
      <family val="2"/>
      <charset val="204"/>
    </font>
    <font>
      <sz val="14"/>
      <color rgb="FFC00000"/>
      <name val="Times New Roman"/>
      <family val="1"/>
      <charset val="204"/>
    </font>
    <font>
      <b/>
      <sz val="14"/>
      <color rgb="FFC00000"/>
      <name val="Times New Roman"/>
      <family val="1"/>
      <charset val="204"/>
    </font>
    <font>
      <sz val="12"/>
      <name val="Times New Roman"/>
      <family val="1"/>
      <charset val="204"/>
    </font>
  </fonts>
  <fills count="9">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10" fillId="0" borderId="0"/>
  </cellStyleXfs>
  <cellXfs count="121">
    <xf numFmtId="0" fontId="0" fillId="0" borderId="0" xfId="0"/>
    <xf numFmtId="0" fontId="2" fillId="0" borderId="0" xfId="1" applyFont="1" applyAlignment="1">
      <alignment horizontal="center"/>
    </xf>
    <xf numFmtId="0" fontId="3" fillId="0" borderId="0" xfId="0" applyFont="1"/>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6" fillId="2" borderId="2" xfId="0" applyFont="1" applyFill="1" applyBorder="1" applyAlignment="1">
      <alignment horizontal="left"/>
    </xf>
    <xf numFmtId="0" fontId="6" fillId="2" borderId="6" xfId="0" applyFont="1" applyFill="1" applyBorder="1" applyAlignment="1">
      <alignment horizontal="left"/>
    </xf>
    <xf numFmtId="0" fontId="6" fillId="2" borderId="3" xfId="0" applyFont="1" applyFill="1" applyBorder="1" applyAlignment="1">
      <alignment horizontal="left"/>
    </xf>
    <xf numFmtId="0" fontId="6" fillId="0" borderId="0" xfId="0" applyFont="1"/>
    <xf numFmtId="0" fontId="4" fillId="3" borderId="1" xfId="0" applyFont="1" applyFill="1" applyBorder="1" applyAlignment="1">
      <alignment horizontal="left" vertical="top" wrapText="1"/>
    </xf>
    <xf numFmtId="2" fontId="5" fillId="3" borderId="1" xfId="0" applyNumberFormat="1" applyFont="1" applyFill="1" applyBorder="1" applyAlignment="1">
      <alignment horizontal="right" wrapText="1"/>
    </xf>
    <xf numFmtId="2" fontId="7" fillId="3" borderId="1" xfId="0" applyNumberFormat="1" applyFont="1" applyFill="1" applyBorder="1" applyAlignment="1">
      <alignment horizontal="right" wrapText="1"/>
    </xf>
    <xf numFmtId="0" fontId="3" fillId="3" borderId="1" xfId="0" applyFont="1" applyFill="1" applyBorder="1"/>
    <xf numFmtId="2" fontId="3" fillId="0" borderId="0" xfId="0" applyNumberFormat="1" applyFont="1"/>
    <xf numFmtId="166" fontId="4" fillId="3" borderId="1" xfId="0" applyNumberFormat="1" applyFont="1" applyFill="1" applyBorder="1" applyAlignment="1">
      <alignment horizontal="left" wrapText="1"/>
    </xf>
    <xf numFmtId="167" fontId="4" fillId="3" borderId="1" xfId="0" applyNumberFormat="1" applyFont="1" applyFill="1" applyBorder="1" applyAlignment="1">
      <alignment horizontal="right" wrapText="1"/>
    </xf>
    <xf numFmtId="167" fontId="4" fillId="3" borderId="1" xfId="0" applyNumberFormat="1" applyFont="1" applyFill="1" applyBorder="1" applyAlignment="1">
      <alignment vertical="center" wrapText="1"/>
    </xf>
    <xf numFmtId="166" fontId="5" fillId="3" borderId="1" xfId="0" applyNumberFormat="1" applyFont="1" applyFill="1" applyBorder="1" applyAlignment="1">
      <alignment horizontal="left" wrapText="1"/>
    </xf>
    <xf numFmtId="167" fontId="5" fillId="3" borderId="1" xfId="0" applyNumberFormat="1" applyFont="1" applyFill="1" applyBorder="1" applyAlignment="1">
      <alignment horizontal="right" wrapText="1"/>
    </xf>
    <xf numFmtId="166" fontId="5" fillId="0" borderId="1" xfId="0" applyNumberFormat="1" applyFont="1" applyFill="1" applyBorder="1" applyAlignment="1">
      <alignment horizontal="left" vertical="top" wrapText="1"/>
    </xf>
    <xf numFmtId="167" fontId="5" fillId="0" borderId="1" xfId="0" applyNumberFormat="1" applyFont="1" applyFill="1" applyBorder="1" applyAlignment="1">
      <alignment horizontal="right" wrapText="1"/>
    </xf>
    <xf numFmtId="167" fontId="7" fillId="4" borderId="1" xfId="0" applyNumberFormat="1" applyFont="1" applyFill="1" applyBorder="1" applyAlignment="1">
      <alignment horizontal="right" wrapText="1"/>
    </xf>
    <xf numFmtId="4" fontId="3" fillId="0" borderId="1" xfId="0" applyNumberFormat="1" applyFont="1" applyBorder="1"/>
    <xf numFmtId="0" fontId="3" fillId="0" borderId="1" xfId="0" applyFont="1" applyBorder="1"/>
    <xf numFmtId="166" fontId="4" fillId="0" borderId="1" xfId="0" applyNumberFormat="1" applyFont="1" applyFill="1" applyBorder="1" applyAlignment="1">
      <alignment horizontal="left" wrapText="1"/>
    </xf>
    <xf numFmtId="167" fontId="4" fillId="0" borderId="1" xfId="0" applyNumberFormat="1" applyFont="1" applyFill="1" applyBorder="1" applyAlignment="1">
      <alignment horizontal="right" wrapText="1"/>
    </xf>
    <xf numFmtId="167" fontId="4" fillId="0" borderId="1" xfId="0" applyNumberFormat="1" applyFont="1" applyFill="1" applyBorder="1" applyAlignment="1">
      <alignment wrapText="1"/>
    </xf>
    <xf numFmtId="167" fontId="6" fillId="0" borderId="1" xfId="0" applyNumberFormat="1" applyFont="1" applyFill="1" applyBorder="1" applyAlignment="1">
      <alignment horizontal="right" wrapText="1"/>
    </xf>
    <xf numFmtId="0" fontId="3" fillId="0" borderId="1" xfId="0" applyFont="1" applyFill="1" applyBorder="1"/>
    <xf numFmtId="2" fontId="3" fillId="0" borderId="0" xfId="0" applyNumberFormat="1" applyFont="1" applyFill="1"/>
    <xf numFmtId="0" fontId="3" fillId="0" borderId="0" xfId="0" applyFont="1" applyFill="1"/>
    <xf numFmtId="166" fontId="5" fillId="0" borderId="1" xfId="0" applyNumberFormat="1" applyFont="1" applyFill="1" applyBorder="1" applyAlignment="1">
      <alignment horizontal="left" wrapText="1"/>
    </xf>
    <xf numFmtId="168" fontId="5" fillId="0" borderId="1" xfId="0" applyNumberFormat="1" applyFont="1" applyFill="1" applyBorder="1" applyAlignment="1">
      <alignment horizontal="right"/>
    </xf>
    <xf numFmtId="168" fontId="5" fillId="0" borderId="1" xfId="0" applyNumberFormat="1" applyFont="1" applyFill="1" applyBorder="1"/>
    <xf numFmtId="4" fontId="3" fillId="0" borderId="1" xfId="0" applyNumberFormat="1" applyFont="1" applyFill="1" applyBorder="1"/>
    <xf numFmtId="166" fontId="5" fillId="0" borderId="1" xfId="0" applyNumberFormat="1" applyFont="1" applyBorder="1" applyAlignment="1">
      <alignment horizontal="left" wrapText="1"/>
    </xf>
    <xf numFmtId="167" fontId="5" fillId="0" borderId="1" xfId="0" applyNumberFormat="1" applyFont="1" applyBorder="1" applyAlignment="1">
      <alignment horizontal="right" wrapText="1"/>
    </xf>
    <xf numFmtId="168" fontId="5" fillId="0" borderId="1" xfId="0" applyNumberFormat="1" applyFont="1" applyBorder="1" applyAlignment="1">
      <alignment horizontal="right"/>
    </xf>
    <xf numFmtId="168" fontId="5" fillId="0" borderId="1" xfId="0" applyNumberFormat="1" applyFont="1" applyBorder="1"/>
    <xf numFmtId="167" fontId="7" fillId="0" borderId="1" xfId="0" applyNumberFormat="1" applyFont="1" applyFill="1" applyBorder="1" applyAlignment="1">
      <alignment horizontal="right" wrapText="1"/>
    </xf>
    <xf numFmtId="167" fontId="8" fillId="0" borderId="1" xfId="0" applyNumberFormat="1" applyFont="1" applyFill="1" applyBorder="1" applyAlignment="1">
      <alignment horizontal="right" wrapText="1"/>
    </xf>
    <xf numFmtId="4" fontId="7" fillId="0" borderId="1" xfId="0" applyNumberFormat="1" applyFont="1" applyFill="1" applyBorder="1"/>
    <xf numFmtId="166" fontId="5" fillId="0" borderId="1" xfId="0" applyNumberFormat="1" applyFont="1" applyFill="1" applyBorder="1" applyAlignment="1">
      <alignment horizontal="left" vertical="center" wrapText="1"/>
    </xf>
    <xf numFmtId="167" fontId="8" fillId="0" borderId="1" xfId="0" applyNumberFormat="1" applyFont="1" applyBorder="1" applyAlignment="1">
      <alignment horizontal="right" wrapText="1"/>
    </xf>
    <xf numFmtId="0" fontId="9" fillId="0" borderId="0" xfId="0" applyFont="1" applyFill="1"/>
    <xf numFmtId="166" fontId="4" fillId="3" borderId="1" xfId="0" applyNumberFormat="1" applyFont="1" applyFill="1" applyBorder="1" applyAlignment="1">
      <alignment horizontal="left" vertical="top" wrapText="1"/>
    </xf>
    <xf numFmtId="167" fontId="8" fillId="3" borderId="1" xfId="0" applyNumberFormat="1" applyFont="1" applyFill="1" applyBorder="1" applyAlignment="1">
      <alignment horizontal="right" wrapText="1"/>
    </xf>
    <xf numFmtId="0" fontId="3" fillId="0" borderId="1" xfId="0" applyFont="1" applyBorder="1" applyAlignment="1">
      <alignment wrapText="1"/>
    </xf>
    <xf numFmtId="167" fontId="6" fillId="3" borderId="1" xfId="0" applyNumberFormat="1" applyFont="1" applyFill="1" applyBorder="1" applyAlignment="1">
      <alignment horizontal="right" wrapText="1"/>
    </xf>
    <xf numFmtId="167" fontId="4" fillId="3" borderId="1" xfId="0" applyNumberFormat="1" applyFont="1" applyFill="1" applyBorder="1" applyAlignment="1">
      <alignment horizontal="left" wrapText="1"/>
    </xf>
    <xf numFmtId="167" fontId="5" fillId="3" borderId="1" xfId="0" applyNumberFormat="1" applyFont="1" applyFill="1" applyBorder="1" applyAlignment="1">
      <alignment horizontal="left" wrapText="1"/>
    </xf>
    <xf numFmtId="167" fontId="3" fillId="3" borderId="1" xfId="0" applyNumberFormat="1" applyFont="1" applyFill="1" applyBorder="1" applyAlignment="1">
      <alignment horizontal="right" wrapText="1"/>
    </xf>
    <xf numFmtId="166" fontId="4" fillId="4" borderId="1" xfId="0" applyNumberFormat="1" applyFont="1" applyFill="1" applyBorder="1" applyAlignment="1">
      <alignment horizontal="left" vertical="top" wrapText="1"/>
    </xf>
    <xf numFmtId="167" fontId="4" fillId="4" borderId="1" xfId="0" applyNumberFormat="1" applyFont="1" applyFill="1" applyBorder="1" applyAlignment="1">
      <alignment horizontal="right" wrapText="1"/>
    </xf>
    <xf numFmtId="167" fontId="8" fillId="4" borderId="1" xfId="0" applyNumberFormat="1" applyFont="1" applyFill="1" applyBorder="1" applyAlignment="1">
      <alignment horizontal="right" wrapText="1"/>
    </xf>
    <xf numFmtId="4" fontId="6" fillId="0" borderId="1" xfId="0" applyNumberFormat="1" applyFont="1" applyBorder="1"/>
    <xf numFmtId="0" fontId="6" fillId="0" borderId="1" xfId="0" applyFont="1" applyBorder="1"/>
    <xf numFmtId="2" fontId="6" fillId="0" borderId="0" xfId="0" applyNumberFormat="1" applyFont="1"/>
    <xf numFmtId="166" fontId="4" fillId="4" borderId="1" xfId="0" applyNumberFormat="1" applyFont="1" applyFill="1" applyBorder="1" applyAlignment="1">
      <alignment horizontal="left" wrapText="1"/>
    </xf>
    <xf numFmtId="167" fontId="4" fillId="0" borderId="1" xfId="0" applyNumberFormat="1" applyFont="1" applyBorder="1" applyAlignment="1">
      <alignment horizontal="right" wrapText="1"/>
    </xf>
    <xf numFmtId="166" fontId="4" fillId="0" borderId="1" xfId="0" applyNumberFormat="1" applyFont="1" applyBorder="1" applyAlignment="1">
      <alignment horizontal="left" wrapText="1"/>
    </xf>
    <xf numFmtId="166" fontId="6" fillId="0" borderId="1" xfId="0" applyNumberFormat="1" applyFont="1" applyFill="1" applyBorder="1" applyAlignment="1">
      <alignment horizontal="left" wrapText="1"/>
    </xf>
    <xf numFmtId="168" fontId="3" fillId="0" borderId="1" xfId="0" applyNumberFormat="1" applyFont="1" applyFill="1" applyBorder="1" applyAlignment="1">
      <alignment horizontal="right"/>
    </xf>
    <xf numFmtId="168" fontId="3" fillId="0" borderId="1" xfId="0" applyNumberFormat="1" applyFont="1" applyFill="1" applyBorder="1"/>
    <xf numFmtId="167" fontId="3" fillId="0" borderId="1" xfId="0" applyNumberFormat="1" applyFont="1" applyFill="1" applyBorder="1" applyAlignment="1">
      <alignment horizontal="right" wrapText="1"/>
    </xf>
    <xf numFmtId="164" fontId="3" fillId="0" borderId="1" xfId="2" applyNumberFormat="1" applyFont="1" applyFill="1" applyBorder="1" applyAlignment="1" applyProtection="1">
      <alignment vertical="center" wrapText="1"/>
    </xf>
    <xf numFmtId="166" fontId="5" fillId="4" borderId="1" xfId="0" applyNumberFormat="1" applyFont="1" applyFill="1" applyBorder="1" applyAlignment="1">
      <alignment horizontal="left" wrapText="1"/>
    </xf>
    <xf numFmtId="4" fontId="5" fillId="0" borderId="1" xfId="0" applyNumberFormat="1" applyFont="1" applyBorder="1"/>
    <xf numFmtId="0" fontId="5" fillId="0" borderId="1" xfId="0" applyFont="1" applyBorder="1"/>
    <xf numFmtId="2" fontId="5" fillId="0" borderId="0" xfId="0" applyNumberFormat="1" applyFont="1"/>
    <xf numFmtId="0" fontId="5" fillId="0" borderId="0" xfId="0" applyFont="1"/>
    <xf numFmtId="167" fontId="4" fillId="0" borderId="1" xfId="0" applyNumberFormat="1" applyFont="1" applyBorder="1" applyAlignment="1">
      <alignment horizontal="right" vertical="top" wrapText="1"/>
    </xf>
    <xf numFmtId="0" fontId="3" fillId="5" borderId="1" xfId="0" applyFont="1" applyFill="1" applyBorder="1" applyAlignment="1">
      <alignment wrapText="1"/>
    </xf>
    <xf numFmtId="168" fontId="3" fillId="0" borderId="0" xfId="0" applyNumberFormat="1" applyFont="1"/>
    <xf numFmtId="0" fontId="3" fillId="0" borderId="1" xfId="0" applyFont="1" applyFill="1" applyBorder="1" applyAlignment="1">
      <alignment wrapText="1"/>
    </xf>
    <xf numFmtId="168" fontId="3" fillId="0" borderId="0" xfId="0" applyNumberFormat="1" applyFont="1" applyFill="1"/>
    <xf numFmtId="166" fontId="5" fillId="0" borderId="1" xfId="0" applyNumberFormat="1" applyFont="1" applyBorder="1" applyAlignment="1">
      <alignment horizontal="left" vertical="top" wrapText="1"/>
    </xf>
    <xf numFmtId="166" fontId="5" fillId="3" borderId="1" xfId="0" applyNumberFormat="1" applyFont="1" applyFill="1" applyBorder="1" applyAlignment="1">
      <alignment horizontal="right" wrapText="1"/>
    </xf>
    <xf numFmtId="166" fontId="7" fillId="3" borderId="1" xfId="0" applyNumberFormat="1" applyFont="1" applyFill="1" applyBorder="1" applyAlignment="1">
      <alignment horizontal="right" wrapText="1"/>
    </xf>
    <xf numFmtId="166" fontId="5" fillId="4" borderId="1" xfId="0" applyNumberFormat="1" applyFont="1" applyFill="1" applyBorder="1" applyAlignment="1">
      <alignment horizontal="left" vertical="top" wrapText="1"/>
    </xf>
    <xf numFmtId="167" fontId="5" fillId="4" borderId="1" xfId="0" applyNumberFormat="1" applyFont="1" applyFill="1" applyBorder="1" applyAlignment="1">
      <alignment horizontal="right" wrapText="1"/>
    </xf>
    <xf numFmtId="167" fontId="4" fillId="0" borderId="1" xfId="0" applyNumberFormat="1" applyFont="1" applyBorder="1" applyAlignment="1">
      <alignment wrapText="1"/>
    </xf>
    <xf numFmtId="166" fontId="4" fillId="3" borderId="1" xfId="0" applyNumberFormat="1" applyFont="1" applyFill="1" applyBorder="1" applyAlignment="1">
      <alignment horizontal="left" vertical="center" wrapText="1"/>
    </xf>
    <xf numFmtId="166" fontId="4" fillId="3" borderId="1" xfId="0" applyNumberFormat="1" applyFont="1" applyFill="1" applyBorder="1" applyAlignment="1">
      <alignment horizontal="right" wrapText="1"/>
    </xf>
    <xf numFmtId="166" fontId="8" fillId="3" borderId="1" xfId="0" applyNumberFormat="1" applyFont="1" applyFill="1" applyBorder="1" applyAlignment="1">
      <alignment horizontal="right" wrapText="1"/>
    </xf>
    <xf numFmtId="167" fontId="5" fillId="3" borderId="1" xfId="0" applyNumberFormat="1" applyFont="1" applyFill="1" applyBorder="1" applyAlignment="1">
      <alignment vertical="center" wrapText="1"/>
    </xf>
    <xf numFmtId="167" fontId="7" fillId="3" borderId="1" xfId="0" applyNumberFormat="1" applyFont="1" applyFill="1" applyBorder="1" applyAlignment="1">
      <alignment vertical="center" wrapText="1"/>
    </xf>
    <xf numFmtId="0" fontId="4" fillId="3" borderId="1" xfId="0" applyFont="1" applyFill="1" applyBorder="1" applyAlignment="1">
      <alignment horizontal="left" wrapText="1"/>
    </xf>
    <xf numFmtId="0" fontId="5" fillId="3" borderId="1" xfId="0" applyFont="1" applyFill="1" applyBorder="1" applyAlignment="1">
      <alignment horizontal="left" wrapText="1"/>
    </xf>
    <xf numFmtId="166" fontId="4" fillId="0" borderId="1" xfId="0" applyNumberFormat="1" applyFont="1" applyFill="1" applyBorder="1" applyAlignment="1">
      <alignment horizontal="left" vertical="top" wrapText="1"/>
    </xf>
    <xf numFmtId="168" fontId="4" fillId="0" borderId="1" xfId="0" applyNumberFormat="1" applyFont="1" applyBorder="1" applyAlignment="1">
      <alignment horizontal="right"/>
    </xf>
    <xf numFmtId="168" fontId="4" fillId="0" borderId="1" xfId="0" applyNumberFormat="1" applyFont="1" applyBorder="1"/>
    <xf numFmtId="0" fontId="3" fillId="6" borderId="0" xfId="0" applyFont="1" applyFill="1"/>
    <xf numFmtId="166" fontId="4" fillId="7" borderId="1" xfId="0" applyNumberFormat="1" applyFont="1" applyFill="1" applyBorder="1" applyAlignment="1">
      <alignment horizontal="left" wrapText="1"/>
    </xf>
    <xf numFmtId="167" fontId="4" fillId="7" borderId="1" xfId="0" applyNumberFormat="1" applyFont="1" applyFill="1" applyBorder="1" applyAlignment="1">
      <alignment horizontal="right" wrapText="1"/>
    </xf>
    <xf numFmtId="167" fontId="6" fillId="7" borderId="1" xfId="0" applyNumberFormat="1" applyFont="1" applyFill="1" applyBorder="1" applyAlignment="1">
      <alignment horizontal="right" wrapText="1"/>
    </xf>
    <xf numFmtId="166" fontId="5" fillId="8" borderId="1" xfId="0" applyNumberFormat="1" applyFont="1" applyFill="1" applyBorder="1" applyAlignment="1">
      <alignment horizontal="left" wrapText="1"/>
    </xf>
    <xf numFmtId="167" fontId="5" fillId="8" borderId="1" xfId="0" applyNumberFormat="1" applyFont="1" applyFill="1" applyBorder="1" applyAlignment="1">
      <alignment horizontal="right" wrapText="1"/>
    </xf>
    <xf numFmtId="167" fontId="3" fillId="8" borderId="1" xfId="0" applyNumberFormat="1" applyFont="1" applyFill="1" applyBorder="1" applyAlignment="1">
      <alignment horizontal="right" wrapText="1"/>
    </xf>
    <xf numFmtId="166" fontId="5" fillId="8" borderId="1" xfId="0" applyNumberFormat="1" applyFont="1" applyFill="1" applyBorder="1" applyAlignment="1">
      <alignment horizontal="left" vertical="center" wrapText="1"/>
    </xf>
    <xf numFmtId="4" fontId="3" fillId="0" borderId="0" xfId="0" applyNumberFormat="1" applyFont="1"/>
    <xf numFmtId="0" fontId="3" fillId="0" borderId="0" xfId="0" applyFont="1" applyAlignment="1">
      <alignment horizontal="right"/>
    </xf>
    <xf numFmtId="0" fontId="13" fillId="0" borderId="0" xfId="0" applyFont="1"/>
    <xf numFmtId="0" fontId="5" fillId="0" borderId="0" xfId="0" applyFont="1" applyFill="1" applyAlignment="1">
      <alignment wrapText="1"/>
    </xf>
    <xf numFmtId="0" fontId="5" fillId="0" borderId="7" xfId="0" applyFont="1" applyFill="1" applyBorder="1" applyAlignment="1">
      <alignment horizontal="center" wrapText="1"/>
    </xf>
    <xf numFmtId="0" fontId="13" fillId="0" borderId="0" xfId="0" applyFont="1" applyFill="1" applyAlignment="1">
      <alignment horizontal="center" wrapText="1"/>
    </xf>
    <xf numFmtId="4" fontId="14" fillId="0" borderId="0" xfId="0" applyNumberFormat="1" applyFont="1"/>
    <xf numFmtId="0" fontId="15" fillId="0" borderId="0" xfId="0" applyFont="1" applyFill="1" applyAlignment="1">
      <alignment horizontal="center" vertical="top" wrapText="1"/>
    </xf>
    <xf numFmtId="0" fontId="15" fillId="0" borderId="0" xfId="0" applyFont="1" applyFill="1" applyAlignment="1">
      <alignment vertical="top" wrapText="1"/>
    </xf>
    <xf numFmtId="0" fontId="5" fillId="0" borderId="0" xfId="0" applyFont="1" applyFill="1" applyAlignment="1">
      <alignment horizontal="left" vertical="top"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P388"/>
  <sheetViews>
    <sheetView tabSelected="1" workbookViewId="0">
      <selection sqref="A1:XFD1048576"/>
    </sheetView>
  </sheetViews>
  <sheetFormatPr defaultColWidth="9.140625" defaultRowHeight="18.75" x14ac:dyDescent="0.3"/>
  <cols>
    <col min="1" max="1" width="62.140625" style="2" customWidth="1"/>
    <col min="2" max="2" width="23.7109375" style="2" customWidth="1"/>
    <col min="3" max="3" width="18.28515625" style="2" customWidth="1"/>
    <col min="4" max="4" width="20.85546875" style="2" customWidth="1"/>
    <col min="5" max="5" width="20.42578125" style="2" customWidth="1"/>
    <col min="6" max="6" width="13.7109375" style="2" customWidth="1"/>
    <col min="7" max="7" width="14" style="2" customWidth="1"/>
    <col min="8" max="8" width="16.42578125" style="2" customWidth="1"/>
    <col min="9" max="9" width="17.7109375" style="2" customWidth="1"/>
    <col min="10" max="10" width="16.7109375" style="2" customWidth="1"/>
    <col min="11" max="11" width="14.7109375" style="2" customWidth="1"/>
    <col min="12" max="12" width="15.140625" style="2" customWidth="1"/>
    <col min="13" max="13" width="17.28515625" style="2" customWidth="1"/>
    <col min="14" max="14" width="15.7109375" style="2" customWidth="1"/>
    <col min="15" max="15" width="17.28515625" style="2" customWidth="1"/>
    <col min="16" max="16" width="17.5703125" style="2" customWidth="1"/>
    <col min="17" max="17" width="16.7109375" style="2" customWidth="1"/>
    <col min="18" max="18" width="15.42578125" style="2" customWidth="1"/>
    <col min="19" max="19" width="17.5703125" style="2" customWidth="1"/>
    <col min="20" max="20" width="17.28515625" style="2" customWidth="1"/>
    <col min="21" max="21" width="16" style="2" customWidth="1"/>
    <col min="22" max="22" width="14.7109375" style="2" customWidth="1"/>
    <col min="23" max="23" width="14.140625" style="2" customWidth="1"/>
    <col min="24" max="24" width="15.140625" style="2" customWidth="1"/>
    <col min="25" max="25" width="16.5703125" style="2" customWidth="1"/>
    <col min="26" max="26" width="15.140625" style="2" customWidth="1"/>
    <col min="27" max="27" width="14.140625" style="2" customWidth="1"/>
    <col min="28" max="28" width="16.5703125" style="2" customWidth="1"/>
    <col min="29" max="29" width="13.85546875" style="2" customWidth="1"/>
    <col min="30" max="30" width="22.7109375" style="2" customWidth="1"/>
    <col min="31" max="31" width="11.5703125" style="2" customWidth="1"/>
    <col min="32" max="32" width="79.85546875" style="2" customWidth="1"/>
    <col min="33" max="33" width="31" style="2" customWidth="1"/>
    <col min="34" max="34" width="11.85546875" style="2" bestFit="1" customWidth="1"/>
    <col min="35" max="16384" width="9.140625" style="2"/>
  </cols>
  <sheetData>
    <row r="4" spans="1:33" x14ac:dyDescent="0.3">
      <c r="A4" s="1" t="s">
        <v>0</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6" spans="1:33" ht="50.25" customHeight="1" x14ac:dyDescent="0.3">
      <c r="A6" s="3" t="s">
        <v>1</v>
      </c>
      <c r="B6" s="4" t="s">
        <v>2</v>
      </c>
      <c r="C6" s="4" t="s">
        <v>2</v>
      </c>
      <c r="D6" s="4" t="s">
        <v>3</v>
      </c>
      <c r="E6" s="4" t="s">
        <v>4</v>
      </c>
      <c r="F6" s="5" t="s">
        <v>5</v>
      </c>
      <c r="G6" s="6"/>
      <c r="H6" s="5" t="s">
        <v>6</v>
      </c>
      <c r="I6" s="7"/>
      <c r="J6" s="5" t="s">
        <v>7</v>
      </c>
      <c r="K6" s="7"/>
      <c r="L6" s="5" t="s">
        <v>8</v>
      </c>
      <c r="M6" s="7"/>
      <c r="N6" s="5" t="s">
        <v>9</v>
      </c>
      <c r="O6" s="7"/>
      <c r="P6" s="5" t="s">
        <v>10</v>
      </c>
      <c r="Q6" s="7"/>
      <c r="R6" s="5" t="s">
        <v>11</v>
      </c>
      <c r="S6" s="7"/>
      <c r="T6" s="5" t="s">
        <v>12</v>
      </c>
      <c r="U6" s="7"/>
      <c r="V6" s="5" t="s">
        <v>13</v>
      </c>
      <c r="W6" s="7"/>
      <c r="X6" s="5" t="s">
        <v>14</v>
      </c>
      <c r="Y6" s="7"/>
      <c r="Z6" s="5" t="s">
        <v>15</v>
      </c>
      <c r="AA6" s="7"/>
      <c r="AB6" s="5" t="s">
        <v>16</v>
      </c>
      <c r="AC6" s="7"/>
      <c r="AD6" s="8" t="s">
        <v>17</v>
      </c>
      <c r="AE6" s="8"/>
      <c r="AF6" s="9" t="s">
        <v>18</v>
      </c>
    </row>
    <row r="7" spans="1:33" ht="56.25" x14ac:dyDescent="0.3">
      <c r="A7" s="3"/>
      <c r="B7" s="10">
        <v>2024</v>
      </c>
      <c r="C7" s="11">
        <v>45597</v>
      </c>
      <c r="D7" s="11">
        <v>45597</v>
      </c>
      <c r="E7" s="11">
        <v>45597</v>
      </c>
      <c r="F7" s="12" t="s">
        <v>19</v>
      </c>
      <c r="G7" s="12" t="s">
        <v>20</v>
      </c>
      <c r="H7" s="13" t="s">
        <v>21</v>
      </c>
      <c r="I7" s="13" t="s">
        <v>22</v>
      </c>
      <c r="J7" s="13" t="s">
        <v>21</v>
      </c>
      <c r="K7" s="13" t="s">
        <v>22</v>
      </c>
      <c r="L7" s="13" t="s">
        <v>21</v>
      </c>
      <c r="M7" s="13" t="s">
        <v>22</v>
      </c>
      <c r="N7" s="13" t="s">
        <v>21</v>
      </c>
      <c r="O7" s="13" t="s">
        <v>22</v>
      </c>
      <c r="P7" s="13" t="s">
        <v>21</v>
      </c>
      <c r="Q7" s="13" t="s">
        <v>22</v>
      </c>
      <c r="R7" s="13" t="s">
        <v>21</v>
      </c>
      <c r="S7" s="13" t="s">
        <v>22</v>
      </c>
      <c r="T7" s="13" t="s">
        <v>21</v>
      </c>
      <c r="U7" s="13" t="s">
        <v>22</v>
      </c>
      <c r="V7" s="13" t="s">
        <v>21</v>
      </c>
      <c r="W7" s="13" t="s">
        <v>22</v>
      </c>
      <c r="X7" s="13" t="s">
        <v>21</v>
      </c>
      <c r="Y7" s="13" t="s">
        <v>22</v>
      </c>
      <c r="Z7" s="13" t="s">
        <v>21</v>
      </c>
      <c r="AA7" s="13" t="s">
        <v>22</v>
      </c>
      <c r="AB7" s="13" t="s">
        <v>21</v>
      </c>
      <c r="AC7" s="13" t="s">
        <v>22</v>
      </c>
      <c r="AD7" s="13" t="s">
        <v>23</v>
      </c>
      <c r="AE7" s="13" t="s">
        <v>22</v>
      </c>
      <c r="AF7" s="14"/>
    </row>
    <row r="8" spans="1:33" x14ac:dyDescent="0.3">
      <c r="A8" s="15">
        <v>1</v>
      </c>
      <c r="B8" s="15">
        <v>2</v>
      </c>
      <c r="C8" s="15">
        <v>3</v>
      </c>
      <c r="D8" s="15">
        <v>4</v>
      </c>
      <c r="E8" s="15">
        <v>5</v>
      </c>
      <c r="F8" s="15">
        <v>6</v>
      </c>
      <c r="G8" s="15">
        <v>7</v>
      </c>
      <c r="H8" s="15">
        <v>8</v>
      </c>
      <c r="I8" s="15">
        <v>9</v>
      </c>
      <c r="J8" s="15">
        <v>10</v>
      </c>
      <c r="K8" s="15">
        <v>11</v>
      </c>
      <c r="L8" s="15">
        <v>12</v>
      </c>
      <c r="M8" s="15">
        <v>13</v>
      </c>
      <c r="N8" s="15">
        <v>14</v>
      </c>
      <c r="O8" s="15">
        <v>15</v>
      </c>
      <c r="P8" s="15">
        <v>16</v>
      </c>
      <c r="Q8" s="15">
        <v>17</v>
      </c>
      <c r="R8" s="15">
        <v>18</v>
      </c>
      <c r="S8" s="15">
        <v>19</v>
      </c>
      <c r="T8" s="15">
        <v>20</v>
      </c>
      <c r="U8" s="15">
        <v>21</v>
      </c>
      <c r="V8" s="15">
        <v>22</v>
      </c>
      <c r="W8" s="15">
        <v>23</v>
      </c>
      <c r="X8" s="15">
        <v>24</v>
      </c>
      <c r="Y8" s="15">
        <v>25</v>
      </c>
      <c r="Z8" s="15">
        <v>26</v>
      </c>
      <c r="AA8" s="15">
        <v>27</v>
      </c>
      <c r="AB8" s="15">
        <v>28</v>
      </c>
      <c r="AC8" s="15">
        <v>29</v>
      </c>
      <c r="AD8" s="15">
        <v>30</v>
      </c>
      <c r="AE8" s="15">
        <v>31</v>
      </c>
      <c r="AF8" s="15">
        <v>32</v>
      </c>
    </row>
    <row r="9" spans="1:33" s="19" customFormat="1" x14ac:dyDescent="0.3">
      <c r="A9" s="16" t="s">
        <v>24</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8"/>
    </row>
    <row r="10" spans="1:33" s="19" customFormat="1" x14ac:dyDescent="0.3">
      <c r="A10" s="16" t="s">
        <v>25</v>
      </c>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8"/>
    </row>
    <row r="11" spans="1:33" ht="56.25" customHeight="1" x14ac:dyDescent="0.3">
      <c r="A11" s="20" t="s">
        <v>26</v>
      </c>
      <c r="B11" s="21"/>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3"/>
      <c r="AG11" s="24">
        <f>B11-H11-J11-L11-N11-P11-R11-T11-V11-X11-Z11-AB11-AD11</f>
        <v>0</v>
      </c>
    </row>
    <row r="12" spans="1:33" x14ac:dyDescent="0.3">
      <c r="A12" s="25" t="s">
        <v>27</v>
      </c>
      <c r="B12" s="26">
        <f>B13+B14+B15+B16</f>
        <v>240.00300000000001</v>
      </c>
      <c r="C12" s="26">
        <f>C13+C14+C15+C16</f>
        <v>240.00300000000001</v>
      </c>
      <c r="D12" s="26">
        <f>D13+D14+D15+D16</f>
        <v>238.8</v>
      </c>
      <c r="E12" s="26">
        <f>E13+E14+E15+E16</f>
        <v>238.8</v>
      </c>
      <c r="F12" s="27">
        <f>IFERROR(E12/B12*100,0)</f>
        <v>99.498756265546689</v>
      </c>
      <c r="G12" s="27">
        <f>IFERROR(E12/C12*100,0)</f>
        <v>99.498756265546689</v>
      </c>
      <c r="H12" s="26">
        <f>H13+H14+H15+H16</f>
        <v>0</v>
      </c>
      <c r="I12" s="26">
        <f t="shared" ref="I12:AE12" si="0">I13+I14+I15+I16</f>
        <v>0</v>
      </c>
      <c r="J12" s="26">
        <f t="shared" si="0"/>
        <v>137.773</v>
      </c>
      <c r="K12" s="26">
        <f t="shared" si="0"/>
        <v>137.77000000000001</v>
      </c>
      <c r="L12" s="26">
        <f t="shared" si="0"/>
        <v>0</v>
      </c>
      <c r="M12" s="26">
        <f t="shared" si="0"/>
        <v>0</v>
      </c>
      <c r="N12" s="26">
        <f t="shared" si="0"/>
        <v>0</v>
      </c>
      <c r="O12" s="26">
        <f t="shared" si="0"/>
        <v>0</v>
      </c>
      <c r="P12" s="26">
        <f t="shared" si="0"/>
        <v>0</v>
      </c>
      <c r="Q12" s="26">
        <f t="shared" si="0"/>
        <v>0</v>
      </c>
      <c r="R12" s="26">
        <f t="shared" si="0"/>
        <v>101.2</v>
      </c>
      <c r="S12" s="26">
        <f t="shared" si="0"/>
        <v>100</v>
      </c>
      <c r="T12" s="26">
        <f t="shared" si="0"/>
        <v>1.03</v>
      </c>
      <c r="U12" s="26">
        <f t="shared" si="0"/>
        <v>1.03</v>
      </c>
      <c r="V12" s="26">
        <f t="shared" si="0"/>
        <v>0</v>
      </c>
      <c r="W12" s="26">
        <f t="shared" si="0"/>
        <v>0</v>
      </c>
      <c r="X12" s="26">
        <f t="shared" si="0"/>
        <v>0</v>
      </c>
      <c r="Y12" s="26">
        <f t="shared" si="0"/>
        <v>0</v>
      </c>
      <c r="Z12" s="26">
        <f t="shared" si="0"/>
        <v>0</v>
      </c>
      <c r="AA12" s="26">
        <f t="shared" si="0"/>
        <v>0</v>
      </c>
      <c r="AB12" s="26">
        <f t="shared" si="0"/>
        <v>0</v>
      </c>
      <c r="AC12" s="26">
        <f t="shared" si="0"/>
        <v>0</v>
      </c>
      <c r="AD12" s="26">
        <f t="shared" si="0"/>
        <v>0</v>
      </c>
      <c r="AE12" s="26">
        <f t="shared" si="0"/>
        <v>0</v>
      </c>
      <c r="AF12" s="23"/>
      <c r="AG12" s="24">
        <f t="shared" ref="AG12:AG137" si="1">B12-H12-J12-L12-N12-P12-R12-T12-V12-X12-Z12-AB12-AD12</f>
        <v>1.532107773982716E-14</v>
      </c>
    </row>
    <row r="13" spans="1:33" x14ac:dyDescent="0.3">
      <c r="A13" s="28" t="s">
        <v>28</v>
      </c>
      <c r="B13" s="29">
        <f>B19</f>
        <v>0</v>
      </c>
      <c r="C13" s="29">
        <f t="shared" ref="C13:E16" si="2">C19</f>
        <v>0</v>
      </c>
      <c r="D13" s="29">
        <f t="shared" si="2"/>
        <v>0</v>
      </c>
      <c r="E13" s="29">
        <f t="shared" si="2"/>
        <v>0</v>
      </c>
      <c r="F13" s="29">
        <f>IFERROR(E13/B13*100,0)</f>
        <v>0</v>
      </c>
      <c r="G13" s="29">
        <f>IFERROR(E13/C13*100,0)</f>
        <v>0</v>
      </c>
      <c r="H13" s="29">
        <f t="shared" ref="H13:AE16" si="3">H19</f>
        <v>0</v>
      </c>
      <c r="I13" s="29">
        <f t="shared" si="3"/>
        <v>0</v>
      </c>
      <c r="J13" s="29">
        <f t="shared" si="3"/>
        <v>0</v>
      </c>
      <c r="K13" s="29">
        <f t="shared" si="3"/>
        <v>0</v>
      </c>
      <c r="L13" s="29">
        <f t="shared" si="3"/>
        <v>0</v>
      </c>
      <c r="M13" s="29">
        <f t="shared" si="3"/>
        <v>0</v>
      </c>
      <c r="N13" s="29">
        <f t="shared" si="3"/>
        <v>0</v>
      </c>
      <c r="O13" s="29">
        <f t="shared" si="3"/>
        <v>0</v>
      </c>
      <c r="P13" s="29">
        <f t="shared" si="3"/>
        <v>0</v>
      </c>
      <c r="Q13" s="29">
        <f t="shared" si="3"/>
        <v>0</v>
      </c>
      <c r="R13" s="29">
        <f t="shared" si="3"/>
        <v>0</v>
      </c>
      <c r="S13" s="29">
        <f t="shared" si="3"/>
        <v>0</v>
      </c>
      <c r="T13" s="29">
        <f t="shared" si="3"/>
        <v>0</v>
      </c>
      <c r="U13" s="29">
        <f t="shared" si="3"/>
        <v>0</v>
      </c>
      <c r="V13" s="29">
        <f t="shared" si="3"/>
        <v>0</v>
      </c>
      <c r="W13" s="29">
        <f t="shared" si="3"/>
        <v>0</v>
      </c>
      <c r="X13" s="29">
        <f t="shared" si="3"/>
        <v>0</v>
      </c>
      <c r="Y13" s="29">
        <f t="shared" si="3"/>
        <v>0</v>
      </c>
      <c r="Z13" s="29">
        <f t="shared" si="3"/>
        <v>0</v>
      </c>
      <c r="AA13" s="29">
        <f t="shared" si="3"/>
        <v>0</v>
      </c>
      <c r="AB13" s="29">
        <f t="shared" si="3"/>
        <v>0</v>
      </c>
      <c r="AC13" s="29">
        <f t="shared" si="3"/>
        <v>0</v>
      </c>
      <c r="AD13" s="29">
        <f t="shared" si="3"/>
        <v>0</v>
      </c>
      <c r="AE13" s="29">
        <f t="shared" si="3"/>
        <v>0</v>
      </c>
      <c r="AF13" s="23"/>
      <c r="AG13" s="24">
        <f t="shared" si="1"/>
        <v>0</v>
      </c>
    </row>
    <row r="14" spans="1:33" x14ac:dyDescent="0.3">
      <c r="A14" s="28" t="s">
        <v>29</v>
      </c>
      <c r="B14" s="29">
        <f>B20</f>
        <v>0</v>
      </c>
      <c r="C14" s="29">
        <f t="shared" si="2"/>
        <v>0</v>
      </c>
      <c r="D14" s="29">
        <f t="shared" si="2"/>
        <v>0</v>
      </c>
      <c r="E14" s="29">
        <f t="shared" si="2"/>
        <v>0</v>
      </c>
      <c r="F14" s="29">
        <f>IFERROR(E14/B14*100,0)</f>
        <v>0</v>
      </c>
      <c r="G14" s="29">
        <f>IFERROR(E14/C14*100,0)</f>
        <v>0</v>
      </c>
      <c r="H14" s="29">
        <f t="shared" si="3"/>
        <v>0</v>
      </c>
      <c r="I14" s="29">
        <f t="shared" si="3"/>
        <v>0</v>
      </c>
      <c r="J14" s="29">
        <f t="shared" si="3"/>
        <v>0</v>
      </c>
      <c r="K14" s="29">
        <f t="shared" si="3"/>
        <v>0</v>
      </c>
      <c r="L14" s="29">
        <f t="shared" si="3"/>
        <v>0</v>
      </c>
      <c r="M14" s="29">
        <f t="shared" si="3"/>
        <v>0</v>
      </c>
      <c r="N14" s="29">
        <f t="shared" si="3"/>
        <v>0</v>
      </c>
      <c r="O14" s="29">
        <f t="shared" si="3"/>
        <v>0</v>
      </c>
      <c r="P14" s="29">
        <f t="shared" si="3"/>
        <v>0</v>
      </c>
      <c r="Q14" s="29">
        <f t="shared" si="3"/>
        <v>0</v>
      </c>
      <c r="R14" s="29">
        <f t="shared" si="3"/>
        <v>0</v>
      </c>
      <c r="S14" s="29">
        <f t="shared" si="3"/>
        <v>0</v>
      </c>
      <c r="T14" s="29">
        <f t="shared" si="3"/>
        <v>0</v>
      </c>
      <c r="U14" s="29">
        <f t="shared" si="3"/>
        <v>0</v>
      </c>
      <c r="V14" s="29">
        <f t="shared" si="3"/>
        <v>0</v>
      </c>
      <c r="W14" s="29">
        <f t="shared" si="3"/>
        <v>0</v>
      </c>
      <c r="X14" s="29">
        <f t="shared" si="3"/>
        <v>0</v>
      </c>
      <c r="Y14" s="29">
        <f t="shared" si="3"/>
        <v>0</v>
      </c>
      <c r="Z14" s="29">
        <f t="shared" si="3"/>
        <v>0</v>
      </c>
      <c r="AA14" s="29">
        <f t="shared" si="3"/>
        <v>0</v>
      </c>
      <c r="AB14" s="29">
        <f t="shared" si="3"/>
        <v>0</v>
      </c>
      <c r="AC14" s="29">
        <f t="shared" si="3"/>
        <v>0</v>
      </c>
      <c r="AD14" s="29">
        <f t="shared" si="3"/>
        <v>0</v>
      </c>
      <c r="AE14" s="29">
        <f t="shared" si="3"/>
        <v>0</v>
      </c>
      <c r="AF14" s="23"/>
      <c r="AG14" s="24">
        <f t="shared" si="1"/>
        <v>0</v>
      </c>
    </row>
    <row r="15" spans="1:33" x14ac:dyDescent="0.3">
      <c r="A15" s="28" t="s">
        <v>30</v>
      </c>
      <c r="B15" s="29">
        <f>B21</f>
        <v>240.00300000000001</v>
      </c>
      <c r="C15" s="29">
        <f>C21</f>
        <v>240.00300000000001</v>
      </c>
      <c r="D15" s="29">
        <f t="shared" si="2"/>
        <v>238.8</v>
      </c>
      <c r="E15" s="29">
        <f t="shared" si="2"/>
        <v>238.8</v>
      </c>
      <c r="F15" s="29">
        <f>IFERROR(E15/B15*100,0)</f>
        <v>99.498756265546689</v>
      </c>
      <c r="G15" s="29">
        <f>IFERROR(E15/C15*100,0)</f>
        <v>99.498756265546689</v>
      </c>
      <c r="H15" s="29">
        <f t="shared" si="3"/>
        <v>0</v>
      </c>
      <c r="I15" s="29">
        <f t="shared" si="3"/>
        <v>0</v>
      </c>
      <c r="J15" s="29">
        <f t="shared" si="3"/>
        <v>137.773</v>
      </c>
      <c r="K15" s="29">
        <f t="shared" si="3"/>
        <v>137.77000000000001</v>
      </c>
      <c r="L15" s="29">
        <f t="shared" si="3"/>
        <v>0</v>
      </c>
      <c r="M15" s="29">
        <f t="shared" si="3"/>
        <v>0</v>
      </c>
      <c r="N15" s="29">
        <f t="shared" si="3"/>
        <v>0</v>
      </c>
      <c r="O15" s="29">
        <f t="shared" si="3"/>
        <v>0</v>
      </c>
      <c r="P15" s="29">
        <f t="shared" si="3"/>
        <v>0</v>
      </c>
      <c r="Q15" s="29">
        <f t="shared" si="3"/>
        <v>0</v>
      </c>
      <c r="R15" s="29">
        <f t="shared" si="3"/>
        <v>101.2</v>
      </c>
      <c r="S15" s="29">
        <f t="shared" si="3"/>
        <v>100</v>
      </c>
      <c r="T15" s="29">
        <f t="shared" si="3"/>
        <v>1.03</v>
      </c>
      <c r="U15" s="29">
        <f t="shared" si="3"/>
        <v>1.03</v>
      </c>
      <c r="V15" s="29">
        <f t="shared" si="3"/>
        <v>0</v>
      </c>
      <c r="W15" s="29">
        <f t="shared" si="3"/>
        <v>0</v>
      </c>
      <c r="X15" s="29">
        <f t="shared" si="3"/>
        <v>0</v>
      </c>
      <c r="Y15" s="29">
        <f t="shared" si="3"/>
        <v>0</v>
      </c>
      <c r="Z15" s="29">
        <f t="shared" si="3"/>
        <v>0</v>
      </c>
      <c r="AA15" s="29">
        <f t="shared" si="3"/>
        <v>0</v>
      </c>
      <c r="AB15" s="29">
        <f t="shared" si="3"/>
        <v>0</v>
      </c>
      <c r="AC15" s="29">
        <f t="shared" si="3"/>
        <v>0</v>
      </c>
      <c r="AD15" s="29">
        <f t="shared" si="3"/>
        <v>0</v>
      </c>
      <c r="AE15" s="29">
        <f t="shared" si="3"/>
        <v>0</v>
      </c>
      <c r="AF15" s="23"/>
      <c r="AG15" s="24">
        <f t="shared" si="1"/>
        <v>1.532107773982716E-14</v>
      </c>
    </row>
    <row r="16" spans="1:33" x14ac:dyDescent="0.3">
      <c r="A16" s="28" t="s">
        <v>31</v>
      </c>
      <c r="B16" s="29">
        <f>B22</f>
        <v>0</v>
      </c>
      <c r="C16" s="29">
        <f t="shared" si="2"/>
        <v>0</v>
      </c>
      <c r="D16" s="29">
        <f t="shared" si="2"/>
        <v>0</v>
      </c>
      <c r="E16" s="29">
        <f t="shared" si="2"/>
        <v>0</v>
      </c>
      <c r="F16" s="29">
        <f>IFERROR(E16/B16*100,0)</f>
        <v>0</v>
      </c>
      <c r="G16" s="29">
        <f>IFERROR(E16/C16*100,0)</f>
        <v>0</v>
      </c>
      <c r="H16" s="29">
        <f t="shared" si="3"/>
        <v>0</v>
      </c>
      <c r="I16" s="29">
        <f t="shared" si="3"/>
        <v>0</v>
      </c>
      <c r="J16" s="29">
        <f t="shared" si="3"/>
        <v>0</v>
      </c>
      <c r="K16" s="29">
        <f t="shared" si="3"/>
        <v>0</v>
      </c>
      <c r="L16" s="29">
        <f t="shared" si="3"/>
        <v>0</v>
      </c>
      <c r="M16" s="29">
        <f t="shared" si="3"/>
        <v>0</v>
      </c>
      <c r="N16" s="29">
        <f t="shared" si="3"/>
        <v>0</v>
      </c>
      <c r="O16" s="29">
        <f t="shared" si="3"/>
        <v>0</v>
      </c>
      <c r="P16" s="29">
        <f t="shared" si="3"/>
        <v>0</v>
      </c>
      <c r="Q16" s="29">
        <f t="shared" si="3"/>
        <v>0</v>
      </c>
      <c r="R16" s="29">
        <f t="shared" si="3"/>
        <v>0</v>
      </c>
      <c r="S16" s="29">
        <f t="shared" si="3"/>
        <v>0</v>
      </c>
      <c r="T16" s="29">
        <f t="shared" si="3"/>
        <v>0</v>
      </c>
      <c r="U16" s="29">
        <f t="shared" si="3"/>
        <v>0</v>
      </c>
      <c r="V16" s="29">
        <f t="shared" si="3"/>
        <v>0</v>
      </c>
      <c r="W16" s="29">
        <f t="shared" si="3"/>
        <v>0</v>
      </c>
      <c r="X16" s="29">
        <f t="shared" si="3"/>
        <v>0</v>
      </c>
      <c r="Y16" s="29">
        <f t="shared" si="3"/>
        <v>0</v>
      </c>
      <c r="Z16" s="29">
        <f t="shared" si="3"/>
        <v>0</v>
      </c>
      <c r="AA16" s="29">
        <f t="shared" si="3"/>
        <v>0</v>
      </c>
      <c r="AB16" s="29">
        <f t="shared" si="3"/>
        <v>0</v>
      </c>
      <c r="AC16" s="29">
        <f t="shared" si="3"/>
        <v>0</v>
      </c>
      <c r="AD16" s="29">
        <f t="shared" si="3"/>
        <v>0</v>
      </c>
      <c r="AE16" s="29">
        <f t="shared" si="3"/>
        <v>0</v>
      </c>
      <c r="AF16" s="23"/>
      <c r="AG16" s="24">
        <f t="shared" si="1"/>
        <v>0</v>
      </c>
    </row>
    <row r="17" spans="1:33" ht="75" customHeight="1" x14ac:dyDescent="0.3">
      <c r="A17" s="30" t="s">
        <v>32</v>
      </c>
      <c r="B17" s="31"/>
      <c r="C17" s="32"/>
      <c r="D17" s="32"/>
      <c r="E17" s="32"/>
      <c r="F17" s="32"/>
      <c r="G17" s="32"/>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4"/>
      <c r="AG17" s="24">
        <f t="shared" si="1"/>
        <v>0</v>
      </c>
    </row>
    <row r="18" spans="1:33" s="41" customFormat="1" x14ac:dyDescent="0.3">
      <c r="A18" s="35" t="s">
        <v>27</v>
      </c>
      <c r="B18" s="36">
        <f>B20+B21+B19+B22</f>
        <v>240.00300000000001</v>
      </c>
      <c r="C18" s="36">
        <f>C20+C21+C19+C22</f>
        <v>240.00300000000001</v>
      </c>
      <c r="D18" s="37">
        <f>D20+D21+D19+D22</f>
        <v>238.8</v>
      </c>
      <c r="E18" s="36">
        <f>E20+E21+E19+E22</f>
        <v>238.8</v>
      </c>
      <c r="F18" s="36">
        <f>IFERROR(E18/B18*100,0)</f>
        <v>99.498756265546689</v>
      </c>
      <c r="G18" s="36">
        <f>IFERROR(E18/C18*100,0)</f>
        <v>99.498756265546689</v>
      </c>
      <c r="H18" s="36">
        <f t="shared" ref="H18:AE18" si="4">H20+H21+H19+H22</f>
        <v>0</v>
      </c>
      <c r="I18" s="36">
        <f t="shared" si="4"/>
        <v>0</v>
      </c>
      <c r="J18" s="36">
        <f t="shared" si="4"/>
        <v>137.773</v>
      </c>
      <c r="K18" s="36">
        <f t="shared" si="4"/>
        <v>137.77000000000001</v>
      </c>
      <c r="L18" s="36">
        <f t="shared" si="4"/>
        <v>0</v>
      </c>
      <c r="M18" s="36">
        <f t="shared" si="4"/>
        <v>0</v>
      </c>
      <c r="N18" s="36">
        <f t="shared" si="4"/>
        <v>0</v>
      </c>
      <c r="O18" s="36">
        <f t="shared" si="4"/>
        <v>0</v>
      </c>
      <c r="P18" s="36">
        <f t="shared" si="4"/>
        <v>0</v>
      </c>
      <c r="Q18" s="36">
        <f t="shared" si="4"/>
        <v>0</v>
      </c>
      <c r="R18" s="36">
        <f t="shared" si="4"/>
        <v>101.2</v>
      </c>
      <c r="S18" s="36">
        <f t="shared" si="4"/>
        <v>100</v>
      </c>
      <c r="T18" s="36">
        <f t="shared" si="4"/>
        <v>1.03</v>
      </c>
      <c r="U18" s="36">
        <f t="shared" si="4"/>
        <v>1.03</v>
      </c>
      <c r="V18" s="38">
        <f t="shared" si="4"/>
        <v>0</v>
      </c>
      <c r="W18" s="38">
        <f t="shared" si="4"/>
        <v>0</v>
      </c>
      <c r="X18" s="38">
        <f t="shared" si="4"/>
        <v>0</v>
      </c>
      <c r="Y18" s="38">
        <f t="shared" si="4"/>
        <v>0</v>
      </c>
      <c r="Z18" s="38">
        <f t="shared" si="4"/>
        <v>0</v>
      </c>
      <c r="AA18" s="36">
        <f t="shared" si="4"/>
        <v>0</v>
      </c>
      <c r="AB18" s="36">
        <f t="shared" si="4"/>
        <v>0</v>
      </c>
      <c r="AC18" s="36">
        <f t="shared" si="4"/>
        <v>0</v>
      </c>
      <c r="AD18" s="36">
        <f t="shared" si="4"/>
        <v>0</v>
      </c>
      <c r="AE18" s="36">
        <f t="shared" si="4"/>
        <v>0</v>
      </c>
      <c r="AF18" s="39"/>
      <c r="AG18" s="40">
        <f t="shared" si="1"/>
        <v>1.532107773982716E-14</v>
      </c>
    </row>
    <row r="19" spans="1:33" s="41" customFormat="1" x14ac:dyDescent="0.3">
      <c r="A19" s="42" t="s">
        <v>28</v>
      </c>
      <c r="B19" s="31">
        <f>J19+L19+N19+P19+R19+T19+V19+X19+Z19+AB19+AD19+H19</f>
        <v>0</v>
      </c>
      <c r="C19" s="43">
        <f>SUM(H19)</f>
        <v>0</v>
      </c>
      <c r="D19" s="44">
        <f>E19</f>
        <v>0</v>
      </c>
      <c r="E19" s="43">
        <f>SUM(I19,K19,M19,O19,Q19,S19,U19,W19,Y19,AA19,AC19,AE19)</f>
        <v>0</v>
      </c>
      <c r="F19" s="31">
        <f>IFERROR(E19/B19*100,0)</f>
        <v>0</v>
      </c>
      <c r="G19" s="31">
        <f>IFERROR(E19/C19*100,0)</f>
        <v>0</v>
      </c>
      <c r="H19" s="45"/>
      <c r="I19" s="45"/>
      <c r="J19" s="45"/>
      <c r="K19" s="45"/>
      <c r="L19" s="45"/>
      <c r="M19" s="45"/>
      <c r="N19" s="45"/>
      <c r="O19" s="45"/>
      <c r="P19" s="45"/>
      <c r="Q19" s="45"/>
      <c r="R19" s="45"/>
      <c r="S19" s="45"/>
      <c r="T19" s="45"/>
      <c r="U19" s="45"/>
      <c r="V19" s="45"/>
      <c r="W19" s="45"/>
      <c r="X19" s="45"/>
      <c r="Y19" s="45"/>
      <c r="Z19" s="45"/>
      <c r="AA19" s="45"/>
      <c r="AB19" s="45"/>
      <c r="AC19" s="45"/>
      <c r="AD19" s="45"/>
      <c r="AE19" s="45"/>
      <c r="AF19" s="39"/>
      <c r="AG19" s="40">
        <f t="shared" si="1"/>
        <v>0</v>
      </c>
    </row>
    <row r="20" spans="1:33" s="41" customFormat="1" x14ac:dyDescent="0.3">
      <c r="A20" s="42" t="s">
        <v>29</v>
      </c>
      <c r="B20" s="31">
        <f>J20+L20+N20+P20+R20+T20+V20+X20+Z20+AB20+AD20+H20</f>
        <v>0</v>
      </c>
      <c r="C20" s="43">
        <f>SUM(H20)</f>
        <v>0</v>
      </c>
      <c r="D20" s="44">
        <f>E20</f>
        <v>0</v>
      </c>
      <c r="E20" s="43">
        <f>SUM(I20,K20,M20,O20,Q20,S20,U20,W20,Y20,AA20,AC20,AE20)</f>
        <v>0</v>
      </c>
      <c r="F20" s="31">
        <f>IFERROR(E20/B20*100,0)</f>
        <v>0</v>
      </c>
      <c r="G20" s="31">
        <f>IFERROR(E20/C20*100,0)</f>
        <v>0</v>
      </c>
      <c r="H20" s="45"/>
      <c r="I20" s="45"/>
      <c r="J20" s="45"/>
      <c r="K20" s="45"/>
      <c r="L20" s="45"/>
      <c r="M20" s="45"/>
      <c r="N20" s="45"/>
      <c r="O20" s="45"/>
      <c r="P20" s="45"/>
      <c r="Q20" s="45"/>
      <c r="R20" s="45"/>
      <c r="S20" s="45"/>
      <c r="T20" s="45"/>
      <c r="U20" s="45"/>
      <c r="V20" s="45"/>
      <c r="W20" s="45"/>
      <c r="X20" s="45"/>
      <c r="Y20" s="45"/>
      <c r="Z20" s="45"/>
      <c r="AA20" s="45"/>
      <c r="AB20" s="45"/>
      <c r="AC20" s="45"/>
      <c r="AD20" s="45"/>
      <c r="AE20" s="45"/>
      <c r="AF20" s="39"/>
      <c r="AG20" s="40">
        <f t="shared" si="1"/>
        <v>0</v>
      </c>
    </row>
    <row r="21" spans="1:33" s="41" customFormat="1" x14ac:dyDescent="0.3">
      <c r="A21" s="42" t="s">
        <v>30</v>
      </c>
      <c r="B21" s="31">
        <f>J21+L21+N21+P21+R21+T21+V21+X21+Z21+AB21+AD21+H21</f>
        <v>240.00300000000001</v>
      </c>
      <c r="C21" s="43">
        <f>H21+J21+L21+N21+P21+R21+T21</f>
        <v>240.00300000000001</v>
      </c>
      <c r="D21" s="44">
        <f>E21</f>
        <v>238.8</v>
      </c>
      <c r="E21" s="43">
        <f>SUM(I21,K21,M21,O21,Q21,S21,U21,W21,Y21,AA21,AC21,AE21)</f>
        <v>238.8</v>
      </c>
      <c r="F21" s="31">
        <f>IFERROR(E21/B21*100,0)</f>
        <v>99.498756265546689</v>
      </c>
      <c r="G21" s="31">
        <f>IFERROR(E21/C21*100,0)</f>
        <v>99.498756265546689</v>
      </c>
      <c r="H21" s="45"/>
      <c r="I21" s="45"/>
      <c r="J21" s="45">
        <v>137.773</v>
      </c>
      <c r="K21" s="45">
        <v>137.77000000000001</v>
      </c>
      <c r="L21" s="45"/>
      <c r="M21" s="45"/>
      <c r="N21" s="45"/>
      <c r="O21" s="45"/>
      <c r="P21" s="45"/>
      <c r="Q21" s="45"/>
      <c r="R21" s="45">
        <f>2.23+100-1.03</f>
        <v>101.2</v>
      </c>
      <c r="S21" s="45">
        <v>100</v>
      </c>
      <c r="T21" s="45">
        <v>1.03</v>
      </c>
      <c r="U21" s="45">
        <v>1.03</v>
      </c>
      <c r="V21" s="45"/>
      <c r="W21" s="45"/>
      <c r="X21" s="45"/>
      <c r="Y21" s="45"/>
      <c r="Z21" s="45"/>
      <c r="AA21" s="45"/>
      <c r="AB21" s="45"/>
      <c r="AC21" s="45"/>
      <c r="AD21" s="45"/>
      <c r="AE21" s="45"/>
      <c r="AF21" s="39"/>
      <c r="AG21" s="40">
        <f t="shared" si="1"/>
        <v>1.532107773982716E-14</v>
      </c>
    </row>
    <row r="22" spans="1:33" x14ac:dyDescent="0.3">
      <c r="A22" s="46" t="s">
        <v>31</v>
      </c>
      <c r="B22" s="47"/>
      <c r="C22" s="48"/>
      <c r="D22" s="49"/>
      <c r="E22" s="48"/>
      <c r="F22" s="47"/>
      <c r="G22" s="47"/>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4"/>
      <c r="AG22" s="24">
        <f t="shared" si="1"/>
        <v>0</v>
      </c>
    </row>
    <row r="23" spans="1:33" ht="56.25" customHeight="1" x14ac:dyDescent="0.3">
      <c r="A23" s="20" t="s">
        <v>33</v>
      </c>
      <c r="B23" s="21"/>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3"/>
      <c r="AG23" s="24">
        <f t="shared" si="1"/>
        <v>0</v>
      </c>
    </row>
    <row r="24" spans="1:33" x14ac:dyDescent="0.3">
      <c r="A24" s="25" t="s">
        <v>27</v>
      </c>
      <c r="B24" s="26">
        <f>B25+B26+B27+B28</f>
        <v>0</v>
      </c>
      <c r="C24" s="26">
        <f>C25+C26+C27+C28</f>
        <v>0</v>
      </c>
      <c r="D24" s="26">
        <f>D25+D26+D27+D28</f>
        <v>0</v>
      </c>
      <c r="E24" s="26">
        <f>E25+E26+E27+E28</f>
        <v>0</v>
      </c>
      <c r="F24" s="27">
        <f>IFERROR(E24/B24*100,0)</f>
        <v>0</v>
      </c>
      <c r="G24" s="27">
        <f>IFERROR(E24/C24*100,0)</f>
        <v>0</v>
      </c>
      <c r="H24" s="26">
        <f>H25+H26+H27+H28</f>
        <v>0</v>
      </c>
      <c r="I24" s="26">
        <f t="shared" ref="I24:AE24" si="5">I25+I26+I27+I28</f>
        <v>0</v>
      </c>
      <c r="J24" s="26">
        <f t="shared" si="5"/>
        <v>0</v>
      </c>
      <c r="K24" s="26">
        <f t="shared" si="5"/>
        <v>0</v>
      </c>
      <c r="L24" s="26">
        <f t="shared" si="5"/>
        <v>0</v>
      </c>
      <c r="M24" s="26">
        <f t="shared" si="5"/>
        <v>0</v>
      </c>
      <c r="N24" s="26">
        <f t="shared" si="5"/>
        <v>0</v>
      </c>
      <c r="O24" s="26">
        <f t="shared" si="5"/>
        <v>0</v>
      </c>
      <c r="P24" s="26">
        <f t="shared" si="5"/>
        <v>0</v>
      </c>
      <c r="Q24" s="26">
        <f t="shared" si="5"/>
        <v>0</v>
      </c>
      <c r="R24" s="26">
        <f t="shared" si="5"/>
        <v>0</v>
      </c>
      <c r="S24" s="26">
        <f t="shared" si="5"/>
        <v>0</v>
      </c>
      <c r="T24" s="26">
        <f t="shared" si="5"/>
        <v>0</v>
      </c>
      <c r="U24" s="26">
        <f t="shared" si="5"/>
        <v>0</v>
      </c>
      <c r="V24" s="26">
        <f t="shared" si="5"/>
        <v>0</v>
      </c>
      <c r="W24" s="26">
        <f t="shared" si="5"/>
        <v>0</v>
      </c>
      <c r="X24" s="26">
        <f t="shared" si="5"/>
        <v>0</v>
      </c>
      <c r="Y24" s="26">
        <f t="shared" si="5"/>
        <v>0</v>
      </c>
      <c r="Z24" s="26">
        <f t="shared" si="5"/>
        <v>0</v>
      </c>
      <c r="AA24" s="26">
        <f t="shared" si="5"/>
        <v>0</v>
      </c>
      <c r="AB24" s="26">
        <f t="shared" si="5"/>
        <v>0</v>
      </c>
      <c r="AC24" s="26">
        <f t="shared" si="5"/>
        <v>0</v>
      </c>
      <c r="AD24" s="26">
        <f t="shared" si="5"/>
        <v>0</v>
      </c>
      <c r="AE24" s="26">
        <f t="shared" si="5"/>
        <v>0</v>
      </c>
      <c r="AF24" s="23"/>
      <c r="AG24" s="24">
        <f t="shared" si="1"/>
        <v>0</v>
      </c>
    </row>
    <row r="25" spans="1:33" x14ac:dyDescent="0.3">
      <c r="A25" s="28" t="s">
        <v>28</v>
      </c>
      <c r="B25" s="29">
        <f>J25+L25+N25+P25+R25+T25+V25+X25+Z25+AB25+AD25+H25</f>
        <v>0</v>
      </c>
      <c r="C25" s="29">
        <f>SUM(H25)</f>
        <v>0</v>
      </c>
      <c r="D25" s="29">
        <f>E25</f>
        <v>0</v>
      </c>
      <c r="E25" s="29">
        <f>SUM(I25,K25,M25,O25,Q25,S25,U25,W25,Y25,AA25,AC25,AE25)</f>
        <v>0</v>
      </c>
      <c r="F25" s="29">
        <f>IFERROR(E25/B25*100,0)</f>
        <v>0</v>
      </c>
      <c r="G25" s="29">
        <f>IFERROR(E25/C25*100,0)</f>
        <v>0</v>
      </c>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3"/>
      <c r="AG25" s="24">
        <f t="shared" si="1"/>
        <v>0</v>
      </c>
    </row>
    <row r="26" spans="1:33" x14ac:dyDescent="0.3">
      <c r="A26" s="28" t="s">
        <v>29</v>
      </c>
      <c r="B26" s="29">
        <f>J26+L26+N26+P26+R26+T26+V26+X26+Z26+AB26+AD26+H26</f>
        <v>0</v>
      </c>
      <c r="C26" s="29">
        <f>SUM(H26)</f>
        <v>0</v>
      </c>
      <c r="D26" s="29">
        <f>E26</f>
        <v>0</v>
      </c>
      <c r="E26" s="29">
        <f>SUM(I26,K26,M26,O26,Q26,S26,U26,W26,Y26,AA26,AC26,AE26)</f>
        <v>0</v>
      </c>
      <c r="F26" s="29">
        <f>IFERROR(E26/B26*100,0)</f>
        <v>0</v>
      </c>
      <c r="G26" s="29">
        <f>IFERROR(E26/C26*100,0)</f>
        <v>0</v>
      </c>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3"/>
      <c r="AG26" s="24">
        <f t="shared" si="1"/>
        <v>0</v>
      </c>
    </row>
    <row r="27" spans="1:33" x14ac:dyDescent="0.3">
      <c r="A27" s="28" t="s">
        <v>30</v>
      </c>
      <c r="B27" s="29">
        <f>J27+L27+N27+P27+R27+T27+V27+X27+Z27+AB27+AD27+H27</f>
        <v>0</v>
      </c>
      <c r="C27" s="29">
        <f>SUM(H27)</f>
        <v>0</v>
      </c>
      <c r="D27" s="29">
        <f>E27</f>
        <v>0</v>
      </c>
      <c r="E27" s="29">
        <f>SUM(I27,K27,M27,O27,Q27,S27,U27,W27,Y27,AA27,AC27,AE27)</f>
        <v>0</v>
      </c>
      <c r="F27" s="29">
        <f>IFERROR(E27/B27*100,0)</f>
        <v>0</v>
      </c>
      <c r="G27" s="29">
        <f>IFERROR(E27/C27*100,0)</f>
        <v>0</v>
      </c>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3"/>
      <c r="AG27" s="24">
        <f t="shared" si="1"/>
        <v>0</v>
      </c>
    </row>
    <row r="28" spans="1:33" x14ac:dyDescent="0.3">
      <c r="A28" s="28" t="s">
        <v>31</v>
      </c>
      <c r="B28" s="29">
        <f>J28+L28+N28+P28+R28+T28+V28+X28+Z28+AB28+AD28+H28</f>
        <v>0</v>
      </c>
      <c r="C28" s="29">
        <f>SUM(H28)</f>
        <v>0</v>
      </c>
      <c r="D28" s="29">
        <f>E28</f>
        <v>0</v>
      </c>
      <c r="E28" s="29">
        <f>SUM(I28,K28,M28,O28,Q28,S28,U28,W28,Y28,AA28,AC28,AE28)</f>
        <v>0</v>
      </c>
      <c r="F28" s="29">
        <f>IFERROR(E28/B28*100,0)</f>
        <v>0</v>
      </c>
      <c r="G28" s="29">
        <f>IFERROR(E28/C28*100,0)</f>
        <v>0</v>
      </c>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3"/>
      <c r="AG28" s="24">
        <f t="shared" si="1"/>
        <v>0</v>
      </c>
    </row>
    <row r="29" spans="1:33" s="19" customFormat="1" x14ac:dyDescent="0.3">
      <c r="A29" s="16" t="s">
        <v>34</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8"/>
      <c r="AG29" s="24">
        <f t="shared" si="1"/>
        <v>0</v>
      </c>
    </row>
    <row r="30" spans="1:33" ht="37.5" x14ac:dyDescent="0.3">
      <c r="A30" s="20" t="s">
        <v>35</v>
      </c>
      <c r="B30" s="21"/>
      <c r="C30" s="22"/>
      <c r="D30" s="22"/>
      <c r="E30" s="22"/>
      <c r="F30" s="22"/>
      <c r="G30" s="22"/>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3"/>
      <c r="AG30" s="24">
        <f t="shared" si="1"/>
        <v>0</v>
      </c>
    </row>
    <row r="31" spans="1:33" x14ac:dyDescent="0.3">
      <c r="A31" s="25" t="s">
        <v>27</v>
      </c>
      <c r="B31" s="26">
        <f>B32+B33+B34+B35</f>
        <v>3377.5</v>
      </c>
      <c r="C31" s="26">
        <f>C32+C33+C34+C35</f>
        <v>824.15000000000009</v>
      </c>
      <c r="D31" s="26">
        <f>D32+D33+D34+D35</f>
        <v>1636.0070000000001</v>
      </c>
      <c r="E31" s="26">
        <f>E32+E33+E34+E35</f>
        <v>1636.0070000000001</v>
      </c>
      <c r="F31" s="27">
        <f>IFERROR(E31/B31*100,0)</f>
        <v>48.438401184307921</v>
      </c>
      <c r="G31" s="27">
        <f>IFERROR(E31/C31*100,0)</f>
        <v>198.50840259661467</v>
      </c>
      <c r="H31" s="26">
        <f>H32+H33+H34+H35</f>
        <v>300</v>
      </c>
      <c r="I31" s="26">
        <f t="shared" ref="I31:AE31" si="6">I32+I33+I34+I35</f>
        <v>256.2</v>
      </c>
      <c r="J31" s="26">
        <f t="shared" si="6"/>
        <v>289.64999999999998</v>
      </c>
      <c r="K31" s="26">
        <f t="shared" si="6"/>
        <v>307.20699999999999</v>
      </c>
      <c r="L31" s="26">
        <f t="shared" si="6"/>
        <v>176.8</v>
      </c>
      <c r="M31" s="26">
        <f t="shared" si="6"/>
        <v>200.64</v>
      </c>
      <c r="N31" s="26">
        <f t="shared" si="6"/>
        <v>57.7</v>
      </c>
      <c r="O31" s="26">
        <f t="shared" si="6"/>
        <v>57.7</v>
      </c>
      <c r="P31" s="26">
        <f t="shared" si="6"/>
        <v>224.4</v>
      </c>
      <c r="Q31" s="26">
        <f t="shared" si="6"/>
        <v>0</v>
      </c>
      <c r="R31" s="26">
        <f t="shared" si="6"/>
        <v>673</v>
      </c>
      <c r="S31" s="26">
        <f t="shared" si="6"/>
        <v>784.26</v>
      </c>
      <c r="T31" s="26">
        <f t="shared" si="6"/>
        <v>1030</v>
      </c>
      <c r="U31" s="26">
        <f t="shared" si="6"/>
        <v>30</v>
      </c>
      <c r="V31" s="26">
        <f t="shared" si="6"/>
        <v>85.86</v>
      </c>
      <c r="W31" s="26">
        <f t="shared" si="6"/>
        <v>0</v>
      </c>
      <c r="X31" s="26">
        <f t="shared" si="6"/>
        <v>0</v>
      </c>
      <c r="Y31" s="26">
        <f t="shared" si="6"/>
        <v>0</v>
      </c>
      <c r="Z31" s="26">
        <f t="shared" si="6"/>
        <v>0</v>
      </c>
      <c r="AA31" s="26">
        <f t="shared" si="6"/>
        <v>0</v>
      </c>
      <c r="AB31" s="26">
        <f t="shared" si="6"/>
        <v>0</v>
      </c>
      <c r="AC31" s="26">
        <f t="shared" si="6"/>
        <v>0</v>
      </c>
      <c r="AD31" s="26">
        <f t="shared" si="6"/>
        <v>540.08999999999992</v>
      </c>
      <c r="AE31" s="26">
        <f t="shared" si="6"/>
        <v>0</v>
      </c>
      <c r="AF31" s="23"/>
      <c r="AG31" s="24">
        <f t="shared" si="1"/>
        <v>0</v>
      </c>
    </row>
    <row r="32" spans="1:33" x14ac:dyDescent="0.3">
      <c r="A32" s="28" t="s">
        <v>28</v>
      </c>
      <c r="B32" s="29">
        <f>J32+L32+N32+P32+R32+T32+V32+X32+Z32+AB32+AD32+H32</f>
        <v>0</v>
      </c>
      <c r="C32" s="29">
        <f>SUM(H32)</f>
        <v>0</v>
      </c>
      <c r="D32" s="29">
        <f>E32</f>
        <v>0</v>
      </c>
      <c r="E32" s="29">
        <f>SUM(I32,K32,M32,O32,Q32,S32,U32,W32,Y32,AA32,AC32,AE32)</f>
        <v>0</v>
      </c>
      <c r="F32" s="29">
        <f>IFERROR(E32/B32*100,0)</f>
        <v>0</v>
      </c>
      <c r="G32" s="29">
        <f>IFERROR(E32/C32*100,0)</f>
        <v>0</v>
      </c>
      <c r="H32" s="29">
        <f>H38+H44+H50</f>
        <v>0</v>
      </c>
      <c r="I32" s="29">
        <f t="shared" ref="I32:AE35" si="7">I38+I44+I50</f>
        <v>0</v>
      </c>
      <c r="J32" s="29">
        <f t="shared" si="7"/>
        <v>0</v>
      </c>
      <c r="K32" s="29">
        <f t="shared" si="7"/>
        <v>0</v>
      </c>
      <c r="L32" s="29">
        <f t="shared" si="7"/>
        <v>0</v>
      </c>
      <c r="M32" s="29">
        <f t="shared" si="7"/>
        <v>0</v>
      </c>
      <c r="N32" s="29">
        <f t="shared" si="7"/>
        <v>0</v>
      </c>
      <c r="O32" s="29">
        <f t="shared" si="7"/>
        <v>0</v>
      </c>
      <c r="P32" s="29">
        <f t="shared" si="7"/>
        <v>0</v>
      </c>
      <c r="Q32" s="29">
        <f t="shared" si="7"/>
        <v>0</v>
      </c>
      <c r="R32" s="29">
        <f t="shared" si="7"/>
        <v>0</v>
      </c>
      <c r="S32" s="29">
        <f t="shared" si="7"/>
        <v>0</v>
      </c>
      <c r="T32" s="29">
        <f t="shared" si="7"/>
        <v>0</v>
      </c>
      <c r="U32" s="29">
        <f t="shared" si="7"/>
        <v>0</v>
      </c>
      <c r="V32" s="29">
        <f t="shared" si="7"/>
        <v>0</v>
      </c>
      <c r="W32" s="29">
        <f t="shared" si="7"/>
        <v>0</v>
      </c>
      <c r="X32" s="29">
        <f t="shared" si="7"/>
        <v>0</v>
      </c>
      <c r="Y32" s="29">
        <f t="shared" si="7"/>
        <v>0</v>
      </c>
      <c r="Z32" s="29">
        <f t="shared" si="7"/>
        <v>0</v>
      </c>
      <c r="AA32" s="29">
        <f t="shared" si="7"/>
        <v>0</v>
      </c>
      <c r="AB32" s="29">
        <f t="shared" si="7"/>
        <v>0</v>
      </c>
      <c r="AC32" s="29">
        <f t="shared" si="7"/>
        <v>0</v>
      </c>
      <c r="AD32" s="29">
        <f t="shared" si="7"/>
        <v>0</v>
      </c>
      <c r="AE32" s="29">
        <f t="shared" si="7"/>
        <v>0</v>
      </c>
      <c r="AF32" s="23"/>
      <c r="AG32" s="24">
        <f t="shared" si="1"/>
        <v>0</v>
      </c>
    </row>
    <row r="33" spans="1:33" x14ac:dyDescent="0.3">
      <c r="A33" s="28" t="s">
        <v>29</v>
      </c>
      <c r="B33" s="29">
        <f>J33+L33+N33+P33+R33+T33+V33+X33+Z33+AB33+AD33+H33</f>
        <v>0</v>
      </c>
      <c r="C33" s="29">
        <f>SUM(H33)</f>
        <v>0</v>
      </c>
      <c r="D33" s="29">
        <f>E33</f>
        <v>0</v>
      </c>
      <c r="E33" s="29">
        <f>SUM(I33,K33,M33,O33,Q33,S33,U33,W33,Y33,AA33,AC33,AE33)</f>
        <v>0</v>
      </c>
      <c r="F33" s="29">
        <f>IFERROR(E33/B33*100,0)</f>
        <v>0</v>
      </c>
      <c r="G33" s="29">
        <f>IFERROR(E33/C33*100,0)</f>
        <v>0</v>
      </c>
      <c r="H33" s="29">
        <f>H39+H45+H51</f>
        <v>0</v>
      </c>
      <c r="I33" s="29">
        <f t="shared" si="7"/>
        <v>0</v>
      </c>
      <c r="J33" s="29">
        <f t="shared" si="7"/>
        <v>0</v>
      </c>
      <c r="K33" s="29">
        <f t="shared" si="7"/>
        <v>0</v>
      </c>
      <c r="L33" s="29">
        <f t="shared" si="7"/>
        <v>0</v>
      </c>
      <c r="M33" s="29">
        <f t="shared" si="7"/>
        <v>0</v>
      </c>
      <c r="N33" s="29">
        <f t="shared" si="7"/>
        <v>0</v>
      </c>
      <c r="O33" s="29">
        <f t="shared" si="7"/>
        <v>0</v>
      </c>
      <c r="P33" s="29">
        <f t="shared" si="7"/>
        <v>0</v>
      </c>
      <c r="Q33" s="29">
        <f t="shared" si="7"/>
        <v>0</v>
      </c>
      <c r="R33" s="29">
        <f t="shared" si="7"/>
        <v>0</v>
      </c>
      <c r="S33" s="29">
        <f t="shared" si="7"/>
        <v>0</v>
      </c>
      <c r="T33" s="29">
        <f t="shared" si="7"/>
        <v>0</v>
      </c>
      <c r="U33" s="29">
        <f t="shared" si="7"/>
        <v>0</v>
      </c>
      <c r="V33" s="29">
        <f t="shared" si="7"/>
        <v>0</v>
      </c>
      <c r="W33" s="29">
        <f t="shared" si="7"/>
        <v>0</v>
      </c>
      <c r="X33" s="29">
        <f t="shared" si="7"/>
        <v>0</v>
      </c>
      <c r="Y33" s="29">
        <f t="shared" si="7"/>
        <v>0</v>
      </c>
      <c r="Z33" s="29">
        <f t="shared" si="7"/>
        <v>0</v>
      </c>
      <c r="AA33" s="29">
        <f t="shared" si="7"/>
        <v>0</v>
      </c>
      <c r="AB33" s="29">
        <f t="shared" si="7"/>
        <v>0</v>
      </c>
      <c r="AC33" s="29">
        <f t="shared" si="7"/>
        <v>0</v>
      </c>
      <c r="AD33" s="29">
        <f t="shared" si="7"/>
        <v>0</v>
      </c>
      <c r="AE33" s="29">
        <f t="shared" si="7"/>
        <v>0</v>
      </c>
      <c r="AF33" s="23"/>
      <c r="AG33" s="24">
        <f t="shared" si="1"/>
        <v>0</v>
      </c>
    </row>
    <row r="34" spans="1:33" x14ac:dyDescent="0.3">
      <c r="A34" s="28" t="s">
        <v>30</v>
      </c>
      <c r="B34" s="31">
        <f>J34+L34+N34+P34+R34+T34+V34+X34+Z34+AB34+AD34+H34</f>
        <v>2959.5</v>
      </c>
      <c r="C34" s="29">
        <f>H34+J34+L34+N34</f>
        <v>824.15000000000009</v>
      </c>
      <c r="D34" s="29">
        <f>E34</f>
        <v>1218.0070000000001</v>
      </c>
      <c r="E34" s="29">
        <f>SUM(I34,K34,M34,O34,Q34,S34,U34,W34,Y34,AA34,AC34,AE34)</f>
        <v>1218.0070000000001</v>
      </c>
      <c r="F34" s="29">
        <f>IFERROR(E34/B34*100,0)</f>
        <v>41.155837134651122</v>
      </c>
      <c r="G34" s="29">
        <f>IFERROR(E34/C34*100,0)</f>
        <v>147.78948007037553</v>
      </c>
      <c r="H34" s="29">
        <f>H40+H46+H52+H58</f>
        <v>300</v>
      </c>
      <c r="I34" s="29">
        <f t="shared" ref="I34:AF34" si="8">I40+I46+I52+I58</f>
        <v>256.2</v>
      </c>
      <c r="J34" s="29">
        <f t="shared" si="8"/>
        <v>289.64999999999998</v>
      </c>
      <c r="K34" s="29">
        <f t="shared" si="8"/>
        <v>307.20699999999999</v>
      </c>
      <c r="L34" s="29">
        <f>L40+L46+L52+L58</f>
        <v>176.8</v>
      </c>
      <c r="M34" s="29">
        <f t="shared" si="8"/>
        <v>200.64</v>
      </c>
      <c r="N34" s="29">
        <f t="shared" si="8"/>
        <v>57.7</v>
      </c>
      <c r="O34" s="29">
        <f t="shared" si="8"/>
        <v>57.7</v>
      </c>
      <c r="P34" s="29">
        <f t="shared" si="8"/>
        <v>224.4</v>
      </c>
      <c r="Q34" s="29">
        <f t="shared" si="8"/>
        <v>0</v>
      </c>
      <c r="R34" s="29">
        <f t="shared" si="8"/>
        <v>255</v>
      </c>
      <c r="S34" s="29">
        <f t="shared" si="8"/>
        <v>366.26</v>
      </c>
      <c r="T34" s="29">
        <f t="shared" si="8"/>
        <v>1030</v>
      </c>
      <c r="U34" s="29">
        <f t="shared" si="8"/>
        <v>30</v>
      </c>
      <c r="V34" s="29">
        <f t="shared" si="8"/>
        <v>85.86</v>
      </c>
      <c r="W34" s="29">
        <f t="shared" si="8"/>
        <v>0</v>
      </c>
      <c r="X34" s="29">
        <f t="shared" si="8"/>
        <v>0</v>
      </c>
      <c r="Y34" s="29">
        <f t="shared" si="8"/>
        <v>0</v>
      </c>
      <c r="Z34" s="29">
        <f t="shared" si="8"/>
        <v>0</v>
      </c>
      <c r="AA34" s="29">
        <f t="shared" si="8"/>
        <v>0</v>
      </c>
      <c r="AB34" s="29">
        <f t="shared" si="8"/>
        <v>0</v>
      </c>
      <c r="AC34" s="29">
        <f t="shared" si="8"/>
        <v>0</v>
      </c>
      <c r="AD34" s="29">
        <f t="shared" si="8"/>
        <v>540.08999999999992</v>
      </c>
      <c r="AE34" s="29">
        <f t="shared" si="8"/>
        <v>0</v>
      </c>
      <c r="AF34" s="29">
        <f t="shared" si="8"/>
        <v>0</v>
      </c>
      <c r="AG34" s="24">
        <f t="shared" si="1"/>
        <v>0</v>
      </c>
    </row>
    <row r="35" spans="1:33" x14ac:dyDescent="0.3">
      <c r="A35" s="28" t="s">
        <v>31</v>
      </c>
      <c r="B35" s="29">
        <f>J35+L35+N35+P35+R35+T35+V35+X35+Z35+AB35+AD35+H35</f>
        <v>418</v>
      </c>
      <c r="C35" s="29">
        <f>SUM(H35)</f>
        <v>0</v>
      </c>
      <c r="D35" s="29">
        <f>E35</f>
        <v>418</v>
      </c>
      <c r="E35" s="29">
        <f>SUM(I35,K35,M35,O35,Q35,S35,U35,W35,Y35,AA35,AC35,AE35)</f>
        <v>418</v>
      </c>
      <c r="F35" s="29">
        <f>IFERROR(E35/B35*100,0)</f>
        <v>100</v>
      </c>
      <c r="G35" s="29">
        <f>IFERROR(E35/C35*100,0)</f>
        <v>0</v>
      </c>
      <c r="H35" s="29">
        <f>H41+H47+H53</f>
        <v>0</v>
      </c>
      <c r="I35" s="29">
        <f t="shared" si="7"/>
        <v>0</v>
      </c>
      <c r="J35" s="29">
        <f t="shared" si="7"/>
        <v>0</v>
      </c>
      <c r="K35" s="29">
        <f t="shared" si="7"/>
        <v>0</v>
      </c>
      <c r="L35" s="29">
        <f t="shared" si="7"/>
        <v>0</v>
      </c>
      <c r="M35" s="29">
        <f t="shared" si="7"/>
        <v>0</v>
      </c>
      <c r="N35" s="29">
        <f t="shared" si="7"/>
        <v>0</v>
      </c>
      <c r="O35" s="29">
        <f t="shared" si="7"/>
        <v>0</v>
      </c>
      <c r="P35" s="29">
        <f t="shared" si="7"/>
        <v>0</v>
      </c>
      <c r="Q35" s="29">
        <f t="shared" si="7"/>
        <v>0</v>
      </c>
      <c r="R35" s="29">
        <f t="shared" si="7"/>
        <v>418</v>
      </c>
      <c r="S35" s="29">
        <f t="shared" si="7"/>
        <v>418</v>
      </c>
      <c r="T35" s="29">
        <f t="shared" si="7"/>
        <v>0</v>
      </c>
      <c r="U35" s="29">
        <f t="shared" si="7"/>
        <v>0</v>
      </c>
      <c r="V35" s="29">
        <f t="shared" si="7"/>
        <v>0</v>
      </c>
      <c r="W35" s="29">
        <f t="shared" si="7"/>
        <v>0</v>
      </c>
      <c r="X35" s="29">
        <f t="shared" si="7"/>
        <v>0</v>
      </c>
      <c r="Y35" s="29">
        <f t="shared" si="7"/>
        <v>0</v>
      </c>
      <c r="Z35" s="29">
        <f t="shared" si="7"/>
        <v>0</v>
      </c>
      <c r="AA35" s="29">
        <f t="shared" si="7"/>
        <v>0</v>
      </c>
      <c r="AB35" s="29">
        <f t="shared" si="7"/>
        <v>0</v>
      </c>
      <c r="AC35" s="29">
        <f t="shared" si="7"/>
        <v>0</v>
      </c>
      <c r="AD35" s="29">
        <f t="shared" si="7"/>
        <v>0</v>
      </c>
      <c r="AE35" s="29">
        <f t="shared" si="7"/>
        <v>0</v>
      </c>
      <c r="AF35" s="23"/>
      <c r="AG35" s="24">
        <f t="shared" si="1"/>
        <v>0</v>
      </c>
    </row>
    <row r="36" spans="1:33" ht="81" customHeight="1" x14ac:dyDescent="0.3">
      <c r="A36" s="30" t="s">
        <v>36</v>
      </c>
      <c r="B36" s="31"/>
      <c r="C36" s="50"/>
      <c r="D36" s="50"/>
      <c r="E36" s="50"/>
      <c r="F36" s="32"/>
      <c r="G36" s="32"/>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4"/>
      <c r="AG36" s="24">
        <f t="shared" si="1"/>
        <v>0</v>
      </c>
    </row>
    <row r="37" spans="1:33" s="41" customFormat="1" x14ac:dyDescent="0.3">
      <c r="A37" s="35" t="s">
        <v>27</v>
      </c>
      <c r="B37" s="36">
        <f>B39+B40+B38+B41</f>
        <v>1562.5</v>
      </c>
      <c r="C37" s="36">
        <f>C39+C40+C38+C41</f>
        <v>1322.4099999999999</v>
      </c>
      <c r="D37" s="37">
        <f>D39+D40+D38+D41</f>
        <v>1121.0070000000001</v>
      </c>
      <c r="E37" s="36">
        <f>E39+E40+E38+E41</f>
        <v>1121.0070000000001</v>
      </c>
      <c r="F37" s="36">
        <f>IFERROR(E37/B37*100,0)</f>
        <v>71.744448000000006</v>
      </c>
      <c r="G37" s="36">
        <f>IFERROR(E37/C37*100,0)</f>
        <v>84.770003251639068</v>
      </c>
      <c r="H37" s="38">
        <f t="shared" ref="H37:AE37" si="9">H39+H40+H38+H41</f>
        <v>300</v>
      </c>
      <c r="I37" s="38">
        <f t="shared" si="9"/>
        <v>256.2</v>
      </c>
      <c r="J37" s="38">
        <f t="shared" si="9"/>
        <v>114.65</v>
      </c>
      <c r="K37" s="38">
        <f t="shared" si="9"/>
        <v>132.20699999999999</v>
      </c>
      <c r="L37" s="38">
        <f t="shared" si="9"/>
        <v>126.8</v>
      </c>
      <c r="M37" s="38">
        <f t="shared" si="9"/>
        <v>150.63999999999999</v>
      </c>
      <c r="N37" s="38">
        <f t="shared" si="9"/>
        <v>7.6999999999999993</v>
      </c>
      <c r="O37" s="38">
        <f t="shared" si="9"/>
        <v>7.7</v>
      </c>
      <c r="P37" s="38">
        <f t="shared" si="9"/>
        <v>224.4</v>
      </c>
      <c r="Q37" s="38">
        <f t="shared" si="9"/>
        <v>0</v>
      </c>
      <c r="R37" s="38">
        <f t="shared" si="9"/>
        <v>463</v>
      </c>
      <c r="S37" s="38">
        <f t="shared" si="9"/>
        <v>574.26</v>
      </c>
      <c r="T37" s="38">
        <f t="shared" si="9"/>
        <v>0</v>
      </c>
      <c r="U37" s="36">
        <f t="shared" si="9"/>
        <v>0</v>
      </c>
      <c r="V37" s="36">
        <f t="shared" si="9"/>
        <v>85.86</v>
      </c>
      <c r="W37" s="36">
        <f t="shared" si="9"/>
        <v>0</v>
      </c>
      <c r="X37" s="36">
        <f t="shared" si="9"/>
        <v>0</v>
      </c>
      <c r="Y37" s="36">
        <f t="shared" si="9"/>
        <v>0</v>
      </c>
      <c r="Z37" s="36">
        <f t="shared" si="9"/>
        <v>0</v>
      </c>
      <c r="AA37" s="36">
        <f t="shared" si="9"/>
        <v>0</v>
      </c>
      <c r="AB37" s="36">
        <f t="shared" si="9"/>
        <v>0</v>
      </c>
      <c r="AC37" s="36">
        <f t="shared" si="9"/>
        <v>0</v>
      </c>
      <c r="AD37" s="51">
        <f t="shared" si="9"/>
        <v>240.08999999999997</v>
      </c>
      <c r="AE37" s="36">
        <f t="shared" si="9"/>
        <v>0</v>
      </c>
      <c r="AF37" s="39"/>
      <c r="AG37" s="40">
        <f t="shared" si="1"/>
        <v>0</v>
      </c>
    </row>
    <row r="38" spans="1:33" s="41" customFormat="1" x14ac:dyDescent="0.3">
      <c r="A38" s="42" t="s">
        <v>28</v>
      </c>
      <c r="B38" s="31">
        <f>J38+L38+N38+P38+R38+T38+V38+X38+Z38+AB38+AD38+H38</f>
        <v>0</v>
      </c>
      <c r="C38" s="43">
        <f>SUM(H38)</f>
        <v>0</v>
      </c>
      <c r="D38" s="44">
        <f>E38</f>
        <v>0</v>
      </c>
      <c r="E38" s="43">
        <f>SUM(I38,K38,M38,O38,Q38,S38,U38,W38,Y38,AA38,AC38,AE38)</f>
        <v>0</v>
      </c>
      <c r="F38" s="31">
        <f>IFERROR(E38/B38*100,0)</f>
        <v>0</v>
      </c>
      <c r="G38" s="31">
        <f>IFERROR(E38/C38*100,0)</f>
        <v>0</v>
      </c>
      <c r="H38" s="45"/>
      <c r="I38" s="45"/>
      <c r="J38" s="45"/>
      <c r="K38" s="45"/>
      <c r="L38" s="45"/>
      <c r="M38" s="45"/>
      <c r="N38" s="45"/>
      <c r="O38" s="45"/>
      <c r="P38" s="45"/>
      <c r="Q38" s="45"/>
      <c r="R38" s="45"/>
      <c r="S38" s="45"/>
      <c r="T38" s="45"/>
      <c r="U38" s="45"/>
      <c r="V38" s="45"/>
      <c r="W38" s="45"/>
      <c r="X38" s="45"/>
      <c r="Y38" s="45"/>
      <c r="Z38" s="45"/>
      <c r="AA38" s="45"/>
      <c r="AB38" s="45"/>
      <c r="AC38" s="45"/>
      <c r="AD38" s="45"/>
      <c r="AE38" s="45"/>
      <c r="AF38" s="39"/>
      <c r="AG38" s="40">
        <f t="shared" si="1"/>
        <v>0</v>
      </c>
    </row>
    <row r="39" spans="1:33" s="41" customFormat="1" x14ac:dyDescent="0.3">
      <c r="A39" s="42" t="s">
        <v>29</v>
      </c>
      <c r="B39" s="31">
        <f>J39+L39+N39+P39+R39+T39+V39+X39+Z39+AB39+AD39+H39</f>
        <v>0</v>
      </c>
      <c r="C39" s="43">
        <f>SUM(H39)</f>
        <v>0</v>
      </c>
      <c r="D39" s="44">
        <f>E39</f>
        <v>0</v>
      </c>
      <c r="E39" s="43">
        <f>SUM(I39,K39,M39,O39,Q39,S39,U39,W39,Y39,AA39,AC39,AE39)</f>
        <v>0</v>
      </c>
      <c r="F39" s="31">
        <f>IFERROR(E39/B39*100,0)</f>
        <v>0</v>
      </c>
      <c r="G39" s="31">
        <f>IFERROR(E39/C39*100,0)</f>
        <v>0</v>
      </c>
      <c r="H39" s="45"/>
      <c r="I39" s="45"/>
      <c r="J39" s="45"/>
      <c r="K39" s="45"/>
      <c r="L39" s="45"/>
      <c r="M39" s="45"/>
      <c r="N39" s="45"/>
      <c r="O39" s="45"/>
      <c r="P39" s="45"/>
      <c r="Q39" s="45"/>
      <c r="R39" s="45"/>
      <c r="S39" s="45"/>
      <c r="T39" s="45"/>
      <c r="U39" s="45"/>
      <c r="V39" s="45"/>
      <c r="W39" s="45"/>
      <c r="X39" s="45"/>
      <c r="Y39" s="45"/>
      <c r="Z39" s="45"/>
      <c r="AA39" s="45"/>
      <c r="AB39" s="45"/>
      <c r="AC39" s="45"/>
      <c r="AD39" s="45"/>
      <c r="AE39" s="45"/>
      <c r="AF39" s="39"/>
      <c r="AG39" s="40">
        <f t="shared" si="1"/>
        <v>0</v>
      </c>
    </row>
    <row r="40" spans="1:33" s="41" customFormat="1" x14ac:dyDescent="0.3">
      <c r="A40" s="42" t="s">
        <v>30</v>
      </c>
      <c r="B40" s="31">
        <f>J40+L40+N40+P40+R40+T40+V40+X40+Z40+AB40+AD40+H40</f>
        <v>1144.5</v>
      </c>
      <c r="C40" s="43">
        <f>H40+J40+L40+N40+P40+R40+T40+V40+X40+Z40</f>
        <v>904.41</v>
      </c>
      <c r="D40" s="44">
        <f>E40</f>
        <v>703.00700000000006</v>
      </c>
      <c r="E40" s="43">
        <f>SUM(I40,K40,M40,O40,Q40,S40,U40,W40,Y40,AA40,AC40,AE40)</f>
        <v>703.00700000000006</v>
      </c>
      <c r="F40" s="31">
        <f>IFERROR(E40/B40*100,0)</f>
        <v>61.424814329401492</v>
      </c>
      <c r="G40" s="31">
        <f>IFERROR(E40/C40*100,0)</f>
        <v>77.73100695481034</v>
      </c>
      <c r="H40" s="45">
        <v>300</v>
      </c>
      <c r="I40" s="45">
        <v>256.2</v>
      </c>
      <c r="J40" s="45">
        <v>114.65</v>
      </c>
      <c r="K40" s="45">
        <v>132.20699999999999</v>
      </c>
      <c r="L40" s="45">
        <v>126.8</v>
      </c>
      <c r="M40" s="45">
        <v>150.63999999999999</v>
      </c>
      <c r="N40" s="45">
        <f>24.5-16.8</f>
        <v>7.6999999999999993</v>
      </c>
      <c r="O40" s="45">
        <v>7.7</v>
      </c>
      <c r="P40" s="45">
        <v>224.4</v>
      </c>
      <c r="Q40" s="45"/>
      <c r="R40" s="45">
        <v>45</v>
      </c>
      <c r="S40" s="45">
        <v>156.26</v>
      </c>
      <c r="T40" s="45">
        <v>0</v>
      </c>
      <c r="U40" s="45"/>
      <c r="V40" s="45">
        <v>85.86</v>
      </c>
      <c r="W40" s="45"/>
      <c r="X40" s="45">
        <v>0</v>
      </c>
      <c r="Y40" s="45"/>
      <c r="Z40" s="45">
        <v>0</v>
      </c>
      <c r="AA40" s="45"/>
      <c r="AB40" s="45">
        <v>0</v>
      </c>
      <c r="AC40" s="45"/>
      <c r="AD40" s="52">
        <f>325.95-85.86</f>
        <v>240.08999999999997</v>
      </c>
      <c r="AE40" s="45"/>
      <c r="AF40" s="39"/>
      <c r="AG40" s="40">
        <f t="shared" si="1"/>
        <v>0</v>
      </c>
    </row>
    <row r="41" spans="1:33" s="41" customFormat="1" x14ac:dyDescent="0.3">
      <c r="A41" s="42" t="s">
        <v>31</v>
      </c>
      <c r="B41" s="31">
        <f>J41+L41+N41+P41+R41+T41+V41+X41+Z41+AB41+AD41+H41</f>
        <v>418</v>
      </c>
      <c r="C41" s="43">
        <f>H41+J41+L41+N41+P41+R41</f>
        <v>418</v>
      </c>
      <c r="D41" s="44">
        <f>E41</f>
        <v>418</v>
      </c>
      <c r="E41" s="43">
        <f>SUM(I41,K41,M41,O41,Q41,S41,U41,W41,Y41,AA41,AC41,AE41)</f>
        <v>418</v>
      </c>
      <c r="F41" s="31">
        <f>IFERROR(E41/B41*100,0)</f>
        <v>100</v>
      </c>
      <c r="G41" s="31">
        <f>IFERROR(E41/C41*100,0)</f>
        <v>100</v>
      </c>
      <c r="H41" s="45"/>
      <c r="I41" s="45"/>
      <c r="J41" s="45"/>
      <c r="K41" s="45"/>
      <c r="L41" s="45"/>
      <c r="M41" s="45"/>
      <c r="N41" s="45"/>
      <c r="O41" s="45"/>
      <c r="P41" s="45"/>
      <c r="Q41" s="45"/>
      <c r="R41" s="45">
        <v>418</v>
      </c>
      <c r="S41" s="45">
        <v>418</v>
      </c>
      <c r="T41" s="45"/>
      <c r="U41" s="45"/>
      <c r="V41" s="45"/>
      <c r="W41" s="45"/>
      <c r="X41" s="45"/>
      <c r="Y41" s="45"/>
      <c r="Z41" s="45"/>
      <c r="AA41" s="45"/>
      <c r="AB41" s="45"/>
      <c r="AC41" s="45"/>
      <c r="AD41" s="45"/>
      <c r="AE41" s="45"/>
      <c r="AF41" s="39"/>
      <c r="AG41" s="40">
        <f t="shared" si="1"/>
        <v>0</v>
      </c>
    </row>
    <row r="42" spans="1:33" s="41" customFormat="1" ht="146.25" customHeight="1" x14ac:dyDescent="0.3">
      <c r="A42" s="53" t="s">
        <v>37</v>
      </c>
      <c r="B42" s="36"/>
      <c r="C42" s="51"/>
      <c r="D42" s="51"/>
      <c r="E42" s="51"/>
      <c r="F42" s="51"/>
      <c r="G42" s="51"/>
      <c r="H42" s="45"/>
      <c r="I42" s="45"/>
      <c r="J42" s="45"/>
      <c r="K42" s="45"/>
      <c r="L42" s="45"/>
      <c r="M42" s="45"/>
      <c r="N42" s="45"/>
      <c r="O42" s="45"/>
      <c r="P42" s="45"/>
      <c r="Q42" s="45"/>
      <c r="R42" s="45"/>
      <c r="S42" s="45"/>
      <c r="T42" s="45"/>
      <c r="U42" s="45"/>
      <c r="V42" s="45"/>
      <c r="W42" s="45"/>
      <c r="X42" s="45"/>
      <c r="Y42" s="45"/>
      <c r="Z42" s="45"/>
      <c r="AA42" s="45"/>
      <c r="AB42" s="45"/>
      <c r="AC42" s="45"/>
      <c r="AD42" s="45"/>
      <c r="AE42" s="45"/>
      <c r="AF42" s="39"/>
      <c r="AG42" s="40">
        <f t="shared" si="1"/>
        <v>0</v>
      </c>
    </row>
    <row r="43" spans="1:33" s="41" customFormat="1" x14ac:dyDescent="0.3">
      <c r="A43" s="35" t="s">
        <v>27</v>
      </c>
      <c r="B43" s="36">
        <f>B45+B46+B44+B47</f>
        <v>815</v>
      </c>
      <c r="C43" s="36">
        <f>C45+C46+C44+C47</f>
        <v>515</v>
      </c>
      <c r="D43" s="36">
        <f>D45+D46+D44+D47</f>
        <v>515</v>
      </c>
      <c r="E43" s="36">
        <f>E45+E46+E44+E47</f>
        <v>515</v>
      </c>
      <c r="F43" s="36">
        <f>IFERROR(E43/B43*100,0)</f>
        <v>63.190184049079754</v>
      </c>
      <c r="G43" s="36">
        <f>IFERROR(E43/C43*100,0)</f>
        <v>100</v>
      </c>
      <c r="H43" s="36">
        <f t="shared" ref="H43:AE43" si="10">H45+H46+H44+H47</f>
        <v>0</v>
      </c>
      <c r="I43" s="36">
        <f t="shared" si="10"/>
        <v>0</v>
      </c>
      <c r="J43" s="36">
        <f t="shared" si="10"/>
        <v>175</v>
      </c>
      <c r="K43" s="36">
        <f t="shared" si="10"/>
        <v>175</v>
      </c>
      <c r="L43" s="36">
        <f t="shared" si="10"/>
        <v>50</v>
      </c>
      <c r="M43" s="36">
        <f t="shared" si="10"/>
        <v>50</v>
      </c>
      <c r="N43" s="38">
        <f t="shared" si="10"/>
        <v>50</v>
      </c>
      <c r="O43" s="36">
        <f t="shared" si="10"/>
        <v>50</v>
      </c>
      <c r="P43" s="36">
        <f t="shared" si="10"/>
        <v>0</v>
      </c>
      <c r="Q43" s="36">
        <f t="shared" si="10"/>
        <v>0</v>
      </c>
      <c r="R43" s="36">
        <f t="shared" si="10"/>
        <v>210</v>
      </c>
      <c r="S43" s="36">
        <f t="shared" si="10"/>
        <v>210</v>
      </c>
      <c r="T43" s="36">
        <f t="shared" si="10"/>
        <v>30</v>
      </c>
      <c r="U43" s="36">
        <f t="shared" si="10"/>
        <v>30</v>
      </c>
      <c r="V43" s="36">
        <f t="shared" si="10"/>
        <v>0</v>
      </c>
      <c r="W43" s="36">
        <f t="shared" si="10"/>
        <v>0</v>
      </c>
      <c r="X43" s="36">
        <f t="shared" si="10"/>
        <v>0</v>
      </c>
      <c r="Y43" s="36">
        <f t="shared" si="10"/>
        <v>0</v>
      </c>
      <c r="Z43" s="36">
        <f t="shared" si="10"/>
        <v>0</v>
      </c>
      <c r="AA43" s="36">
        <f t="shared" si="10"/>
        <v>0</v>
      </c>
      <c r="AB43" s="36">
        <f t="shared" si="10"/>
        <v>0</v>
      </c>
      <c r="AC43" s="36">
        <f t="shared" si="10"/>
        <v>0</v>
      </c>
      <c r="AD43" s="36">
        <f t="shared" si="10"/>
        <v>300</v>
      </c>
      <c r="AE43" s="36">
        <f t="shared" si="10"/>
        <v>0</v>
      </c>
      <c r="AF43" s="39"/>
      <c r="AG43" s="40">
        <f t="shared" si="1"/>
        <v>0</v>
      </c>
    </row>
    <row r="44" spans="1:33" s="41" customFormat="1" x14ac:dyDescent="0.3">
      <c r="A44" s="42" t="s">
        <v>28</v>
      </c>
      <c r="B44" s="31">
        <f>J44+L44+N44+P44+R44+T44+V44+X44+Z44+AB44+AD44+H44</f>
        <v>0</v>
      </c>
      <c r="C44" s="43">
        <f>SUM(H44)</f>
        <v>0</v>
      </c>
      <c r="D44" s="44">
        <f>E44</f>
        <v>0</v>
      </c>
      <c r="E44" s="43">
        <f>SUM(I44,K44,M44,O44,Q44,S44,U44,W44,Y44,AA44,AC44,AE44)</f>
        <v>0</v>
      </c>
      <c r="F44" s="31"/>
      <c r="G44" s="31"/>
      <c r="H44" s="45"/>
      <c r="I44" s="45"/>
      <c r="J44" s="45"/>
      <c r="K44" s="45"/>
      <c r="L44" s="45"/>
      <c r="M44" s="45"/>
      <c r="N44" s="45"/>
      <c r="O44" s="45"/>
      <c r="P44" s="45"/>
      <c r="Q44" s="45"/>
      <c r="R44" s="45"/>
      <c r="S44" s="45"/>
      <c r="T44" s="45"/>
      <c r="U44" s="45"/>
      <c r="V44" s="45"/>
      <c r="W44" s="45"/>
      <c r="X44" s="45"/>
      <c r="Y44" s="45"/>
      <c r="Z44" s="45"/>
      <c r="AA44" s="45"/>
      <c r="AB44" s="45"/>
      <c r="AC44" s="45"/>
      <c r="AD44" s="45"/>
      <c r="AE44" s="45"/>
      <c r="AF44" s="39"/>
      <c r="AG44" s="40">
        <f t="shared" si="1"/>
        <v>0</v>
      </c>
    </row>
    <row r="45" spans="1:33" s="41" customFormat="1" x14ac:dyDescent="0.3">
      <c r="A45" s="42" t="s">
        <v>29</v>
      </c>
      <c r="B45" s="31">
        <f>J45+L45+N45+P45+R45+T45+V45+X45+Z45+AB45+AD45+H45</f>
        <v>0</v>
      </c>
      <c r="C45" s="43">
        <f>SUM(H45)</f>
        <v>0</v>
      </c>
      <c r="D45" s="44">
        <f>E45</f>
        <v>0</v>
      </c>
      <c r="E45" s="43">
        <f>SUM(I45,K45,M45,O45,Q45,S45,U45,W45,Y45,AA45,AC45,AE45)</f>
        <v>0</v>
      </c>
      <c r="F45" s="31"/>
      <c r="G45" s="31"/>
      <c r="H45" s="45"/>
      <c r="I45" s="45"/>
      <c r="J45" s="45"/>
      <c r="K45" s="45"/>
      <c r="L45" s="45"/>
      <c r="M45" s="45"/>
      <c r="N45" s="45"/>
      <c r="O45" s="45"/>
      <c r="P45" s="45"/>
      <c r="Q45" s="45"/>
      <c r="R45" s="45"/>
      <c r="S45" s="45"/>
      <c r="T45" s="45"/>
      <c r="U45" s="45"/>
      <c r="V45" s="45"/>
      <c r="W45" s="45"/>
      <c r="X45" s="45"/>
      <c r="Y45" s="45"/>
      <c r="Z45" s="45"/>
      <c r="AA45" s="45"/>
      <c r="AB45" s="45"/>
      <c r="AC45" s="45"/>
      <c r="AD45" s="45"/>
      <c r="AE45" s="45"/>
      <c r="AF45" s="39"/>
      <c r="AG45" s="40">
        <f t="shared" si="1"/>
        <v>0</v>
      </c>
    </row>
    <row r="46" spans="1:33" s="41" customFormat="1" x14ac:dyDescent="0.3">
      <c r="A46" s="42" t="s">
        <v>30</v>
      </c>
      <c r="B46" s="31">
        <f>J46+L46+N46+P46+R46+T46+V46+X46+Z46+AB46+AD46+H46</f>
        <v>815</v>
      </c>
      <c r="C46" s="43">
        <f>H46+J46+L46+N46+P46+R46+T46+V46</f>
        <v>515</v>
      </c>
      <c r="D46" s="44">
        <f>E46</f>
        <v>515</v>
      </c>
      <c r="E46" s="43">
        <f>SUM(I46,K46,M46,O46,Q46,S46,U46,W46,Y46,AA46,AC46,AE46)</f>
        <v>515</v>
      </c>
      <c r="F46" s="31">
        <f>IFERROR(E46/B46*100,0)</f>
        <v>63.190184049079754</v>
      </c>
      <c r="G46" s="31">
        <f>IFERROR(E46/C46*100,0)</f>
        <v>100</v>
      </c>
      <c r="H46" s="45"/>
      <c r="I46" s="45"/>
      <c r="J46" s="45">
        <v>175</v>
      </c>
      <c r="K46" s="45">
        <v>175</v>
      </c>
      <c r="L46" s="45">
        <v>50</v>
      </c>
      <c r="M46" s="45">
        <v>50</v>
      </c>
      <c r="N46" s="45">
        <v>50</v>
      </c>
      <c r="O46" s="45">
        <v>50</v>
      </c>
      <c r="P46" s="45"/>
      <c r="Q46" s="45"/>
      <c r="R46" s="45">
        <v>210</v>
      </c>
      <c r="S46" s="45">
        <v>210</v>
      </c>
      <c r="T46" s="45">
        <v>30</v>
      </c>
      <c r="U46" s="45">
        <v>30</v>
      </c>
      <c r="V46" s="45"/>
      <c r="W46" s="45"/>
      <c r="X46" s="45"/>
      <c r="Y46" s="45"/>
      <c r="Z46" s="45"/>
      <c r="AA46" s="45"/>
      <c r="AB46" s="45"/>
      <c r="AC46" s="45"/>
      <c r="AD46" s="45">
        <f>715-175-50+100-50-210-30</f>
        <v>300</v>
      </c>
      <c r="AE46" s="45"/>
      <c r="AF46" s="39"/>
      <c r="AG46" s="40">
        <f t="shared" si="1"/>
        <v>0</v>
      </c>
    </row>
    <row r="47" spans="1:33" x14ac:dyDescent="0.3">
      <c r="A47" s="42" t="s">
        <v>31</v>
      </c>
      <c r="B47" s="31"/>
      <c r="C47" s="43"/>
      <c r="D47" s="44"/>
      <c r="E47" s="43"/>
      <c r="F47" s="47"/>
      <c r="G47" s="47"/>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4"/>
      <c r="AG47" s="24">
        <f t="shared" si="1"/>
        <v>0</v>
      </c>
    </row>
    <row r="48" spans="1:33" ht="75" x14ac:dyDescent="0.3">
      <c r="A48" s="30" t="s">
        <v>38</v>
      </c>
      <c r="B48" s="36"/>
      <c r="C48" s="51"/>
      <c r="D48" s="51"/>
      <c r="E48" s="51"/>
      <c r="F48" s="54"/>
      <c r="G48" s="54"/>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4"/>
      <c r="AG48" s="24">
        <f t="shared" si="1"/>
        <v>0</v>
      </c>
    </row>
    <row r="49" spans="1:38" s="41" customFormat="1" x14ac:dyDescent="0.3">
      <c r="A49" s="35" t="s">
        <v>27</v>
      </c>
      <c r="B49" s="36">
        <f>B51+B52+B50+B53</f>
        <v>0</v>
      </c>
      <c r="C49" s="36">
        <f>C51+C52+C50+C53</f>
        <v>0</v>
      </c>
      <c r="D49" s="36">
        <f>D51+D52+D50+D53</f>
        <v>0</v>
      </c>
      <c r="E49" s="36">
        <f>E51+E52+E50+E53</f>
        <v>0</v>
      </c>
      <c r="F49" s="36">
        <f>IFERROR(E49/B49*100,0)</f>
        <v>0</v>
      </c>
      <c r="G49" s="36">
        <f>IFERROR(E49/C49*100,0)</f>
        <v>0</v>
      </c>
      <c r="H49" s="36">
        <f t="shared" ref="H49:AE49" si="11">H51+H52+H50+H53</f>
        <v>0</v>
      </c>
      <c r="I49" s="36">
        <f t="shared" si="11"/>
        <v>0</v>
      </c>
      <c r="J49" s="36">
        <f t="shared" si="11"/>
        <v>0</v>
      </c>
      <c r="K49" s="36">
        <f t="shared" si="11"/>
        <v>0</v>
      </c>
      <c r="L49" s="36">
        <f t="shared" si="11"/>
        <v>0</v>
      </c>
      <c r="M49" s="36">
        <f t="shared" si="11"/>
        <v>0</v>
      </c>
      <c r="N49" s="36">
        <f t="shared" si="11"/>
        <v>0</v>
      </c>
      <c r="O49" s="36">
        <f t="shared" si="11"/>
        <v>0</v>
      </c>
      <c r="P49" s="36">
        <f t="shared" si="11"/>
        <v>0</v>
      </c>
      <c r="Q49" s="36">
        <f t="shared" si="11"/>
        <v>0</v>
      </c>
      <c r="R49" s="36">
        <f t="shared" si="11"/>
        <v>0</v>
      </c>
      <c r="S49" s="36">
        <f t="shared" si="11"/>
        <v>0</v>
      </c>
      <c r="T49" s="36">
        <f t="shared" si="11"/>
        <v>0</v>
      </c>
      <c r="U49" s="36">
        <f t="shared" si="11"/>
        <v>0</v>
      </c>
      <c r="V49" s="36">
        <f t="shared" si="11"/>
        <v>0</v>
      </c>
      <c r="W49" s="36">
        <f t="shared" si="11"/>
        <v>0</v>
      </c>
      <c r="X49" s="36">
        <f t="shared" si="11"/>
        <v>0</v>
      </c>
      <c r="Y49" s="36">
        <f t="shared" si="11"/>
        <v>0</v>
      </c>
      <c r="Z49" s="36">
        <f t="shared" si="11"/>
        <v>0</v>
      </c>
      <c r="AA49" s="36">
        <f t="shared" si="11"/>
        <v>0</v>
      </c>
      <c r="AB49" s="36">
        <f t="shared" si="11"/>
        <v>0</v>
      </c>
      <c r="AC49" s="36">
        <f t="shared" si="11"/>
        <v>0</v>
      </c>
      <c r="AD49" s="36">
        <f t="shared" si="11"/>
        <v>0</v>
      </c>
      <c r="AE49" s="36">
        <f t="shared" si="11"/>
        <v>0</v>
      </c>
      <c r="AF49" s="39"/>
      <c r="AG49" s="40">
        <f t="shared" si="1"/>
        <v>0</v>
      </c>
    </row>
    <row r="50" spans="1:38" s="41" customFormat="1" x14ac:dyDescent="0.3">
      <c r="A50" s="42" t="s">
        <v>28</v>
      </c>
      <c r="B50" s="31">
        <f>J50+L50+N50+P50+R50+T50+V50+X50+Z50+AB50+AD50+H50</f>
        <v>0</v>
      </c>
      <c r="C50" s="43">
        <f>SUM(H50)</f>
        <v>0</v>
      </c>
      <c r="D50" s="44">
        <f>E50</f>
        <v>0</v>
      </c>
      <c r="E50" s="43">
        <f>SUM(I50,K50,M50,O50,Q50,S50,U50,W50,Y50,AA50,AC50,AE50)</f>
        <v>0</v>
      </c>
      <c r="F50" s="31"/>
      <c r="G50" s="31"/>
      <c r="H50" s="45"/>
      <c r="I50" s="45"/>
      <c r="J50" s="45"/>
      <c r="K50" s="45"/>
      <c r="L50" s="45"/>
      <c r="M50" s="45"/>
      <c r="N50" s="45"/>
      <c r="O50" s="45"/>
      <c r="P50" s="45"/>
      <c r="Q50" s="45"/>
      <c r="R50" s="45"/>
      <c r="S50" s="45"/>
      <c r="T50" s="45"/>
      <c r="U50" s="45"/>
      <c r="V50" s="45"/>
      <c r="W50" s="45"/>
      <c r="X50" s="45"/>
      <c r="Y50" s="45"/>
      <c r="Z50" s="45"/>
      <c r="AA50" s="45"/>
      <c r="AB50" s="45"/>
      <c r="AC50" s="45"/>
      <c r="AD50" s="45"/>
      <c r="AE50" s="45"/>
      <c r="AF50" s="39"/>
      <c r="AG50" s="40">
        <f t="shared" si="1"/>
        <v>0</v>
      </c>
    </row>
    <row r="51" spans="1:38" s="41" customFormat="1" x14ac:dyDescent="0.3">
      <c r="A51" s="42" t="s">
        <v>29</v>
      </c>
      <c r="B51" s="31">
        <f>J51+L51+N51+P51+R51+T51+V51+X51+Z51+AB51+AD51+H51</f>
        <v>0</v>
      </c>
      <c r="C51" s="43">
        <f>SUM(H51)</f>
        <v>0</v>
      </c>
      <c r="D51" s="44">
        <f>E51</f>
        <v>0</v>
      </c>
      <c r="E51" s="43">
        <f>SUM(I51,K51,M51,O51,Q51,S51,U51,W51,Y51,AA51,AC51,AE51)</f>
        <v>0</v>
      </c>
      <c r="F51" s="31"/>
      <c r="G51" s="31"/>
      <c r="H51" s="45"/>
      <c r="I51" s="45"/>
      <c r="J51" s="45"/>
      <c r="K51" s="45"/>
      <c r="L51" s="45"/>
      <c r="M51" s="45"/>
      <c r="N51" s="45"/>
      <c r="O51" s="45"/>
      <c r="P51" s="45"/>
      <c r="Q51" s="45"/>
      <c r="R51" s="45"/>
      <c r="S51" s="45"/>
      <c r="T51" s="45"/>
      <c r="U51" s="45"/>
      <c r="V51" s="45"/>
      <c r="W51" s="45"/>
      <c r="X51" s="45"/>
      <c r="Y51" s="45"/>
      <c r="Z51" s="45"/>
      <c r="AA51" s="45"/>
      <c r="AB51" s="45"/>
      <c r="AC51" s="45"/>
      <c r="AD51" s="45"/>
      <c r="AE51" s="45"/>
      <c r="AF51" s="39"/>
      <c r="AG51" s="40">
        <f t="shared" si="1"/>
        <v>0</v>
      </c>
    </row>
    <row r="52" spans="1:38" s="41" customFormat="1" x14ac:dyDescent="0.3">
      <c r="A52" s="42" t="s">
        <v>30</v>
      </c>
      <c r="B52" s="31">
        <f>J52+L52+N52+P52+R52+T52+V52+X52+Z52+AB52+AD52+H52</f>
        <v>0</v>
      </c>
      <c r="C52" s="43">
        <f>SUM(H52)</f>
        <v>0</v>
      </c>
      <c r="D52" s="44">
        <f>E52</f>
        <v>0</v>
      </c>
      <c r="E52" s="43">
        <f>SUM(I52,K52,M52,O52,Q52,S52,U52,W52,Y52,AA52,AC52,AE52)</f>
        <v>0</v>
      </c>
      <c r="F52" s="31">
        <f>IFERROR(E52/B52*100,0)</f>
        <v>0</v>
      </c>
      <c r="G52" s="31">
        <f>IFERROR(E52/C52*100,0)</f>
        <v>0</v>
      </c>
      <c r="H52" s="45"/>
      <c r="I52" s="45"/>
      <c r="J52" s="45"/>
      <c r="K52" s="45"/>
      <c r="L52" s="45"/>
      <c r="M52" s="45"/>
      <c r="N52" s="45"/>
      <c r="O52" s="45"/>
      <c r="P52" s="45"/>
      <c r="Q52" s="45"/>
      <c r="R52" s="45"/>
      <c r="S52" s="45"/>
      <c r="T52" s="45"/>
      <c r="U52" s="45"/>
      <c r="V52" s="45"/>
      <c r="W52" s="45"/>
      <c r="X52" s="45"/>
      <c r="Y52" s="45"/>
      <c r="Z52" s="45"/>
      <c r="AA52" s="45"/>
      <c r="AB52" s="45"/>
      <c r="AC52" s="45"/>
      <c r="AD52" s="45"/>
      <c r="AE52" s="45"/>
      <c r="AF52" s="39"/>
      <c r="AG52" s="40">
        <f t="shared" si="1"/>
        <v>0</v>
      </c>
    </row>
    <row r="53" spans="1:38" s="41" customFormat="1" x14ac:dyDescent="0.3">
      <c r="A53" s="42" t="s">
        <v>31</v>
      </c>
      <c r="B53" s="31"/>
      <c r="C53" s="43"/>
      <c r="D53" s="44"/>
      <c r="E53" s="43"/>
      <c r="F53" s="31"/>
      <c r="G53" s="31"/>
      <c r="H53" s="45"/>
      <c r="I53" s="45"/>
      <c r="J53" s="45"/>
      <c r="K53" s="45"/>
      <c r="L53" s="45"/>
      <c r="M53" s="45"/>
      <c r="N53" s="45"/>
      <c r="O53" s="45"/>
      <c r="P53" s="45"/>
      <c r="Q53" s="45"/>
      <c r="R53" s="45"/>
      <c r="S53" s="45"/>
      <c r="T53" s="45"/>
      <c r="U53" s="45"/>
      <c r="V53" s="45"/>
      <c r="W53" s="45"/>
      <c r="X53" s="45"/>
      <c r="Y53" s="45"/>
      <c r="Z53" s="45"/>
      <c r="AA53" s="45"/>
      <c r="AB53" s="45"/>
      <c r="AC53" s="45"/>
      <c r="AD53" s="45"/>
      <c r="AE53" s="45"/>
      <c r="AF53" s="39"/>
      <c r="AG53" s="40">
        <f t="shared" si="1"/>
        <v>0</v>
      </c>
    </row>
    <row r="54" spans="1:38" s="41" customFormat="1" ht="93.75" x14ac:dyDescent="0.3">
      <c r="A54" s="42" t="s">
        <v>39</v>
      </c>
      <c r="B54" s="31"/>
      <c r="C54" s="43"/>
      <c r="D54" s="44"/>
      <c r="E54" s="43"/>
      <c r="F54" s="31"/>
      <c r="G54" s="31"/>
      <c r="H54" s="45"/>
      <c r="I54" s="45"/>
      <c r="J54" s="45"/>
      <c r="K54" s="45"/>
      <c r="L54" s="45"/>
      <c r="M54" s="45"/>
      <c r="N54" s="45"/>
      <c r="O54" s="45"/>
      <c r="P54" s="45"/>
      <c r="Q54" s="45"/>
      <c r="R54" s="45"/>
      <c r="S54" s="45"/>
      <c r="T54" s="45"/>
      <c r="U54" s="45"/>
      <c r="V54" s="45"/>
      <c r="W54" s="45"/>
      <c r="X54" s="45"/>
      <c r="Y54" s="45"/>
      <c r="Z54" s="45"/>
      <c r="AA54" s="45"/>
      <c r="AB54" s="45"/>
      <c r="AC54" s="45"/>
      <c r="AD54" s="45"/>
      <c r="AE54" s="45"/>
      <c r="AF54" s="39"/>
      <c r="AG54" s="40"/>
    </row>
    <row r="55" spans="1:38" s="41" customFormat="1" x14ac:dyDescent="0.3">
      <c r="A55" s="35" t="s">
        <v>27</v>
      </c>
      <c r="B55" s="31">
        <f>B58</f>
        <v>1000</v>
      </c>
      <c r="C55" s="31">
        <f>C58</f>
        <v>1000</v>
      </c>
      <c r="D55" s="31">
        <f>D58</f>
        <v>0</v>
      </c>
      <c r="E55" s="31">
        <f>E58</f>
        <v>0</v>
      </c>
      <c r="F55" s="31">
        <f>IFERROR(E55/B55*100,0)</f>
        <v>0</v>
      </c>
      <c r="G55" s="31">
        <f>IFERROR(E55/C55*100,0)</f>
        <v>0</v>
      </c>
      <c r="H55" s="45">
        <f>H58</f>
        <v>0</v>
      </c>
      <c r="I55" s="45">
        <f t="shared" ref="I55:AF55" si="12">I58</f>
        <v>0</v>
      </c>
      <c r="J55" s="45">
        <f t="shared" si="12"/>
        <v>0</v>
      </c>
      <c r="K55" s="45">
        <f t="shared" si="12"/>
        <v>0</v>
      </c>
      <c r="L55" s="45">
        <f t="shared" si="12"/>
        <v>0</v>
      </c>
      <c r="M55" s="45">
        <f t="shared" si="12"/>
        <v>0</v>
      </c>
      <c r="N55" s="45">
        <f t="shared" si="12"/>
        <v>0</v>
      </c>
      <c r="O55" s="45">
        <f t="shared" si="12"/>
        <v>0</v>
      </c>
      <c r="P55" s="45">
        <f t="shared" si="12"/>
        <v>0</v>
      </c>
      <c r="Q55" s="45">
        <f t="shared" si="12"/>
        <v>0</v>
      </c>
      <c r="R55" s="45">
        <f t="shared" si="12"/>
        <v>0</v>
      </c>
      <c r="S55" s="45">
        <f t="shared" si="12"/>
        <v>0</v>
      </c>
      <c r="T55" s="45">
        <f t="shared" si="12"/>
        <v>1000</v>
      </c>
      <c r="U55" s="45">
        <f t="shared" si="12"/>
        <v>0</v>
      </c>
      <c r="V55" s="45">
        <f t="shared" si="12"/>
        <v>0</v>
      </c>
      <c r="W55" s="45">
        <f t="shared" si="12"/>
        <v>0</v>
      </c>
      <c r="X55" s="45">
        <f t="shared" si="12"/>
        <v>0</v>
      </c>
      <c r="Y55" s="45">
        <f t="shared" si="12"/>
        <v>0</v>
      </c>
      <c r="Z55" s="45">
        <f t="shared" si="12"/>
        <v>0</v>
      </c>
      <c r="AA55" s="45">
        <f t="shared" si="12"/>
        <v>0</v>
      </c>
      <c r="AB55" s="45">
        <f t="shared" si="12"/>
        <v>0</v>
      </c>
      <c r="AC55" s="45">
        <f t="shared" si="12"/>
        <v>0</v>
      </c>
      <c r="AD55" s="45">
        <f t="shared" si="12"/>
        <v>0</v>
      </c>
      <c r="AE55" s="45">
        <f t="shared" si="12"/>
        <v>0</v>
      </c>
      <c r="AF55" s="45">
        <f t="shared" si="12"/>
        <v>0</v>
      </c>
      <c r="AG55" s="40"/>
    </row>
    <row r="56" spans="1:38" s="41" customFormat="1" x14ac:dyDescent="0.3">
      <c r="A56" s="42" t="s">
        <v>28</v>
      </c>
      <c r="B56" s="31">
        <f>J56+L56+N56+P56+R56+T56+V56+X56+Z56+AB56+AD56+H56</f>
        <v>0</v>
      </c>
      <c r="C56" s="43">
        <f>SUM(H56)</f>
        <v>0</v>
      </c>
      <c r="D56" s="44">
        <f>E56</f>
        <v>0</v>
      </c>
      <c r="E56" s="43">
        <f>SUM(I56,K56,M56,O56,Q56,S56,U56,W56,Y56,AA56,AC56,AE56)</f>
        <v>0</v>
      </c>
      <c r="F56" s="31"/>
      <c r="G56" s="31"/>
      <c r="H56" s="45"/>
      <c r="I56" s="45"/>
      <c r="J56" s="45"/>
      <c r="K56" s="45"/>
      <c r="L56" s="45"/>
      <c r="M56" s="45"/>
      <c r="N56" s="45"/>
      <c r="O56" s="45"/>
      <c r="P56" s="45"/>
      <c r="Q56" s="45"/>
      <c r="R56" s="45"/>
      <c r="S56" s="45"/>
      <c r="T56" s="45"/>
      <c r="U56" s="45"/>
      <c r="V56" s="45"/>
      <c r="W56" s="45"/>
      <c r="X56" s="45"/>
      <c r="Y56" s="45"/>
      <c r="Z56" s="45"/>
      <c r="AA56" s="45"/>
      <c r="AB56" s="45"/>
      <c r="AC56" s="45"/>
      <c r="AD56" s="45"/>
      <c r="AE56" s="45"/>
      <c r="AF56" s="39"/>
      <c r="AG56" s="40"/>
    </row>
    <row r="57" spans="1:38" s="41" customFormat="1" x14ac:dyDescent="0.3">
      <c r="A57" s="42" t="s">
        <v>29</v>
      </c>
      <c r="B57" s="31">
        <f>J57+L57+N57+P57+R57+T57+V57+X57+Z57+AB57+AD57+H57</f>
        <v>0</v>
      </c>
      <c r="C57" s="43">
        <f>SUM(H57)</f>
        <v>0</v>
      </c>
      <c r="D57" s="44">
        <f>E57</f>
        <v>0</v>
      </c>
      <c r="E57" s="43">
        <f>SUM(I57,K57,M57,O57,Q57,S57,U57,W57,Y57,AA57,AC57,AE57)</f>
        <v>0</v>
      </c>
      <c r="F57" s="31"/>
      <c r="G57" s="31"/>
      <c r="H57" s="45"/>
      <c r="I57" s="45"/>
      <c r="J57" s="45"/>
      <c r="K57" s="45"/>
      <c r="L57" s="45"/>
      <c r="M57" s="45"/>
      <c r="N57" s="45"/>
      <c r="O57" s="45"/>
      <c r="P57" s="45"/>
      <c r="Q57" s="45"/>
      <c r="R57" s="45"/>
      <c r="S57" s="45"/>
      <c r="T57" s="45"/>
      <c r="U57" s="45"/>
      <c r="V57" s="45"/>
      <c r="W57" s="45"/>
      <c r="X57" s="45"/>
      <c r="Y57" s="45"/>
      <c r="Z57" s="45"/>
      <c r="AA57" s="45"/>
      <c r="AB57" s="45"/>
      <c r="AC57" s="45"/>
      <c r="AD57" s="45"/>
      <c r="AE57" s="45"/>
      <c r="AF57" s="39"/>
      <c r="AG57" s="40"/>
    </row>
    <row r="58" spans="1:38" s="41" customFormat="1" x14ac:dyDescent="0.3">
      <c r="A58" s="42" t="s">
        <v>30</v>
      </c>
      <c r="B58" s="31">
        <f>J58+L58+N58+P58+R58+T58+V58+X58+Z58+AB58+AD58+H58</f>
        <v>1000</v>
      </c>
      <c r="C58" s="43">
        <f>H58+J58+L58+N58+P58+R58+T58+V58</f>
        <v>1000</v>
      </c>
      <c r="D58" s="44">
        <f>E58</f>
        <v>0</v>
      </c>
      <c r="E58" s="43">
        <f>SUM(I58,K58,M58,O58,Q58,S58,U58,W58,Y58,AA58,AC58,AE58)</f>
        <v>0</v>
      </c>
      <c r="F58" s="31">
        <f>IFERROR(E58/B58*100,0)</f>
        <v>0</v>
      </c>
      <c r="G58" s="31">
        <f>IFERROR(E58/C58*100,0)</f>
        <v>0</v>
      </c>
      <c r="H58" s="45"/>
      <c r="I58" s="45"/>
      <c r="J58" s="45"/>
      <c r="K58" s="45"/>
      <c r="L58" s="45"/>
      <c r="M58" s="45"/>
      <c r="N58" s="45"/>
      <c r="O58" s="45"/>
      <c r="P58" s="45"/>
      <c r="Q58" s="45"/>
      <c r="R58" s="45"/>
      <c r="S58" s="45"/>
      <c r="T58" s="45">
        <v>1000</v>
      </c>
      <c r="U58" s="45"/>
      <c r="V58" s="45"/>
      <c r="W58" s="45"/>
      <c r="X58" s="45"/>
      <c r="Y58" s="45"/>
      <c r="Z58" s="45"/>
      <c r="AA58" s="45"/>
      <c r="AB58" s="45"/>
      <c r="AC58" s="45"/>
      <c r="AD58" s="45"/>
      <c r="AE58" s="45"/>
      <c r="AF58" s="39"/>
      <c r="AG58" s="40"/>
    </row>
    <row r="59" spans="1:38" ht="23.25" x14ac:dyDescent="0.35">
      <c r="A59" s="42" t="s">
        <v>31</v>
      </c>
      <c r="B59" s="31"/>
      <c r="C59" s="43"/>
      <c r="D59" s="44"/>
      <c r="E59" s="43"/>
      <c r="F59" s="47"/>
      <c r="G59" s="47"/>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4"/>
      <c r="AG59" s="24"/>
      <c r="AH59" s="55"/>
      <c r="AI59" s="41"/>
      <c r="AJ59" s="41"/>
      <c r="AK59" s="41"/>
      <c r="AL59" s="41"/>
    </row>
    <row r="60" spans="1:38" ht="56.25" x14ac:dyDescent="0.3">
      <c r="A60" s="56" t="s">
        <v>40</v>
      </c>
      <c r="B60" s="26"/>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23"/>
      <c r="AG60" s="24">
        <f t="shared" si="1"/>
        <v>0</v>
      </c>
    </row>
    <row r="61" spans="1:38" x14ac:dyDescent="0.3">
      <c r="A61" s="25" t="s">
        <v>27</v>
      </c>
      <c r="B61" s="26">
        <f>B62+B63+B64</f>
        <v>67551.6391</v>
      </c>
      <c r="C61" s="26">
        <f>C62+C63+C64</f>
        <v>47832.319609999999</v>
      </c>
      <c r="D61" s="26">
        <f>D62+D63+D64</f>
        <v>40213.54</v>
      </c>
      <c r="E61" s="26">
        <f>E62+E63+E64</f>
        <v>40213.54</v>
      </c>
      <c r="F61" s="27">
        <f>IFERROR(E61/B61*100,0)</f>
        <v>59.530072897964658</v>
      </c>
      <c r="G61" s="27">
        <f>IFERROR(E61/C61*100,0)</f>
        <v>84.071900187740027</v>
      </c>
      <c r="H61" s="26">
        <f t="shared" ref="H61:AE61" si="13">H62+H63+H64</f>
        <v>2796.47379</v>
      </c>
      <c r="I61" s="26">
        <f t="shared" si="13"/>
        <v>946.54</v>
      </c>
      <c r="J61" s="26">
        <f t="shared" si="13"/>
        <v>6573.9023099999995</v>
      </c>
      <c r="K61" s="26">
        <f t="shared" si="13"/>
        <v>6387.9299999999994</v>
      </c>
      <c r="L61" s="26">
        <f t="shared" si="13"/>
        <v>4574.5035900000003</v>
      </c>
      <c r="M61" s="26">
        <f t="shared" si="13"/>
        <v>6591.97</v>
      </c>
      <c r="N61" s="26">
        <f t="shared" si="13"/>
        <v>8943.8677200000002</v>
      </c>
      <c r="O61" s="26">
        <f t="shared" si="13"/>
        <v>6593.8499999999995</v>
      </c>
      <c r="P61" s="26">
        <f t="shared" si="13"/>
        <v>11501.86197</v>
      </c>
      <c r="Q61" s="26">
        <f t="shared" si="13"/>
        <v>7126.49</v>
      </c>
      <c r="R61" s="26">
        <f t="shared" si="13"/>
        <v>3781.6400000000003</v>
      </c>
      <c r="S61" s="26">
        <f t="shared" si="13"/>
        <v>5459.49</v>
      </c>
      <c r="T61" s="26">
        <f t="shared" si="13"/>
        <v>1342.6560999999999</v>
      </c>
      <c r="U61" s="26">
        <f t="shared" si="13"/>
        <v>625.11</v>
      </c>
      <c r="V61" s="26">
        <f t="shared" si="13"/>
        <v>579.07795999999996</v>
      </c>
      <c r="W61" s="26">
        <f t="shared" si="13"/>
        <v>680.06</v>
      </c>
      <c r="X61" s="26">
        <f t="shared" si="13"/>
        <v>4517.2937999999995</v>
      </c>
      <c r="Y61" s="26">
        <f t="shared" si="13"/>
        <v>815.6</v>
      </c>
      <c r="Z61" s="26">
        <f t="shared" si="13"/>
        <v>3761.65616</v>
      </c>
      <c r="AA61" s="26">
        <f t="shared" si="13"/>
        <v>4986.5</v>
      </c>
      <c r="AB61" s="26">
        <f t="shared" si="13"/>
        <v>2664.1743700000002</v>
      </c>
      <c r="AC61" s="26">
        <f t="shared" si="13"/>
        <v>0</v>
      </c>
      <c r="AD61" s="26">
        <f t="shared" si="13"/>
        <v>16514.531330000002</v>
      </c>
      <c r="AE61" s="26">
        <f t="shared" si="13"/>
        <v>0</v>
      </c>
      <c r="AF61" s="23"/>
      <c r="AG61" s="24">
        <f t="shared" si="1"/>
        <v>0</v>
      </c>
    </row>
    <row r="62" spans="1:38" x14ac:dyDescent="0.3">
      <c r="A62" s="28" t="s">
        <v>28</v>
      </c>
      <c r="B62" s="29">
        <f>B68+B74</f>
        <v>0</v>
      </c>
      <c r="C62" s="29">
        <f>C68+C74</f>
        <v>0</v>
      </c>
      <c r="D62" s="29">
        <f>D68+D74</f>
        <v>0</v>
      </c>
      <c r="E62" s="29">
        <f>E68+E74</f>
        <v>0</v>
      </c>
      <c r="F62" s="29">
        <f>IFERROR(E62/B62*100,0)</f>
        <v>0</v>
      </c>
      <c r="G62" s="29">
        <f>IFERROR(E62/C62*100,0)</f>
        <v>0</v>
      </c>
      <c r="H62" s="29">
        <f t="shared" ref="H62:AE65" si="14">H68+H74</f>
        <v>0</v>
      </c>
      <c r="I62" s="29">
        <f t="shared" si="14"/>
        <v>0</v>
      </c>
      <c r="J62" s="29">
        <f t="shared" si="14"/>
        <v>0</v>
      </c>
      <c r="K62" s="29">
        <f t="shared" si="14"/>
        <v>0</v>
      </c>
      <c r="L62" s="29">
        <f t="shared" si="14"/>
        <v>0</v>
      </c>
      <c r="M62" s="29">
        <f t="shared" si="14"/>
        <v>0</v>
      </c>
      <c r="N62" s="29">
        <f t="shared" si="14"/>
        <v>0</v>
      </c>
      <c r="O62" s="29">
        <f t="shared" si="14"/>
        <v>0</v>
      </c>
      <c r="P62" s="29">
        <f t="shared" si="14"/>
        <v>0</v>
      </c>
      <c r="Q62" s="29">
        <f t="shared" si="14"/>
        <v>0</v>
      </c>
      <c r="R62" s="29">
        <f t="shared" si="14"/>
        <v>0</v>
      </c>
      <c r="S62" s="29">
        <f t="shared" si="14"/>
        <v>0</v>
      </c>
      <c r="T62" s="29">
        <f t="shared" si="14"/>
        <v>0</v>
      </c>
      <c r="U62" s="29">
        <f t="shared" si="14"/>
        <v>0</v>
      </c>
      <c r="V62" s="29">
        <f t="shared" si="14"/>
        <v>0</v>
      </c>
      <c r="W62" s="29">
        <f t="shared" si="14"/>
        <v>0</v>
      </c>
      <c r="X62" s="29">
        <f t="shared" si="14"/>
        <v>0</v>
      </c>
      <c r="Y62" s="29">
        <f t="shared" si="14"/>
        <v>0</v>
      </c>
      <c r="Z62" s="29">
        <f t="shared" si="14"/>
        <v>0</v>
      </c>
      <c r="AA62" s="29">
        <f t="shared" si="14"/>
        <v>0</v>
      </c>
      <c r="AB62" s="29">
        <f t="shared" si="14"/>
        <v>0</v>
      </c>
      <c r="AC62" s="29">
        <f t="shared" si="14"/>
        <v>0</v>
      </c>
      <c r="AD62" s="29">
        <f t="shared" si="14"/>
        <v>0</v>
      </c>
      <c r="AE62" s="29">
        <f t="shared" si="14"/>
        <v>0</v>
      </c>
      <c r="AF62" s="23"/>
      <c r="AG62" s="24">
        <f t="shared" si="1"/>
        <v>0</v>
      </c>
    </row>
    <row r="63" spans="1:38" x14ac:dyDescent="0.3">
      <c r="A63" s="28" t="s">
        <v>29</v>
      </c>
      <c r="B63" s="29">
        <f t="shared" ref="B63:E65" si="15">B69+B75</f>
        <v>0</v>
      </c>
      <c r="C63" s="29">
        <f t="shared" si="15"/>
        <v>0</v>
      </c>
      <c r="D63" s="29">
        <f t="shared" si="15"/>
        <v>0</v>
      </c>
      <c r="E63" s="29">
        <f t="shared" si="15"/>
        <v>0</v>
      </c>
      <c r="F63" s="29">
        <f>IFERROR(E63/B63*100,0)</f>
        <v>0</v>
      </c>
      <c r="G63" s="29">
        <f>IFERROR(E63/C63*100,0)</f>
        <v>0</v>
      </c>
      <c r="H63" s="29">
        <f t="shared" si="14"/>
        <v>0</v>
      </c>
      <c r="I63" s="29">
        <f t="shared" si="14"/>
        <v>0</v>
      </c>
      <c r="J63" s="29">
        <f t="shared" si="14"/>
        <v>0</v>
      </c>
      <c r="K63" s="29">
        <f t="shared" si="14"/>
        <v>0</v>
      </c>
      <c r="L63" s="29">
        <f t="shared" si="14"/>
        <v>0</v>
      </c>
      <c r="M63" s="29">
        <f t="shared" si="14"/>
        <v>0</v>
      </c>
      <c r="N63" s="29">
        <f t="shared" si="14"/>
        <v>0</v>
      </c>
      <c r="O63" s="29">
        <f t="shared" si="14"/>
        <v>0</v>
      </c>
      <c r="P63" s="29">
        <f t="shared" si="14"/>
        <v>0</v>
      </c>
      <c r="Q63" s="29">
        <f t="shared" si="14"/>
        <v>0</v>
      </c>
      <c r="R63" s="29">
        <f t="shared" si="14"/>
        <v>0</v>
      </c>
      <c r="S63" s="29">
        <f t="shared" si="14"/>
        <v>0</v>
      </c>
      <c r="T63" s="29">
        <f t="shared" si="14"/>
        <v>0</v>
      </c>
      <c r="U63" s="29">
        <f t="shared" si="14"/>
        <v>0</v>
      </c>
      <c r="V63" s="29">
        <f t="shared" si="14"/>
        <v>0</v>
      </c>
      <c r="W63" s="29">
        <f t="shared" si="14"/>
        <v>0</v>
      </c>
      <c r="X63" s="29">
        <f t="shared" si="14"/>
        <v>0</v>
      </c>
      <c r="Y63" s="29">
        <f t="shared" si="14"/>
        <v>0</v>
      </c>
      <c r="Z63" s="29">
        <f t="shared" si="14"/>
        <v>0</v>
      </c>
      <c r="AA63" s="29">
        <f t="shared" si="14"/>
        <v>0</v>
      </c>
      <c r="AB63" s="29">
        <f t="shared" si="14"/>
        <v>0</v>
      </c>
      <c r="AC63" s="29">
        <f t="shared" si="14"/>
        <v>0</v>
      </c>
      <c r="AD63" s="29">
        <f t="shared" si="14"/>
        <v>0</v>
      </c>
      <c r="AE63" s="29">
        <f t="shared" si="14"/>
        <v>0</v>
      </c>
      <c r="AF63" s="23"/>
      <c r="AG63" s="24">
        <f t="shared" si="1"/>
        <v>0</v>
      </c>
    </row>
    <row r="64" spans="1:38" x14ac:dyDescent="0.3">
      <c r="A64" s="28" t="s">
        <v>30</v>
      </c>
      <c r="B64" s="29">
        <f t="shared" si="15"/>
        <v>67551.6391</v>
      </c>
      <c r="C64" s="29">
        <f>C70+C76</f>
        <v>47832.319609999999</v>
      </c>
      <c r="D64" s="29">
        <f t="shared" si="15"/>
        <v>40213.54</v>
      </c>
      <c r="E64" s="29">
        <f t="shared" si="15"/>
        <v>40213.54</v>
      </c>
      <c r="F64" s="29">
        <f>IFERROR(E64/B64*100,0)</f>
        <v>59.530072897964658</v>
      </c>
      <c r="G64" s="29">
        <f>IFERROR(E64/C64*100,0)</f>
        <v>84.071900187740027</v>
      </c>
      <c r="H64" s="29">
        <f t="shared" si="14"/>
        <v>2796.47379</v>
      </c>
      <c r="I64" s="29">
        <f t="shared" si="14"/>
        <v>946.54</v>
      </c>
      <c r="J64" s="29">
        <f t="shared" si="14"/>
        <v>6573.9023099999995</v>
      </c>
      <c r="K64" s="29">
        <f t="shared" si="14"/>
        <v>6387.9299999999994</v>
      </c>
      <c r="L64" s="29">
        <f t="shared" si="14"/>
        <v>4574.5035900000003</v>
      </c>
      <c r="M64" s="29">
        <f t="shared" si="14"/>
        <v>6591.97</v>
      </c>
      <c r="N64" s="29">
        <f t="shared" si="14"/>
        <v>8943.8677200000002</v>
      </c>
      <c r="O64" s="29">
        <f t="shared" si="14"/>
        <v>6593.8499999999995</v>
      </c>
      <c r="P64" s="29">
        <f t="shared" si="14"/>
        <v>11501.86197</v>
      </c>
      <c r="Q64" s="29">
        <f t="shared" si="14"/>
        <v>7126.49</v>
      </c>
      <c r="R64" s="29">
        <f t="shared" si="14"/>
        <v>3781.6400000000003</v>
      </c>
      <c r="S64" s="29">
        <f t="shared" si="14"/>
        <v>5459.49</v>
      </c>
      <c r="T64" s="29">
        <f t="shared" si="14"/>
        <v>1342.6560999999999</v>
      </c>
      <c r="U64" s="29">
        <f t="shared" si="14"/>
        <v>625.11</v>
      </c>
      <c r="V64" s="29">
        <f t="shared" si="14"/>
        <v>579.07795999999996</v>
      </c>
      <c r="W64" s="29">
        <f t="shared" si="14"/>
        <v>680.06</v>
      </c>
      <c r="X64" s="29">
        <f t="shared" si="14"/>
        <v>4517.2937999999995</v>
      </c>
      <c r="Y64" s="29">
        <f t="shared" si="14"/>
        <v>815.6</v>
      </c>
      <c r="Z64" s="29">
        <f t="shared" si="14"/>
        <v>3761.65616</v>
      </c>
      <c r="AA64" s="29">
        <f t="shared" si="14"/>
        <v>4986.5</v>
      </c>
      <c r="AB64" s="29">
        <f t="shared" si="14"/>
        <v>2664.1743700000002</v>
      </c>
      <c r="AC64" s="29">
        <f t="shared" si="14"/>
        <v>0</v>
      </c>
      <c r="AD64" s="29">
        <f t="shared" si="14"/>
        <v>16514.531330000002</v>
      </c>
      <c r="AE64" s="29">
        <f t="shared" si="14"/>
        <v>0</v>
      </c>
      <c r="AF64" s="23"/>
      <c r="AG64" s="24">
        <f t="shared" si="1"/>
        <v>0</v>
      </c>
    </row>
    <row r="65" spans="1:33" x14ac:dyDescent="0.3">
      <c r="A65" s="28" t="s">
        <v>31</v>
      </c>
      <c r="B65" s="29">
        <f t="shared" si="15"/>
        <v>0</v>
      </c>
      <c r="C65" s="29">
        <f t="shared" si="15"/>
        <v>0</v>
      </c>
      <c r="D65" s="29">
        <f t="shared" si="15"/>
        <v>0</v>
      </c>
      <c r="E65" s="29">
        <f t="shared" si="15"/>
        <v>0</v>
      </c>
      <c r="F65" s="29">
        <f>IFERROR(E65/B65*100,0)</f>
        <v>0</v>
      </c>
      <c r="G65" s="29">
        <f>IFERROR(E65/C65*100,0)</f>
        <v>0</v>
      </c>
      <c r="H65" s="29">
        <f t="shared" si="14"/>
        <v>0</v>
      </c>
      <c r="I65" s="29">
        <f t="shared" si="14"/>
        <v>0</v>
      </c>
      <c r="J65" s="29">
        <f t="shared" si="14"/>
        <v>0</v>
      </c>
      <c r="K65" s="29">
        <f t="shared" si="14"/>
        <v>0</v>
      </c>
      <c r="L65" s="29">
        <f t="shared" si="14"/>
        <v>0</v>
      </c>
      <c r="M65" s="29">
        <f t="shared" si="14"/>
        <v>0</v>
      </c>
      <c r="N65" s="29">
        <f t="shared" si="14"/>
        <v>0</v>
      </c>
      <c r="O65" s="29">
        <f t="shared" si="14"/>
        <v>0</v>
      </c>
      <c r="P65" s="29">
        <f t="shared" si="14"/>
        <v>0</v>
      </c>
      <c r="Q65" s="29">
        <f t="shared" si="14"/>
        <v>0</v>
      </c>
      <c r="R65" s="29">
        <f t="shared" si="14"/>
        <v>0</v>
      </c>
      <c r="S65" s="29">
        <f t="shared" si="14"/>
        <v>0</v>
      </c>
      <c r="T65" s="29">
        <f t="shared" si="14"/>
        <v>0</v>
      </c>
      <c r="U65" s="29">
        <f t="shared" si="14"/>
        <v>0</v>
      </c>
      <c r="V65" s="29">
        <f t="shared" si="14"/>
        <v>0</v>
      </c>
      <c r="W65" s="29">
        <f t="shared" si="14"/>
        <v>0</v>
      </c>
      <c r="X65" s="29">
        <f t="shared" si="14"/>
        <v>0</v>
      </c>
      <c r="Y65" s="29">
        <f t="shared" si="14"/>
        <v>0</v>
      </c>
      <c r="Z65" s="29">
        <f t="shared" si="14"/>
        <v>0</v>
      </c>
      <c r="AA65" s="29">
        <f t="shared" si="14"/>
        <v>0</v>
      </c>
      <c r="AB65" s="29">
        <f t="shared" si="14"/>
        <v>0</v>
      </c>
      <c r="AC65" s="29">
        <f t="shared" si="14"/>
        <v>0</v>
      </c>
      <c r="AD65" s="29">
        <f t="shared" si="14"/>
        <v>0</v>
      </c>
      <c r="AE65" s="29">
        <f t="shared" si="14"/>
        <v>0</v>
      </c>
      <c r="AF65" s="23"/>
      <c r="AG65" s="24">
        <f t="shared" si="1"/>
        <v>0</v>
      </c>
    </row>
    <row r="66" spans="1:33" ht="120" customHeight="1" x14ac:dyDescent="0.3">
      <c r="A66" s="30" t="s">
        <v>41</v>
      </c>
      <c r="B66" s="31"/>
      <c r="C66" s="32"/>
      <c r="D66" s="32"/>
      <c r="E66" s="32"/>
      <c r="F66" s="32"/>
      <c r="G66" s="32"/>
      <c r="H66" s="33"/>
      <c r="I66" s="33"/>
      <c r="J66" s="33"/>
      <c r="K66" s="33"/>
      <c r="L66" s="33"/>
      <c r="M66" s="33"/>
      <c r="N66" s="33"/>
      <c r="O66" s="33"/>
      <c r="P66" s="33"/>
      <c r="Q66" s="33"/>
      <c r="R66" s="33"/>
      <c r="S66" s="33"/>
      <c r="T66" s="33"/>
      <c r="U66" s="33"/>
      <c r="V66" s="33"/>
      <c r="W66" s="33"/>
      <c r="X66" s="33"/>
      <c r="Y66" s="33"/>
      <c r="Z66" s="33"/>
      <c r="AA66" s="33"/>
      <c r="AB66" s="33"/>
      <c r="AC66" s="33"/>
      <c r="AD66" s="33"/>
      <c r="AE66" s="33"/>
      <c r="AF66" s="58" t="s">
        <v>42</v>
      </c>
      <c r="AG66" s="24">
        <f t="shared" si="1"/>
        <v>0</v>
      </c>
    </row>
    <row r="67" spans="1:33" s="41" customFormat="1" x14ac:dyDescent="0.3">
      <c r="A67" s="35" t="s">
        <v>27</v>
      </c>
      <c r="B67" s="36">
        <f>B69+B70+B68+B71</f>
        <v>11464.339099999999</v>
      </c>
      <c r="C67" s="38">
        <f>C69+C70+C68+C71</f>
        <v>9842.2195199999987</v>
      </c>
      <c r="D67" s="38">
        <f>D69+D70+D68+D71</f>
        <v>9842.2199999999993</v>
      </c>
      <c r="E67" s="38">
        <f>E69+E70+E68+E71</f>
        <v>9842.2199999999993</v>
      </c>
      <c r="F67" s="38">
        <f>IFERROR(E67/B67*100,0)</f>
        <v>85.850740405960252</v>
      </c>
      <c r="G67" s="38">
        <f>IFERROR(E67/C67*100,0)</f>
        <v>100.00000487694874</v>
      </c>
      <c r="H67" s="38">
        <f t="shared" ref="H67:AE67" si="16">H69+H70+H68+H71</f>
        <v>946.57493999999997</v>
      </c>
      <c r="I67" s="38">
        <f t="shared" si="16"/>
        <v>946.54</v>
      </c>
      <c r="J67" s="38">
        <f t="shared" si="16"/>
        <v>1710.0039999999999</v>
      </c>
      <c r="K67" s="38">
        <f t="shared" si="16"/>
        <v>1750.03</v>
      </c>
      <c r="L67" s="36">
        <f t="shared" si="16"/>
        <v>1025.9739999999999</v>
      </c>
      <c r="M67" s="36">
        <f t="shared" si="16"/>
        <v>1033.95</v>
      </c>
      <c r="N67" s="36">
        <f t="shared" si="16"/>
        <v>904.51700000000005</v>
      </c>
      <c r="O67" s="36">
        <f t="shared" si="16"/>
        <v>913.7</v>
      </c>
      <c r="P67" s="36">
        <f t="shared" si="16"/>
        <v>1652.5519999999999</v>
      </c>
      <c r="Q67" s="36">
        <f t="shared" si="16"/>
        <v>1939.31</v>
      </c>
      <c r="R67" s="38">
        <f t="shared" si="16"/>
        <v>1289.2149999999999</v>
      </c>
      <c r="S67" s="36">
        <f t="shared" si="16"/>
        <v>1687.68</v>
      </c>
      <c r="T67" s="36">
        <f t="shared" si="16"/>
        <v>286.33</v>
      </c>
      <c r="U67" s="36">
        <f t="shared" si="16"/>
        <v>75.349999999999994</v>
      </c>
      <c r="V67" s="36">
        <f t="shared" si="16"/>
        <v>531.39558999999997</v>
      </c>
      <c r="W67" s="36">
        <f t="shared" si="16"/>
        <v>680.06</v>
      </c>
      <c r="X67" s="36">
        <f t="shared" si="16"/>
        <v>1495.65699</v>
      </c>
      <c r="Y67" s="36">
        <f t="shared" si="16"/>
        <v>815.6</v>
      </c>
      <c r="Z67" s="36">
        <f t="shared" si="16"/>
        <v>540.61378999999999</v>
      </c>
      <c r="AA67" s="36">
        <f t="shared" si="16"/>
        <v>0</v>
      </c>
      <c r="AB67" s="36">
        <f t="shared" si="16"/>
        <v>540.61478999999997</v>
      </c>
      <c r="AC67" s="36">
        <f t="shared" si="16"/>
        <v>0</v>
      </c>
      <c r="AD67" s="38">
        <f t="shared" si="16"/>
        <v>540.89099999999996</v>
      </c>
      <c r="AE67" s="36">
        <f t="shared" si="16"/>
        <v>0</v>
      </c>
      <c r="AF67" s="39"/>
      <c r="AG67" s="40">
        <f t="shared" si="1"/>
        <v>-1.5916157281026244E-12</v>
      </c>
    </row>
    <row r="68" spans="1:33" x14ac:dyDescent="0.3">
      <c r="A68" s="42" t="s">
        <v>28</v>
      </c>
      <c r="B68" s="31">
        <f>J68+L68+N68+P68+R68+T68+V68+X68+Z68+AB68+AD68+H68</f>
        <v>0</v>
      </c>
      <c r="C68" s="48">
        <f>SUM(H68)</f>
        <v>0</v>
      </c>
      <c r="D68" s="49">
        <f>E68</f>
        <v>0</v>
      </c>
      <c r="E68" s="48">
        <f>SUM(I68,K68,M68,O68,Q68,S68,U68,W68,Y68,AA68,AC68,AE68)</f>
        <v>0</v>
      </c>
      <c r="F68" s="47"/>
      <c r="G68" s="47"/>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4"/>
      <c r="AG68" s="24">
        <f t="shared" si="1"/>
        <v>0</v>
      </c>
    </row>
    <row r="69" spans="1:33" x14ac:dyDescent="0.3">
      <c r="A69" s="42" t="s">
        <v>29</v>
      </c>
      <c r="B69" s="31">
        <f>J69+L69+N69+P69+R69+T69+V69+X69+Z69+AB69+AD69+H69</f>
        <v>0</v>
      </c>
      <c r="C69" s="48">
        <f>SUM(H69)</f>
        <v>0</v>
      </c>
      <c r="D69" s="49">
        <f>E69</f>
        <v>0</v>
      </c>
      <c r="E69" s="48">
        <f>SUM(I69,K69,M69,O69,Q69,S69,U69,W69,Y69,AA69,AC69,AE69)</f>
        <v>0</v>
      </c>
      <c r="F69" s="47"/>
      <c r="G69" s="47"/>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c r="AG69" s="24">
        <f t="shared" si="1"/>
        <v>0</v>
      </c>
    </row>
    <row r="70" spans="1:33" s="41" customFormat="1" x14ac:dyDescent="0.3">
      <c r="A70" s="42" t="s">
        <v>30</v>
      </c>
      <c r="B70" s="31">
        <f>J70+L70+N70+P70+R70+T70+V70+X70+Z70+AB70+AD70+H70</f>
        <v>11464.339099999999</v>
      </c>
      <c r="C70" s="43">
        <f>H70+J70+L70+N70+P70+R70+T70+V70+X70</f>
        <v>9842.2195199999987</v>
      </c>
      <c r="D70" s="44">
        <f>E70</f>
        <v>9842.2199999999993</v>
      </c>
      <c r="E70" s="43">
        <f>SUM(I70,K70,M70,O70,Q70,S70,U70,W70,Y70,AA70,AC70,AE70)</f>
        <v>9842.2199999999993</v>
      </c>
      <c r="F70" s="31">
        <f>IFERROR(E70/B70*100,0)</f>
        <v>85.850740405960252</v>
      </c>
      <c r="G70" s="31">
        <f>IFERROR(E70/C70*100,0)</f>
        <v>100.00000487694874</v>
      </c>
      <c r="H70" s="45">
        <v>946.57493999999997</v>
      </c>
      <c r="I70" s="45">
        <v>946.54</v>
      </c>
      <c r="J70" s="45">
        <v>1710.0039999999999</v>
      </c>
      <c r="K70" s="45">
        <v>1750.03</v>
      </c>
      <c r="L70" s="45">
        <v>1025.9739999999999</v>
      </c>
      <c r="M70" s="45">
        <v>1033.95</v>
      </c>
      <c r="N70" s="45">
        <v>904.51700000000005</v>
      </c>
      <c r="O70" s="45">
        <v>913.7</v>
      </c>
      <c r="P70" s="45">
        <v>1652.5519999999999</v>
      </c>
      <c r="Q70" s="45">
        <v>1939.31</v>
      </c>
      <c r="R70" s="45">
        <v>1289.2149999999999</v>
      </c>
      <c r="S70" s="45">
        <v>1687.68</v>
      </c>
      <c r="T70" s="45">
        <v>286.33</v>
      </c>
      <c r="U70" s="45">
        <v>75.349999999999994</v>
      </c>
      <c r="V70" s="45">
        <v>531.39558999999997</v>
      </c>
      <c r="W70" s="45">
        <v>680.06</v>
      </c>
      <c r="X70" s="45">
        <v>1495.65699</v>
      </c>
      <c r="Y70" s="45">
        <f>747.69+67.91</f>
        <v>815.6</v>
      </c>
      <c r="Z70" s="45">
        <v>540.61378999999999</v>
      </c>
      <c r="AA70" s="45"/>
      <c r="AB70" s="45">
        <v>540.61478999999997</v>
      </c>
      <c r="AC70" s="45"/>
      <c r="AD70" s="45">
        <v>540.89099999999996</v>
      </c>
      <c r="AE70" s="45"/>
      <c r="AF70" s="39"/>
      <c r="AG70" s="40">
        <f t="shared" si="1"/>
        <v>-1.5916157281026244E-12</v>
      </c>
    </row>
    <row r="71" spans="1:33" x14ac:dyDescent="0.3">
      <c r="A71" s="46" t="s">
        <v>31</v>
      </c>
      <c r="B71" s="47"/>
      <c r="C71" s="48"/>
      <c r="D71" s="49"/>
      <c r="E71" s="48"/>
      <c r="F71" s="47"/>
      <c r="G71" s="47"/>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4"/>
      <c r="AG71" s="24">
        <f t="shared" si="1"/>
        <v>0</v>
      </c>
    </row>
    <row r="72" spans="1:33" ht="87" customHeight="1" x14ac:dyDescent="0.3">
      <c r="A72" s="30" t="s">
        <v>43</v>
      </c>
      <c r="B72" s="31"/>
      <c r="C72" s="32"/>
      <c r="D72" s="32"/>
      <c r="E72" s="32"/>
      <c r="F72" s="32"/>
      <c r="G72" s="32"/>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4"/>
      <c r="AG72" s="24">
        <f t="shared" si="1"/>
        <v>0</v>
      </c>
    </row>
    <row r="73" spans="1:33" s="41" customFormat="1" x14ac:dyDescent="0.3">
      <c r="A73" s="35" t="s">
        <v>27</v>
      </c>
      <c r="B73" s="36">
        <f>B75+B76+B74+B77</f>
        <v>56087.3</v>
      </c>
      <c r="C73" s="38">
        <f>C75+C76+C74+C77</f>
        <v>37990.10009</v>
      </c>
      <c r="D73" s="38">
        <f>D75+D76+D74+D77</f>
        <v>30371.32</v>
      </c>
      <c r="E73" s="38">
        <f>E75+E76+E74+E77</f>
        <v>30371.32</v>
      </c>
      <c r="F73" s="38">
        <f>IFERROR(E73/B73*100,0)</f>
        <v>54.15008388708317</v>
      </c>
      <c r="G73" s="38">
        <f>IFERROR(E73/C73*100,0)</f>
        <v>79.945353994986007</v>
      </c>
      <c r="H73" s="38">
        <f t="shared" ref="H73:AE73" si="17">H75+H76+H74+H77</f>
        <v>1849.89885</v>
      </c>
      <c r="I73" s="38">
        <f t="shared" si="17"/>
        <v>0</v>
      </c>
      <c r="J73" s="38">
        <f t="shared" si="17"/>
        <v>4863.8983099999996</v>
      </c>
      <c r="K73" s="38">
        <f t="shared" si="17"/>
        <v>4637.8999999999996</v>
      </c>
      <c r="L73" s="38">
        <f t="shared" si="17"/>
        <v>3548.5295900000001</v>
      </c>
      <c r="M73" s="38">
        <f>M75+M76+M74+M77</f>
        <v>5558.02</v>
      </c>
      <c r="N73" s="38">
        <f t="shared" si="17"/>
        <v>8039.3507200000004</v>
      </c>
      <c r="O73" s="38">
        <f t="shared" si="17"/>
        <v>5680.15</v>
      </c>
      <c r="P73" s="38">
        <f t="shared" si="17"/>
        <v>9849.3099700000002</v>
      </c>
      <c r="Q73" s="38">
        <f t="shared" si="17"/>
        <v>5187.18</v>
      </c>
      <c r="R73" s="38">
        <f t="shared" si="17"/>
        <v>2492.4250000000002</v>
      </c>
      <c r="S73" s="38">
        <f t="shared" si="17"/>
        <v>3771.81</v>
      </c>
      <c r="T73" s="38">
        <f t="shared" si="17"/>
        <v>1056.3261</v>
      </c>
      <c r="U73" s="38">
        <f t="shared" si="17"/>
        <v>549.76</v>
      </c>
      <c r="V73" s="36">
        <f t="shared" si="17"/>
        <v>47.682369999999999</v>
      </c>
      <c r="W73" s="36">
        <f t="shared" si="17"/>
        <v>0</v>
      </c>
      <c r="X73" s="36">
        <f t="shared" si="17"/>
        <v>3021.63681</v>
      </c>
      <c r="Y73" s="36">
        <f t="shared" si="17"/>
        <v>0</v>
      </c>
      <c r="Z73" s="36">
        <f t="shared" si="17"/>
        <v>3221.0423700000001</v>
      </c>
      <c r="AA73" s="36">
        <f t="shared" si="17"/>
        <v>4986.5</v>
      </c>
      <c r="AB73" s="36">
        <f t="shared" si="17"/>
        <v>2123.5595800000001</v>
      </c>
      <c r="AC73" s="36">
        <f t="shared" si="17"/>
        <v>0</v>
      </c>
      <c r="AD73" s="38">
        <f t="shared" si="17"/>
        <v>15973.64033</v>
      </c>
      <c r="AE73" s="36">
        <f t="shared" si="17"/>
        <v>0</v>
      </c>
      <c r="AF73" s="39"/>
      <c r="AG73" s="40">
        <f t="shared" si="1"/>
        <v>0</v>
      </c>
    </row>
    <row r="74" spans="1:33" s="41" customFormat="1" x14ac:dyDescent="0.3">
      <c r="A74" s="42" t="s">
        <v>28</v>
      </c>
      <c r="B74" s="31">
        <f>J74+L74+N74+P74+R74+T74+V74+X74+Z74+AB74+AD74+H74</f>
        <v>0</v>
      </c>
      <c r="C74" s="43">
        <f>SUM(H74)</f>
        <v>0</v>
      </c>
      <c r="D74" s="44">
        <f>E74</f>
        <v>0</v>
      </c>
      <c r="E74" s="43">
        <f>SUM(I74,K74,M74,O74,Q74,S74,U74,W74,Y74,AA74,AC74,AE74)</f>
        <v>0</v>
      </c>
      <c r="F74" s="31"/>
      <c r="G74" s="31"/>
      <c r="H74" s="45"/>
      <c r="I74" s="45"/>
      <c r="J74" s="45"/>
      <c r="K74" s="45"/>
      <c r="L74" s="45"/>
      <c r="M74" s="45"/>
      <c r="N74" s="45"/>
      <c r="O74" s="45"/>
      <c r="P74" s="45"/>
      <c r="Q74" s="45"/>
      <c r="R74" s="45"/>
      <c r="S74" s="45"/>
      <c r="T74" s="45"/>
      <c r="U74" s="45"/>
      <c r="V74" s="45"/>
      <c r="W74" s="45"/>
      <c r="X74" s="45"/>
      <c r="Y74" s="45"/>
      <c r="Z74" s="45"/>
      <c r="AA74" s="45"/>
      <c r="AB74" s="45"/>
      <c r="AC74" s="45"/>
      <c r="AD74" s="45"/>
      <c r="AE74" s="45"/>
      <c r="AF74" s="39"/>
      <c r="AG74" s="40">
        <f t="shared" si="1"/>
        <v>0</v>
      </c>
    </row>
    <row r="75" spans="1:33" s="41" customFormat="1" x14ac:dyDescent="0.3">
      <c r="A75" s="42" t="s">
        <v>29</v>
      </c>
      <c r="B75" s="31">
        <f>J75+L75+N75+P75+R75+T75+V75+X75+Z75+AB75+AD75+H75</f>
        <v>0</v>
      </c>
      <c r="C75" s="43">
        <f>SUM(H75)</f>
        <v>0</v>
      </c>
      <c r="D75" s="44">
        <f>E75</f>
        <v>0</v>
      </c>
      <c r="E75" s="43">
        <f>SUM(I75,K75,M75,O75,Q75,S75,U75,W75,Y75,AA75,AC75,AE75)</f>
        <v>0</v>
      </c>
      <c r="F75" s="31"/>
      <c r="G75" s="31"/>
      <c r="H75" s="45"/>
      <c r="I75" s="45"/>
      <c r="J75" s="45"/>
      <c r="K75" s="45"/>
      <c r="L75" s="45"/>
      <c r="M75" s="45"/>
      <c r="N75" s="45"/>
      <c r="O75" s="45"/>
      <c r="P75" s="45"/>
      <c r="Q75" s="45"/>
      <c r="R75" s="45"/>
      <c r="S75" s="45"/>
      <c r="T75" s="45"/>
      <c r="U75" s="45"/>
      <c r="V75" s="45"/>
      <c r="W75" s="45"/>
      <c r="X75" s="45"/>
      <c r="Y75" s="45"/>
      <c r="Z75" s="45"/>
      <c r="AA75" s="45"/>
      <c r="AB75" s="45"/>
      <c r="AC75" s="45"/>
      <c r="AD75" s="45"/>
      <c r="AE75" s="45"/>
      <c r="AF75" s="39"/>
      <c r="AG75" s="40">
        <f t="shared" si="1"/>
        <v>0</v>
      </c>
    </row>
    <row r="76" spans="1:33" s="41" customFormat="1" x14ac:dyDescent="0.3">
      <c r="A76" s="42" t="s">
        <v>30</v>
      </c>
      <c r="B76" s="31">
        <f>J76+L76+N76+P76+R76+T76+V76+X76+Z76+AB76+AD76+H76</f>
        <v>56087.3</v>
      </c>
      <c r="C76" s="43">
        <f>H76+J76+L76+N76+P76+R76+T76+V76+X76+Z76</f>
        <v>37990.10009</v>
      </c>
      <c r="D76" s="44">
        <f>E76</f>
        <v>30371.32</v>
      </c>
      <c r="E76" s="43">
        <f>SUM(I76,K76,M76,O76,Q76,S76,U76,W76,Y76,AA76,AC76,AE76)</f>
        <v>30371.32</v>
      </c>
      <c r="F76" s="31">
        <f>IFERROR(E76/B76*100,0)</f>
        <v>54.15008388708317</v>
      </c>
      <c r="G76" s="31">
        <f>IFERROR(E76/C76*100,0)</f>
        <v>79.945353994986007</v>
      </c>
      <c r="H76" s="45">
        <v>1849.89885</v>
      </c>
      <c r="I76" s="45"/>
      <c r="J76" s="45">
        <v>4863.8983099999996</v>
      </c>
      <c r="K76" s="45">
        <v>4637.8999999999996</v>
      </c>
      <c r="L76" s="45">
        <v>3548.5295900000001</v>
      </c>
      <c r="M76" s="45">
        <v>5558.02</v>
      </c>
      <c r="N76" s="45">
        <v>8039.3507200000004</v>
      </c>
      <c r="O76" s="45">
        <v>5680.15</v>
      </c>
      <c r="P76" s="45">
        <v>9849.3099700000002</v>
      </c>
      <c r="Q76" s="45">
        <v>5187.18</v>
      </c>
      <c r="R76" s="45">
        <v>2492.4250000000002</v>
      </c>
      <c r="S76" s="45">
        <f>4046.69-274.88</f>
        <v>3771.81</v>
      </c>
      <c r="T76" s="45">
        <v>1056.3261</v>
      </c>
      <c r="U76" s="45">
        <v>549.76</v>
      </c>
      <c r="V76" s="45">
        <v>47.682369999999999</v>
      </c>
      <c r="W76" s="45"/>
      <c r="X76" s="45">
        <v>3021.63681</v>
      </c>
      <c r="Y76" s="45"/>
      <c r="Z76" s="45">
        <v>3221.0423700000001</v>
      </c>
      <c r="AA76" s="45">
        <v>4986.5</v>
      </c>
      <c r="AB76" s="45">
        <v>2123.5595800000001</v>
      </c>
      <c r="AC76" s="45"/>
      <c r="AD76" s="45">
        <v>15973.64033</v>
      </c>
      <c r="AE76" s="45"/>
      <c r="AF76" s="39"/>
      <c r="AG76" s="40">
        <f t="shared" si="1"/>
        <v>0</v>
      </c>
    </row>
    <row r="77" spans="1:33" x14ac:dyDescent="0.3">
      <c r="A77" s="46" t="s">
        <v>31</v>
      </c>
      <c r="B77" s="47"/>
      <c r="C77" s="48"/>
      <c r="D77" s="49"/>
      <c r="E77" s="48"/>
      <c r="F77" s="47"/>
      <c r="G77" s="47"/>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4"/>
      <c r="AG77" s="24">
        <f t="shared" si="1"/>
        <v>0</v>
      </c>
    </row>
    <row r="78" spans="1:33" ht="72" customHeight="1" x14ac:dyDescent="0.3">
      <c r="A78" s="56" t="s">
        <v>44</v>
      </c>
      <c r="B78" s="26"/>
      <c r="C78" s="59"/>
      <c r="D78" s="59"/>
      <c r="E78" s="59"/>
      <c r="F78" s="57"/>
      <c r="G78" s="57"/>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3"/>
      <c r="AG78" s="24">
        <f t="shared" si="1"/>
        <v>0</v>
      </c>
    </row>
    <row r="79" spans="1:33" x14ac:dyDescent="0.3">
      <c r="A79" s="60" t="s">
        <v>27</v>
      </c>
      <c r="B79" s="26">
        <f>B80+B81+B82+B83</f>
        <v>2845174.1198299993</v>
      </c>
      <c r="C79" s="59">
        <f>C80+C81+C82</f>
        <v>1032461.9860799999</v>
      </c>
      <c r="D79" s="59">
        <f>D80+D81+D82</f>
        <v>2138152.87</v>
      </c>
      <c r="E79" s="59">
        <f>E80+E81+E82</f>
        <v>2138152.87</v>
      </c>
      <c r="F79" s="27">
        <f>IFERROR(E79/B79*100,0)</f>
        <v>75.150158828513312</v>
      </c>
      <c r="G79" s="27">
        <f>IFERROR(E79/C79*100,0)</f>
        <v>207.09264833255818</v>
      </c>
      <c r="H79" s="26">
        <f>H80+H81+H82+H83</f>
        <v>217025.51916</v>
      </c>
      <c r="I79" s="26">
        <f t="shared" ref="I79:AE79" si="18">I80+I81+I82+I83</f>
        <v>90192.700000000012</v>
      </c>
      <c r="J79" s="26">
        <f t="shared" si="18"/>
        <v>289771.33732000005</v>
      </c>
      <c r="K79" s="26">
        <f t="shared" si="18"/>
        <v>253612.65</v>
      </c>
      <c r="L79" s="26">
        <f t="shared" si="18"/>
        <v>245546.04931999999</v>
      </c>
      <c r="M79" s="26">
        <f t="shared" si="18"/>
        <v>204906.37</v>
      </c>
      <c r="N79" s="26">
        <f t="shared" si="18"/>
        <v>287460.08027999999</v>
      </c>
      <c r="O79" s="26">
        <f t="shared" si="18"/>
        <v>224145.56</v>
      </c>
      <c r="P79" s="26">
        <f t="shared" si="18"/>
        <v>441681.89440999995</v>
      </c>
      <c r="Q79" s="26">
        <f t="shared" si="18"/>
        <v>438287.43</v>
      </c>
      <c r="R79" s="26">
        <f t="shared" si="18"/>
        <v>228100.71170000001</v>
      </c>
      <c r="S79" s="26">
        <f t="shared" si="18"/>
        <v>237794.31</v>
      </c>
      <c r="T79" s="26">
        <f t="shared" si="18"/>
        <v>184564.54723999999</v>
      </c>
      <c r="U79" s="26">
        <f t="shared" si="18"/>
        <v>161895.54999999999</v>
      </c>
      <c r="V79" s="26">
        <f t="shared" si="18"/>
        <v>121291.34078</v>
      </c>
      <c r="W79" s="26">
        <f t="shared" si="18"/>
        <v>118368.83</v>
      </c>
      <c r="X79" s="26">
        <f t="shared" si="18"/>
        <v>164146.53882000002</v>
      </c>
      <c r="Y79" s="26">
        <f t="shared" si="18"/>
        <v>134284.61000000002</v>
      </c>
      <c r="Z79" s="26">
        <f t="shared" si="18"/>
        <v>182574.25033000001</v>
      </c>
      <c r="AA79" s="26">
        <f t="shared" si="18"/>
        <v>285784.53000000003</v>
      </c>
      <c r="AB79" s="26">
        <f t="shared" si="18"/>
        <v>267013.30966000003</v>
      </c>
      <c r="AC79" s="26">
        <f t="shared" si="18"/>
        <v>0</v>
      </c>
      <c r="AD79" s="26">
        <f t="shared" si="18"/>
        <v>215998.54081000001</v>
      </c>
      <c r="AE79" s="26">
        <f t="shared" si="18"/>
        <v>0</v>
      </c>
      <c r="AF79" s="23"/>
      <c r="AG79" s="24">
        <f t="shared" si="1"/>
        <v>-9.6042640507221222E-10</v>
      </c>
    </row>
    <row r="80" spans="1:33" x14ac:dyDescent="0.3">
      <c r="A80" s="61" t="s">
        <v>28</v>
      </c>
      <c r="B80" s="29">
        <f>J80+L80+N80+P80+R80+T80+V80+X80+Z80+AB80+AD80+H80</f>
        <v>91504.499999999985</v>
      </c>
      <c r="C80" s="62">
        <f>SUM(H80+J80+L80+N80)</f>
        <v>24355.196759999999</v>
      </c>
      <c r="D80" s="62">
        <f>E80</f>
        <v>66794.83</v>
      </c>
      <c r="E80" s="62">
        <f>SUM(I80,K80,M80,O80,Q80,S80,U80,W80,Y80,AA80,AC80,AE80)</f>
        <v>66794.83</v>
      </c>
      <c r="F80" s="29">
        <f>IFERROR(E80/B80*100,0)</f>
        <v>72.996224229409506</v>
      </c>
      <c r="G80" s="29">
        <f>IFERROR(E80/C80*100,0)</f>
        <v>274.25288597832707</v>
      </c>
      <c r="H80" s="29">
        <f t="shared" ref="H80:AE83" si="19">H86+H124+H130</f>
        <v>4031.41669</v>
      </c>
      <c r="I80" s="29">
        <f t="shared" si="19"/>
        <v>4012.3</v>
      </c>
      <c r="J80" s="29">
        <f t="shared" si="19"/>
        <v>3958.9883500000001</v>
      </c>
      <c r="K80" s="29">
        <f t="shared" si="19"/>
        <v>3924.3</v>
      </c>
      <c r="L80" s="29">
        <f t="shared" si="19"/>
        <v>4203.31513</v>
      </c>
      <c r="M80" s="29">
        <f t="shared" si="19"/>
        <v>4194.3999999999996</v>
      </c>
      <c r="N80" s="29">
        <f t="shared" si="19"/>
        <v>12161.47659</v>
      </c>
      <c r="O80" s="29">
        <f t="shared" si="19"/>
        <v>12067</v>
      </c>
      <c r="P80" s="29">
        <f t="shared" si="19"/>
        <v>13662.08482</v>
      </c>
      <c r="Q80" s="29">
        <f t="shared" si="19"/>
        <v>10239.700000000001</v>
      </c>
      <c r="R80" s="29">
        <f t="shared" si="19"/>
        <v>10024.978419999999</v>
      </c>
      <c r="S80" s="29">
        <f t="shared" si="19"/>
        <v>13604.5</v>
      </c>
      <c r="T80" s="29">
        <f t="shared" si="19"/>
        <v>522.71104000000003</v>
      </c>
      <c r="U80" s="29">
        <f t="shared" si="19"/>
        <v>2000</v>
      </c>
      <c r="V80" s="29">
        <f t="shared" si="19"/>
        <v>1863.3516500000001</v>
      </c>
      <c r="W80" s="29">
        <f t="shared" si="19"/>
        <v>386.32</v>
      </c>
      <c r="X80" s="29">
        <f t="shared" si="19"/>
        <v>12766.841649999998</v>
      </c>
      <c r="Y80" s="29">
        <f t="shared" si="19"/>
        <v>8162.3</v>
      </c>
      <c r="Z80" s="29">
        <f t="shared" si="19"/>
        <v>9447.3970699999991</v>
      </c>
      <c r="AA80" s="29">
        <f t="shared" si="19"/>
        <v>8204.01</v>
      </c>
      <c r="AB80" s="29">
        <f t="shared" si="19"/>
        <v>8549.0239199999996</v>
      </c>
      <c r="AC80" s="29">
        <f t="shared" si="19"/>
        <v>0</v>
      </c>
      <c r="AD80" s="29">
        <f t="shared" si="19"/>
        <v>10312.91467</v>
      </c>
      <c r="AE80" s="29">
        <f t="shared" si="19"/>
        <v>0</v>
      </c>
      <c r="AF80" s="23"/>
      <c r="AG80" s="24">
        <f t="shared" si="1"/>
        <v>-2.0008883439004421E-11</v>
      </c>
    </row>
    <row r="81" spans="1:33" x14ac:dyDescent="0.3">
      <c r="A81" s="61" t="s">
        <v>29</v>
      </c>
      <c r="B81" s="29">
        <f>J81+L81+N81+P81+R81+T81+V81+X81+Z81+AB81+AD81+H81</f>
        <v>2301251.2998299995</v>
      </c>
      <c r="C81" s="62">
        <f>SUM(H81+J81+L81+N81)</f>
        <v>806885.54136999999</v>
      </c>
      <c r="D81" s="62">
        <f>E81</f>
        <v>1669649.1300000001</v>
      </c>
      <c r="E81" s="62">
        <f>SUM(I81,K81,M81,O81,Q81,S81,U81,W81,Y81,AA81,AC81,AE81)</f>
        <v>1669649.1300000001</v>
      </c>
      <c r="F81" s="29">
        <f>IFERROR(E81/B81*100,0)</f>
        <v>72.553967927072648</v>
      </c>
      <c r="G81" s="29">
        <f>IFERROR(E81/C81*100,0)</f>
        <v>206.92515163490546</v>
      </c>
      <c r="H81" s="29">
        <f>H87+H125+H131</f>
        <v>160097.37999999998</v>
      </c>
      <c r="I81" s="29">
        <f t="shared" si="19"/>
        <v>33973.1</v>
      </c>
      <c r="J81" s="29">
        <f t="shared" si="19"/>
        <v>218352.98979000002</v>
      </c>
      <c r="K81" s="29">
        <f t="shared" si="19"/>
        <v>181495.2</v>
      </c>
      <c r="L81" s="29">
        <f t="shared" si="19"/>
        <v>194663.11578999998</v>
      </c>
      <c r="M81" s="29">
        <f t="shared" si="19"/>
        <v>154056.82</v>
      </c>
      <c r="N81" s="29">
        <f t="shared" si="19"/>
        <v>233772.05578999998</v>
      </c>
      <c r="O81" s="29">
        <f t="shared" si="19"/>
        <v>170551.99</v>
      </c>
      <c r="P81" s="29">
        <f t="shared" si="19"/>
        <v>388791.16376999998</v>
      </c>
      <c r="Q81" s="29">
        <f t="shared" si="19"/>
        <v>388791.16</v>
      </c>
      <c r="R81" s="29">
        <f t="shared" si="19"/>
        <v>181727.92378000001</v>
      </c>
      <c r="S81" s="29">
        <f t="shared" si="19"/>
        <v>187020.31</v>
      </c>
      <c r="T81" s="29">
        <f t="shared" si="19"/>
        <v>154453.15378999998</v>
      </c>
      <c r="U81" s="29">
        <f t="shared" si="19"/>
        <v>131319.16</v>
      </c>
      <c r="V81" s="29">
        <f t="shared" si="19"/>
        <v>96455.035789999994</v>
      </c>
      <c r="W81" s="29">
        <f t="shared" si="19"/>
        <v>95979.04</v>
      </c>
      <c r="X81" s="29">
        <f t="shared" si="19"/>
        <v>124853.71879</v>
      </c>
      <c r="Y81" s="29">
        <f t="shared" si="19"/>
        <v>101131.27</v>
      </c>
      <c r="Z81" s="29">
        <f t="shared" si="19"/>
        <v>120675.95379</v>
      </c>
      <c r="AA81" s="29">
        <f t="shared" si="19"/>
        <v>225331.08000000002</v>
      </c>
      <c r="AB81" s="29">
        <f t="shared" si="19"/>
        <v>239822.50379000002</v>
      </c>
      <c r="AC81" s="29">
        <f t="shared" si="19"/>
        <v>0</v>
      </c>
      <c r="AD81" s="29">
        <f t="shared" si="19"/>
        <v>187586.30496000001</v>
      </c>
      <c r="AE81" s="29">
        <f t="shared" si="19"/>
        <v>0</v>
      </c>
      <c r="AF81" s="23"/>
      <c r="AG81" s="24">
        <f t="shared" si="1"/>
        <v>-3.4924596548080444E-10</v>
      </c>
    </row>
    <row r="82" spans="1:33" x14ac:dyDescent="0.3">
      <c r="A82" s="61" t="s">
        <v>30</v>
      </c>
      <c r="B82" s="29">
        <f>J82+L82+N82+P82+R82+T82+V82+X82+Z82+AB82+AD82+H82</f>
        <v>441298.64999999997</v>
      </c>
      <c r="C82" s="62">
        <f>SUM(H82+J82+L82+N82)</f>
        <v>201221.24795000002</v>
      </c>
      <c r="D82" s="62">
        <f>E82</f>
        <v>401708.91</v>
      </c>
      <c r="E82" s="62">
        <f>SUM(I82,K82,M82,O82,Q82,S82,U82,W82,Y82,AA82,AC82,AE82)</f>
        <v>401708.91</v>
      </c>
      <c r="F82" s="29">
        <f>IFERROR(E82/B82*100,0)</f>
        <v>91.028810081336076</v>
      </c>
      <c r="G82" s="29">
        <f>IFERROR(E82/C82*100,0)</f>
        <v>199.63543318239317</v>
      </c>
      <c r="H82" s="29">
        <f>H88+H126+H132</f>
        <v>52896.722470000001</v>
      </c>
      <c r="I82" s="29">
        <f t="shared" si="19"/>
        <v>52207.3</v>
      </c>
      <c r="J82" s="29">
        <f t="shared" si="19"/>
        <v>67459.359179999999</v>
      </c>
      <c r="K82" s="29">
        <f t="shared" si="19"/>
        <v>68193.149999999994</v>
      </c>
      <c r="L82" s="29">
        <f t="shared" si="19"/>
        <v>43449.618399999999</v>
      </c>
      <c r="M82" s="29">
        <f t="shared" si="19"/>
        <v>43425.15</v>
      </c>
      <c r="N82" s="29">
        <f t="shared" si="19"/>
        <v>37415.547899999998</v>
      </c>
      <c r="O82" s="29">
        <f t="shared" si="19"/>
        <v>37415.57</v>
      </c>
      <c r="P82" s="29">
        <f t="shared" si="19"/>
        <v>39228.645819999998</v>
      </c>
      <c r="Q82" s="29">
        <f t="shared" si="19"/>
        <v>39256.57</v>
      </c>
      <c r="R82" s="29">
        <f t="shared" si="19"/>
        <v>36347.809500000003</v>
      </c>
      <c r="S82" s="29">
        <f t="shared" si="19"/>
        <v>37169.5</v>
      </c>
      <c r="T82" s="29">
        <f t="shared" si="19"/>
        <v>29588.682410000001</v>
      </c>
      <c r="U82" s="29">
        <f t="shared" si="19"/>
        <v>28576.39</v>
      </c>
      <c r="V82" s="29">
        <f t="shared" si="19"/>
        <v>22972.95334</v>
      </c>
      <c r="W82" s="29">
        <f t="shared" si="19"/>
        <v>22003.47</v>
      </c>
      <c r="X82" s="29">
        <f t="shared" si="19"/>
        <v>25224.808379999999</v>
      </c>
      <c r="Y82" s="29">
        <f t="shared" si="19"/>
        <v>23871.370000000003</v>
      </c>
      <c r="Z82" s="29">
        <f t="shared" si="19"/>
        <v>49973.399469999997</v>
      </c>
      <c r="AA82" s="29">
        <f t="shared" si="19"/>
        <v>49590.44</v>
      </c>
      <c r="AB82" s="29">
        <f t="shared" si="19"/>
        <v>18641.781950000001</v>
      </c>
      <c r="AC82" s="29">
        <f t="shared" si="19"/>
        <v>0</v>
      </c>
      <c r="AD82" s="29">
        <f t="shared" si="19"/>
        <v>18099.321179999999</v>
      </c>
      <c r="AE82" s="29">
        <f t="shared" si="19"/>
        <v>0</v>
      </c>
      <c r="AF82" s="23"/>
      <c r="AG82" s="24">
        <f t="shared" si="1"/>
        <v>-4.7293724492192268E-11</v>
      </c>
    </row>
    <row r="83" spans="1:33" x14ac:dyDescent="0.3">
      <c r="A83" s="61" t="s">
        <v>31</v>
      </c>
      <c r="B83" s="29">
        <f>J83+L83+N83+P83+R83+T83+V83+X83+Z83+AB83+AD83+H83</f>
        <v>11119.67</v>
      </c>
      <c r="C83" s="62">
        <f>H83+J83+L83+N83+Q83+X83</f>
        <v>8642.17</v>
      </c>
      <c r="D83" s="62">
        <f>E83</f>
        <v>11119.67</v>
      </c>
      <c r="E83" s="62">
        <f>SUM(I83,K83,M83,O83,Q83,S83,U83,W83,Y83,AA83,AC83,AE83)</f>
        <v>11119.67</v>
      </c>
      <c r="F83" s="29">
        <f>IFERROR(E83/B83*100,0)</f>
        <v>100</v>
      </c>
      <c r="G83" s="29">
        <f>IFERROR(E83/C83*100,0)</f>
        <v>128.66756844635086</v>
      </c>
      <c r="H83" s="29">
        <f>H89+H127+H133</f>
        <v>0</v>
      </c>
      <c r="I83" s="29">
        <f t="shared" si="19"/>
        <v>0</v>
      </c>
      <c r="J83" s="29">
        <f t="shared" si="19"/>
        <v>0</v>
      </c>
      <c r="K83" s="29">
        <f t="shared" si="19"/>
        <v>0</v>
      </c>
      <c r="L83" s="29">
        <f t="shared" si="19"/>
        <v>3230</v>
      </c>
      <c r="M83" s="29">
        <f t="shared" si="19"/>
        <v>3230</v>
      </c>
      <c r="N83" s="29">
        <f t="shared" si="19"/>
        <v>4111</v>
      </c>
      <c r="O83" s="29">
        <f t="shared" si="19"/>
        <v>4111</v>
      </c>
      <c r="P83" s="29">
        <f t="shared" si="19"/>
        <v>0</v>
      </c>
      <c r="Q83" s="29">
        <f t="shared" si="19"/>
        <v>0</v>
      </c>
      <c r="R83" s="29">
        <f t="shared" si="19"/>
        <v>0</v>
      </c>
      <c r="S83" s="29">
        <f t="shared" si="19"/>
        <v>0</v>
      </c>
      <c r="T83" s="29">
        <f t="shared" si="19"/>
        <v>0</v>
      </c>
      <c r="U83" s="29">
        <f t="shared" si="19"/>
        <v>0</v>
      </c>
      <c r="V83" s="29">
        <f t="shared" si="19"/>
        <v>0</v>
      </c>
      <c r="W83" s="29">
        <f t="shared" si="19"/>
        <v>0</v>
      </c>
      <c r="X83" s="29">
        <f t="shared" si="19"/>
        <v>1301.17</v>
      </c>
      <c r="Y83" s="29">
        <f t="shared" si="19"/>
        <v>1119.67</v>
      </c>
      <c r="Z83" s="29">
        <f t="shared" si="19"/>
        <v>2477.5</v>
      </c>
      <c r="AA83" s="29">
        <f t="shared" si="19"/>
        <v>2659</v>
      </c>
      <c r="AB83" s="29">
        <f t="shared" si="19"/>
        <v>0</v>
      </c>
      <c r="AC83" s="29">
        <f t="shared" si="19"/>
        <v>0</v>
      </c>
      <c r="AD83" s="29">
        <f t="shared" si="19"/>
        <v>0</v>
      </c>
      <c r="AE83" s="29">
        <f t="shared" si="19"/>
        <v>0</v>
      </c>
      <c r="AF83" s="23"/>
      <c r="AG83" s="24">
        <f t="shared" si="1"/>
        <v>0</v>
      </c>
    </row>
    <row r="84" spans="1:33" s="19" customFormat="1" ht="97.5" customHeight="1" x14ac:dyDescent="0.3">
      <c r="A84" s="63" t="s">
        <v>45</v>
      </c>
      <c r="B84" s="64"/>
      <c r="C84" s="65"/>
      <c r="D84" s="65"/>
      <c r="E84" s="65"/>
      <c r="F84" s="65"/>
      <c r="G84" s="65"/>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7"/>
      <c r="AG84" s="68">
        <f t="shared" si="1"/>
        <v>0</v>
      </c>
    </row>
    <row r="85" spans="1:33" s="19" customFormat="1" x14ac:dyDescent="0.3">
      <c r="A85" s="69" t="s">
        <v>27</v>
      </c>
      <c r="B85" s="70">
        <f>B87+B88+B86+B89</f>
        <v>2845174.1198299997</v>
      </c>
      <c r="C85" s="70">
        <f>C87+C88+C86+C89</f>
        <v>2320748.50936</v>
      </c>
      <c r="D85" s="70">
        <f>D87+D88+D86+D89</f>
        <v>2110309.2999999998</v>
      </c>
      <c r="E85" s="70">
        <f>E87+E88+E86+E89</f>
        <v>2110309.2999999998</v>
      </c>
      <c r="F85" s="70">
        <f>IFERROR(E85/B85*100,0)</f>
        <v>74.171534363812214</v>
      </c>
      <c r="G85" s="70">
        <f>IFERROR(E85/C85*100,0)</f>
        <v>90.93226997620549</v>
      </c>
      <c r="H85" s="70">
        <f t="shared" ref="H85:AE85" si="20">H87+H88+H86+H89</f>
        <v>216045.51916</v>
      </c>
      <c r="I85" s="70">
        <f t="shared" si="20"/>
        <v>90192.7</v>
      </c>
      <c r="J85" s="70">
        <f t="shared" si="20"/>
        <v>286076.73732000001</v>
      </c>
      <c r="K85" s="70">
        <f t="shared" si="20"/>
        <v>249918.55</v>
      </c>
      <c r="L85" s="70">
        <f t="shared" si="20"/>
        <v>241745.64932</v>
      </c>
      <c r="M85" s="70">
        <f t="shared" si="20"/>
        <v>201105.97</v>
      </c>
      <c r="N85" s="70">
        <f t="shared" si="20"/>
        <v>283818.28027999995</v>
      </c>
      <c r="O85" s="70">
        <f t="shared" si="20"/>
        <v>220503.75</v>
      </c>
      <c r="P85" s="70">
        <f t="shared" si="20"/>
        <v>437712.09440999996</v>
      </c>
      <c r="Q85" s="70">
        <f t="shared" si="20"/>
        <v>434317.63</v>
      </c>
      <c r="R85" s="70">
        <f t="shared" si="20"/>
        <v>223959.5117</v>
      </c>
      <c r="S85" s="70">
        <f t="shared" si="20"/>
        <v>233669.95</v>
      </c>
      <c r="T85" s="70">
        <f t="shared" si="20"/>
        <v>180084.54723999999</v>
      </c>
      <c r="U85" s="70">
        <f t="shared" si="20"/>
        <v>157415.54999999999</v>
      </c>
      <c r="V85" s="70">
        <f t="shared" si="20"/>
        <v>116066.47078</v>
      </c>
      <c r="W85" s="70">
        <f t="shared" si="20"/>
        <v>113144.96000000001</v>
      </c>
      <c r="X85" s="70">
        <f t="shared" si="20"/>
        <v>159625.44881999999</v>
      </c>
      <c r="Y85" s="70">
        <f t="shared" si="20"/>
        <v>129501.19</v>
      </c>
      <c r="Z85" s="70">
        <f t="shared" si="20"/>
        <v>175614.25033000001</v>
      </c>
      <c r="AA85" s="70">
        <f t="shared" si="20"/>
        <v>280539.05000000005</v>
      </c>
      <c r="AB85" s="70">
        <f t="shared" si="20"/>
        <v>267013.30966000003</v>
      </c>
      <c r="AC85" s="70">
        <f t="shared" si="20"/>
        <v>0</v>
      </c>
      <c r="AD85" s="70">
        <f t="shared" si="20"/>
        <v>188261.70081000001</v>
      </c>
      <c r="AE85" s="70">
        <f t="shared" si="20"/>
        <v>0</v>
      </c>
      <c r="AF85" s="67"/>
      <c r="AG85" s="68">
        <f t="shared" si="1"/>
        <v>69150.600000000151</v>
      </c>
    </row>
    <row r="86" spans="1:33" s="19" customFormat="1" x14ac:dyDescent="0.3">
      <c r="A86" s="69" t="s">
        <v>28</v>
      </c>
      <c r="B86" s="70">
        <f>B92+B98+B104+B110+B116</f>
        <v>91504.499999999985</v>
      </c>
      <c r="C86" s="70">
        <f>C92+C98+C104+C110+C116</f>
        <v>72642.561409999995</v>
      </c>
      <c r="D86" s="70">
        <f>D92+D98+D104+D110+D116</f>
        <v>66794.83</v>
      </c>
      <c r="E86" s="70">
        <f>E92+E98+E104+E110+E116</f>
        <v>66794.83</v>
      </c>
      <c r="F86" s="70">
        <f>IFERROR(E86/B86*100,0)</f>
        <v>72.996224229409506</v>
      </c>
      <c r="G86" s="70">
        <f>IFERROR(E86/C86*100,0)</f>
        <v>91.949992818955039</v>
      </c>
      <c r="H86" s="70">
        <f t="shared" ref="H86:AE86" si="21">H92+H98+H104+H110+H116</f>
        <v>4031.41669</v>
      </c>
      <c r="I86" s="70">
        <f t="shared" si="21"/>
        <v>4012.3</v>
      </c>
      <c r="J86" s="70">
        <f t="shared" si="21"/>
        <v>3958.9883500000001</v>
      </c>
      <c r="K86" s="70">
        <f t="shared" si="21"/>
        <v>3924.3</v>
      </c>
      <c r="L86" s="70">
        <f t="shared" si="21"/>
        <v>4203.31513</v>
      </c>
      <c r="M86" s="70">
        <f t="shared" si="21"/>
        <v>4194.3999999999996</v>
      </c>
      <c r="N86" s="70">
        <f t="shared" si="21"/>
        <v>12161.47659</v>
      </c>
      <c r="O86" s="70">
        <f t="shared" si="21"/>
        <v>12067</v>
      </c>
      <c r="P86" s="70">
        <f t="shared" si="21"/>
        <v>13662.08482</v>
      </c>
      <c r="Q86" s="70">
        <f t="shared" si="21"/>
        <v>10239.700000000001</v>
      </c>
      <c r="R86" s="70">
        <f t="shared" si="21"/>
        <v>10024.978419999999</v>
      </c>
      <c r="S86" s="70">
        <f t="shared" si="21"/>
        <v>13604.5</v>
      </c>
      <c r="T86" s="70">
        <f t="shared" si="21"/>
        <v>522.71104000000003</v>
      </c>
      <c r="U86" s="70">
        <f t="shared" si="21"/>
        <v>2000</v>
      </c>
      <c r="V86" s="70">
        <f t="shared" si="21"/>
        <v>1863.3516500000001</v>
      </c>
      <c r="W86" s="70">
        <f t="shared" si="21"/>
        <v>386.32</v>
      </c>
      <c r="X86" s="70">
        <f t="shared" si="21"/>
        <v>12766.841649999998</v>
      </c>
      <c r="Y86" s="70">
        <f t="shared" si="21"/>
        <v>8162.3</v>
      </c>
      <c r="Z86" s="70">
        <f t="shared" si="21"/>
        <v>9447.3970699999991</v>
      </c>
      <c r="AA86" s="70">
        <f t="shared" si="21"/>
        <v>8204.01</v>
      </c>
      <c r="AB86" s="70">
        <f t="shared" si="21"/>
        <v>8549.0239199999996</v>
      </c>
      <c r="AC86" s="70">
        <f t="shared" si="21"/>
        <v>0</v>
      </c>
      <c r="AD86" s="70">
        <f t="shared" si="21"/>
        <v>10312.91467</v>
      </c>
      <c r="AE86" s="70">
        <f t="shared" si="21"/>
        <v>0</v>
      </c>
      <c r="AF86" s="67"/>
      <c r="AG86" s="68">
        <f t="shared" si="1"/>
        <v>-2.0008883439004421E-11</v>
      </c>
    </row>
    <row r="87" spans="1:33" s="19" customFormat="1" x14ac:dyDescent="0.3">
      <c r="A87" s="69" t="s">
        <v>29</v>
      </c>
      <c r="B87" s="70">
        <f>B93+B99+B105+B111+B125+B131</f>
        <v>2301251.2998299999</v>
      </c>
      <c r="C87" s="70">
        <f t="shared" ref="B87:F89" si="22">C93+C99+C105+C111</f>
        <v>1832428.7310799998</v>
      </c>
      <c r="D87" s="70">
        <f t="shared" si="22"/>
        <v>1630685.89</v>
      </c>
      <c r="E87" s="70">
        <f t="shared" si="22"/>
        <v>1630685.89</v>
      </c>
      <c r="F87" s="70">
        <f>IFERROR(E87/B87*100,0)</f>
        <v>70.860835151748233</v>
      </c>
      <c r="G87" s="70">
        <f>IFERROR(E87/C87*100,0)</f>
        <v>88.990412687914116</v>
      </c>
      <c r="H87" s="70">
        <f>H93+H99+H105+H111</f>
        <v>159117.37999999998</v>
      </c>
      <c r="I87" s="70">
        <f t="shared" ref="H87:AF89" si="23">I93+I99+I105+I111</f>
        <v>33973.1</v>
      </c>
      <c r="J87" s="70">
        <f t="shared" si="23"/>
        <v>214658.38979000002</v>
      </c>
      <c r="K87" s="70">
        <f t="shared" si="23"/>
        <v>177801.1</v>
      </c>
      <c r="L87" s="70">
        <f t="shared" si="23"/>
        <v>190862.71578999999</v>
      </c>
      <c r="M87" s="70">
        <f t="shared" si="23"/>
        <v>150256.42000000001</v>
      </c>
      <c r="N87" s="70">
        <f t="shared" si="23"/>
        <v>230130.25579</v>
      </c>
      <c r="O87" s="70">
        <f t="shared" si="23"/>
        <v>166910.18</v>
      </c>
      <c r="P87" s="70">
        <f t="shared" si="23"/>
        <v>384821.36377</v>
      </c>
      <c r="Q87" s="70">
        <f t="shared" si="23"/>
        <v>384821.36</v>
      </c>
      <c r="R87" s="70">
        <f t="shared" si="23"/>
        <v>177586.72378</v>
      </c>
      <c r="S87" s="70">
        <f t="shared" si="23"/>
        <v>182895.95</v>
      </c>
      <c r="T87" s="70">
        <f t="shared" si="23"/>
        <v>149973.15378999998</v>
      </c>
      <c r="U87" s="70">
        <f t="shared" si="23"/>
        <v>126839.16</v>
      </c>
      <c r="V87" s="70">
        <f t="shared" si="23"/>
        <v>91230.165789999999</v>
      </c>
      <c r="W87" s="70">
        <f t="shared" si="23"/>
        <v>90755.17</v>
      </c>
      <c r="X87" s="70">
        <f t="shared" si="23"/>
        <v>120332.62879</v>
      </c>
      <c r="Y87" s="70">
        <f t="shared" si="23"/>
        <v>96347.85</v>
      </c>
      <c r="Z87" s="70">
        <f t="shared" si="23"/>
        <v>113715.95379</v>
      </c>
      <c r="AA87" s="70">
        <f t="shared" si="23"/>
        <v>220085.6</v>
      </c>
      <c r="AB87" s="70">
        <f t="shared" si="23"/>
        <v>239822.50379000002</v>
      </c>
      <c r="AC87" s="70">
        <f t="shared" si="23"/>
        <v>0</v>
      </c>
      <c r="AD87" s="70">
        <f t="shared" si="23"/>
        <v>159849.46496000001</v>
      </c>
      <c r="AE87" s="70">
        <f t="shared" si="23"/>
        <v>0</v>
      </c>
      <c r="AF87" s="67"/>
      <c r="AG87" s="68">
        <f t="shared" si="1"/>
        <v>69150.600000000006</v>
      </c>
    </row>
    <row r="88" spans="1:33" s="19" customFormat="1" x14ac:dyDescent="0.3">
      <c r="A88" s="71" t="s">
        <v>30</v>
      </c>
      <c r="B88" s="70">
        <f t="shared" si="22"/>
        <v>441298.64999999997</v>
      </c>
      <c r="C88" s="70">
        <f>C94+C100+C106+C112</f>
        <v>404557.54687000008</v>
      </c>
      <c r="D88" s="70">
        <f t="shared" si="22"/>
        <v>401708.91</v>
      </c>
      <c r="E88" s="70">
        <f t="shared" si="22"/>
        <v>401708.91</v>
      </c>
      <c r="F88" s="70">
        <f>IFERROR(E88/B88*100,0)</f>
        <v>91.028810081336076</v>
      </c>
      <c r="G88" s="70">
        <f>IFERROR(E88/C88*100,0)</f>
        <v>99.295863618899318</v>
      </c>
      <c r="H88" s="70">
        <f t="shared" si="23"/>
        <v>52896.722470000001</v>
      </c>
      <c r="I88" s="70">
        <f t="shared" si="23"/>
        <v>52207.3</v>
      </c>
      <c r="J88" s="70">
        <f t="shared" si="23"/>
        <v>67459.359179999999</v>
      </c>
      <c r="K88" s="70">
        <f t="shared" si="23"/>
        <v>68193.149999999994</v>
      </c>
      <c r="L88" s="70">
        <f t="shared" si="23"/>
        <v>43449.618399999999</v>
      </c>
      <c r="M88" s="70">
        <f t="shared" si="23"/>
        <v>43425.15</v>
      </c>
      <c r="N88" s="70">
        <f t="shared" si="23"/>
        <v>37415.547899999998</v>
      </c>
      <c r="O88" s="70">
        <f t="shared" si="23"/>
        <v>37415.57</v>
      </c>
      <c r="P88" s="70">
        <f t="shared" si="23"/>
        <v>39228.645819999998</v>
      </c>
      <c r="Q88" s="70">
        <f t="shared" si="23"/>
        <v>39256.57</v>
      </c>
      <c r="R88" s="70">
        <f t="shared" si="23"/>
        <v>36347.809500000003</v>
      </c>
      <c r="S88" s="70">
        <f t="shared" si="23"/>
        <v>37169.5</v>
      </c>
      <c r="T88" s="70">
        <f t="shared" si="23"/>
        <v>29588.682410000001</v>
      </c>
      <c r="U88" s="70">
        <f t="shared" si="23"/>
        <v>28576.39</v>
      </c>
      <c r="V88" s="70">
        <f t="shared" si="23"/>
        <v>22972.95334</v>
      </c>
      <c r="W88" s="70">
        <f t="shared" si="23"/>
        <v>22003.47</v>
      </c>
      <c r="X88" s="70">
        <f t="shared" si="23"/>
        <v>25224.808379999999</v>
      </c>
      <c r="Y88" s="70">
        <f t="shared" si="23"/>
        <v>23871.370000000003</v>
      </c>
      <c r="Z88" s="70">
        <f t="shared" si="23"/>
        <v>49973.399469999997</v>
      </c>
      <c r="AA88" s="70">
        <f t="shared" si="23"/>
        <v>49590.44</v>
      </c>
      <c r="AB88" s="70">
        <f t="shared" si="23"/>
        <v>18641.781950000001</v>
      </c>
      <c r="AC88" s="70">
        <f t="shared" si="23"/>
        <v>0</v>
      </c>
      <c r="AD88" s="70">
        <f t="shared" si="23"/>
        <v>18099.321179999999</v>
      </c>
      <c r="AE88" s="70">
        <f t="shared" si="23"/>
        <v>0</v>
      </c>
      <c r="AF88" s="67"/>
      <c r="AG88" s="68">
        <f t="shared" si="1"/>
        <v>-4.7293724492192268E-11</v>
      </c>
    </row>
    <row r="89" spans="1:33" s="19" customFormat="1" x14ac:dyDescent="0.3">
      <c r="A89" s="71" t="s">
        <v>31</v>
      </c>
      <c r="B89" s="70">
        <f>B95+B101+B107+B113</f>
        <v>11119.67</v>
      </c>
      <c r="C89" s="70">
        <f>C95+C101+C107+C113</f>
        <v>11119.67</v>
      </c>
      <c r="D89" s="70">
        <f t="shared" si="22"/>
        <v>11119.67</v>
      </c>
      <c r="E89" s="70">
        <f t="shared" si="22"/>
        <v>11119.67</v>
      </c>
      <c r="F89" s="70">
        <f>IFERROR(E89/B89*100,0)</f>
        <v>100</v>
      </c>
      <c r="G89" s="70">
        <f>IFERROR(E89/C89*100,0)</f>
        <v>100</v>
      </c>
      <c r="H89" s="70">
        <f t="shared" si="23"/>
        <v>0</v>
      </c>
      <c r="I89" s="70">
        <f t="shared" si="23"/>
        <v>0</v>
      </c>
      <c r="J89" s="70">
        <f t="shared" si="23"/>
        <v>0</v>
      </c>
      <c r="K89" s="70">
        <f t="shared" si="23"/>
        <v>0</v>
      </c>
      <c r="L89" s="70">
        <f t="shared" si="23"/>
        <v>3230</v>
      </c>
      <c r="M89" s="70">
        <f t="shared" si="23"/>
        <v>3230</v>
      </c>
      <c r="N89" s="70">
        <f t="shared" si="23"/>
        <v>4111</v>
      </c>
      <c r="O89" s="70">
        <f t="shared" si="23"/>
        <v>4111</v>
      </c>
      <c r="P89" s="70">
        <f t="shared" si="23"/>
        <v>0</v>
      </c>
      <c r="Q89" s="70">
        <f t="shared" si="23"/>
        <v>0</v>
      </c>
      <c r="R89" s="70">
        <f t="shared" si="23"/>
        <v>0</v>
      </c>
      <c r="S89" s="70">
        <f t="shared" si="23"/>
        <v>0</v>
      </c>
      <c r="T89" s="70">
        <f t="shared" si="23"/>
        <v>0</v>
      </c>
      <c r="U89" s="70">
        <f t="shared" si="23"/>
        <v>0</v>
      </c>
      <c r="V89" s="70">
        <f t="shared" si="23"/>
        <v>0</v>
      </c>
      <c r="W89" s="70">
        <f t="shared" si="23"/>
        <v>0</v>
      </c>
      <c r="X89" s="70">
        <f t="shared" si="23"/>
        <v>1301.17</v>
      </c>
      <c r="Y89" s="70">
        <f t="shared" si="23"/>
        <v>1119.67</v>
      </c>
      <c r="Z89" s="70">
        <f t="shared" si="23"/>
        <v>2477.5</v>
      </c>
      <c r="AA89" s="70">
        <f t="shared" si="23"/>
        <v>2659</v>
      </c>
      <c r="AB89" s="70">
        <f t="shared" si="23"/>
        <v>0</v>
      </c>
      <c r="AC89" s="70">
        <f t="shared" si="23"/>
        <v>0</v>
      </c>
      <c r="AD89" s="70">
        <f>AD95+AD101+AD107+AD113</f>
        <v>0</v>
      </c>
      <c r="AE89" s="70">
        <f t="shared" si="23"/>
        <v>0</v>
      </c>
      <c r="AF89" s="67"/>
      <c r="AG89" s="68">
        <f t="shared" si="1"/>
        <v>0</v>
      </c>
    </row>
    <row r="90" spans="1:33" ht="197.25" customHeight="1" x14ac:dyDescent="0.3">
      <c r="A90" s="30" t="s">
        <v>46</v>
      </c>
      <c r="B90" s="31"/>
      <c r="C90" s="32"/>
      <c r="D90" s="32"/>
      <c r="E90" s="32"/>
      <c r="F90" s="32"/>
      <c r="G90" s="32"/>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4"/>
      <c r="AG90" s="24">
        <f t="shared" si="1"/>
        <v>0</v>
      </c>
    </row>
    <row r="91" spans="1:33" s="41" customFormat="1" x14ac:dyDescent="0.3">
      <c r="A91" s="72" t="s">
        <v>27</v>
      </c>
      <c r="B91" s="38">
        <f>B93+B94+B92+B95</f>
        <v>91348.299999999988</v>
      </c>
      <c r="C91" s="38">
        <f>C93+C94+C92+C95</f>
        <v>72564.461409999989</v>
      </c>
      <c r="D91" s="38">
        <f>D93+D94+D92+D95</f>
        <v>66738.73</v>
      </c>
      <c r="E91" s="38">
        <f>E93+E94+E92+E95</f>
        <v>66738.73</v>
      </c>
      <c r="F91" s="38">
        <f>IFERROR(E91/B91*100,0)</f>
        <v>73.059630009534942</v>
      </c>
      <c r="G91" s="38">
        <f>IFERROR(E91/C91*100,0)</f>
        <v>91.971646592835938</v>
      </c>
      <c r="H91" s="38">
        <f t="shared" ref="H91:AE91" si="24">H93+H94+H92+H95</f>
        <v>4031.41669</v>
      </c>
      <c r="I91" s="38">
        <f t="shared" si="24"/>
        <v>4012.3</v>
      </c>
      <c r="J91" s="38">
        <f t="shared" si="24"/>
        <v>3958.9883500000001</v>
      </c>
      <c r="K91" s="38">
        <f t="shared" si="24"/>
        <v>3924.3</v>
      </c>
      <c r="L91" s="38">
        <f t="shared" si="24"/>
        <v>4203.31513</v>
      </c>
      <c r="M91" s="38">
        <f t="shared" si="24"/>
        <v>4194.3999999999996</v>
      </c>
      <c r="N91" s="38">
        <f t="shared" si="24"/>
        <v>12161.47659</v>
      </c>
      <c r="O91" s="38">
        <f t="shared" si="24"/>
        <v>12067</v>
      </c>
      <c r="P91" s="38">
        <f t="shared" si="24"/>
        <v>13662.08482</v>
      </c>
      <c r="Q91" s="38">
        <f t="shared" si="24"/>
        <v>10239.700000000001</v>
      </c>
      <c r="R91" s="38">
        <f t="shared" si="24"/>
        <v>10024.978419999999</v>
      </c>
      <c r="S91" s="38">
        <f t="shared" si="24"/>
        <v>13604.5</v>
      </c>
      <c r="T91" s="38">
        <f t="shared" si="24"/>
        <v>522.71104000000003</v>
      </c>
      <c r="U91" s="38">
        <f t="shared" si="24"/>
        <v>2000</v>
      </c>
      <c r="V91" s="38">
        <f t="shared" si="24"/>
        <v>1863.3516500000001</v>
      </c>
      <c r="W91" s="38">
        <f t="shared" si="24"/>
        <v>386.32</v>
      </c>
      <c r="X91" s="38">
        <f t="shared" si="24"/>
        <v>12727.791649999999</v>
      </c>
      <c r="Y91" s="38">
        <f t="shared" si="24"/>
        <v>8132.3</v>
      </c>
      <c r="Z91" s="38">
        <f t="shared" si="24"/>
        <v>9408.3470699999998</v>
      </c>
      <c r="AA91" s="38">
        <f t="shared" si="24"/>
        <v>8177.91</v>
      </c>
      <c r="AB91" s="38">
        <f t="shared" si="24"/>
        <v>8509.9739200000004</v>
      </c>
      <c r="AC91" s="38">
        <f t="shared" si="24"/>
        <v>0</v>
      </c>
      <c r="AD91" s="38">
        <f t="shared" si="24"/>
        <v>10273.864670000001</v>
      </c>
      <c r="AE91" s="38">
        <f t="shared" si="24"/>
        <v>0</v>
      </c>
      <c r="AF91" s="39"/>
      <c r="AG91" s="40">
        <f t="shared" si="1"/>
        <v>-2.0008883439004421E-11</v>
      </c>
    </row>
    <row r="92" spans="1:33" x14ac:dyDescent="0.3">
      <c r="A92" s="42" t="s">
        <v>28</v>
      </c>
      <c r="B92" s="31">
        <f>J92+L92+N92+P92+R92+T92+V92+X92+Z92+AB92+AD92+H92</f>
        <v>91348.299999999988</v>
      </c>
      <c r="C92" s="48">
        <f>H92+J92+L92+N92+P92+R92+T92+V92+X92+Z92</f>
        <v>72564.461409999989</v>
      </c>
      <c r="D92" s="44">
        <f>E92</f>
        <v>66738.73</v>
      </c>
      <c r="E92" s="48">
        <f>SUM(I92,K92,M92,O92,Q92,S92,U92,W92,Y92,AA92,AC92,AE92)</f>
        <v>66738.73</v>
      </c>
      <c r="F92" s="47">
        <f>IFERROR(E92/B92*100,0)</f>
        <v>73.059630009534942</v>
      </c>
      <c r="G92" s="47">
        <f>IFERROR(E92/C92*100,0)</f>
        <v>91.971646592835938</v>
      </c>
      <c r="H92" s="33">
        <v>4031.41669</v>
      </c>
      <c r="I92" s="33">
        <v>4012.3</v>
      </c>
      <c r="J92" s="33">
        <v>3958.9883500000001</v>
      </c>
      <c r="K92" s="33">
        <v>3924.3</v>
      </c>
      <c r="L92" s="33">
        <v>4203.31513</v>
      </c>
      <c r="M92" s="33">
        <v>4194.3999999999996</v>
      </c>
      <c r="N92" s="33">
        <v>12161.47659</v>
      </c>
      <c r="O92" s="33">
        <v>12067</v>
      </c>
      <c r="P92" s="33">
        <v>13662.08482</v>
      </c>
      <c r="Q92" s="33">
        <v>10239.700000000001</v>
      </c>
      <c r="R92" s="33">
        <v>10024.978419999999</v>
      </c>
      <c r="S92" s="33">
        <v>13604.5</v>
      </c>
      <c r="T92" s="33">
        <v>522.71104000000003</v>
      </c>
      <c r="U92" s="33">
        <v>2000</v>
      </c>
      <c r="V92" s="33">
        <v>1863.3516500000001</v>
      </c>
      <c r="W92" s="33">
        <v>386.32</v>
      </c>
      <c r="X92" s="33">
        <v>12727.791649999999</v>
      </c>
      <c r="Y92" s="33">
        <v>8132.3</v>
      </c>
      <c r="Z92" s="33">
        <v>9408.3470699999998</v>
      </c>
      <c r="AA92" s="33">
        <v>8177.91</v>
      </c>
      <c r="AB92" s="33">
        <v>8509.9739200000004</v>
      </c>
      <c r="AC92" s="33"/>
      <c r="AD92" s="33">
        <v>10273.864670000001</v>
      </c>
      <c r="AE92" s="33"/>
      <c r="AF92" s="34"/>
      <c r="AG92" s="24">
        <f t="shared" si="1"/>
        <v>-2.0008883439004421E-11</v>
      </c>
    </row>
    <row r="93" spans="1:33" x14ac:dyDescent="0.3">
      <c r="A93" s="42" t="s">
        <v>29</v>
      </c>
      <c r="B93" s="31"/>
      <c r="C93" s="48"/>
      <c r="D93" s="49"/>
      <c r="E93" s="48"/>
      <c r="F93" s="47"/>
      <c r="G93" s="47"/>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4"/>
      <c r="AG93" s="24">
        <f t="shared" si="1"/>
        <v>0</v>
      </c>
    </row>
    <row r="94" spans="1:33" x14ac:dyDescent="0.3">
      <c r="A94" s="42" t="s">
        <v>30</v>
      </c>
      <c r="B94" s="31">
        <f>J94+L94+N94+P94+R94+T94+V94+X94+Z94+AB94+AD94+H94</f>
        <v>0</v>
      </c>
      <c r="C94" s="48">
        <f>SUM(H94)</f>
        <v>0</v>
      </c>
      <c r="D94" s="49">
        <f>E94</f>
        <v>0</v>
      </c>
      <c r="E94" s="48">
        <f>SUM(I94,K94,M94,O94,Q94,S94,U94,W94,Y94,AA94,AC94,AE94)</f>
        <v>0</v>
      </c>
      <c r="F94" s="47">
        <f>IFERROR(E94/B94*100,0)</f>
        <v>0</v>
      </c>
      <c r="G94" s="47">
        <f>IFERROR(E94/C94*100,0)</f>
        <v>0</v>
      </c>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4"/>
      <c r="AG94" s="24">
        <f t="shared" si="1"/>
        <v>0</v>
      </c>
    </row>
    <row r="95" spans="1:33" x14ac:dyDescent="0.3">
      <c r="A95" s="42" t="s">
        <v>31</v>
      </c>
      <c r="B95" s="31"/>
      <c r="C95" s="48"/>
      <c r="D95" s="49"/>
      <c r="E95" s="48"/>
      <c r="F95" s="47"/>
      <c r="G95" s="47"/>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4"/>
      <c r="AG95" s="24">
        <f t="shared" si="1"/>
        <v>0</v>
      </c>
    </row>
    <row r="96" spans="1:33" ht="65.25" customHeight="1" x14ac:dyDescent="0.3">
      <c r="A96" s="30" t="s">
        <v>47</v>
      </c>
      <c r="B96" s="31"/>
      <c r="C96" s="32"/>
      <c r="D96" s="32"/>
      <c r="E96" s="32"/>
      <c r="F96" s="32"/>
      <c r="G96" s="32"/>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4"/>
      <c r="AG96" s="24">
        <f t="shared" si="1"/>
        <v>0</v>
      </c>
    </row>
    <row r="97" spans="1:33" s="41" customFormat="1" x14ac:dyDescent="0.3">
      <c r="A97" s="72" t="s">
        <v>27</v>
      </c>
      <c r="B97" s="38">
        <f>B99+B100+B98+B101</f>
        <v>452418.31999999995</v>
      </c>
      <c r="C97" s="38">
        <f>C99+C100+C98+C101</f>
        <v>415677.21687000006</v>
      </c>
      <c r="D97" s="38">
        <f>D99+D100+D98+D101</f>
        <v>412828.57999999996</v>
      </c>
      <c r="E97" s="38">
        <f>E99+E100+E98+E101</f>
        <v>412828.57999999996</v>
      </c>
      <c r="F97" s="38">
        <f>IFERROR(E97/B97*100,0)</f>
        <v>91.249306615169786</v>
      </c>
      <c r="G97" s="38">
        <f>IFERROR(E97/C97*100,0)</f>
        <v>99.314699782814657</v>
      </c>
      <c r="H97" s="38">
        <f t="shared" ref="H97:AE97" si="25">H99+H100+H98+H101</f>
        <v>52896.722470000001</v>
      </c>
      <c r="I97" s="38">
        <f t="shared" si="25"/>
        <v>52207.3</v>
      </c>
      <c r="J97" s="38">
        <f t="shared" si="25"/>
        <v>67459.359179999999</v>
      </c>
      <c r="K97" s="38">
        <f t="shared" si="25"/>
        <v>68193.149999999994</v>
      </c>
      <c r="L97" s="38">
        <f t="shared" si="25"/>
        <v>46679.618399999999</v>
      </c>
      <c r="M97" s="38">
        <f t="shared" si="25"/>
        <v>46655.15</v>
      </c>
      <c r="N97" s="38">
        <f t="shared" si="25"/>
        <v>41526.547899999998</v>
      </c>
      <c r="O97" s="38">
        <f t="shared" si="25"/>
        <v>41526.57</v>
      </c>
      <c r="P97" s="38">
        <f t="shared" si="25"/>
        <v>39228.645819999998</v>
      </c>
      <c r="Q97" s="38">
        <f t="shared" si="25"/>
        <v>39256.57</v>
      </c>
      <c r="R97" s="38">
        <f t="shared" si="25"/>
        <v>36347.809500000003</v>
      </c>
      <c r="S97" s="38">
        <f t="shared" si="25"/>
        <v>37169.5</v>
      </c>
      <c r="T97" s="38">
        <f t="shared" si="25"/>
        <v>29588.682410000001</v>
      </c>
      <c r="U97" s="38">
        <f t="shared" si="25"/>
        <v>28576.39</v>
      </c>
      <c r="V97" s="38">
        <f t="shared" si="25"/>
        <v>22972.95334</v>
      </c>
      <c r="W97" s="38">
        <f t="shared" si="25"/>
        <v>22003.47</v>
      </c>
      <c r="X97" s="38">
        <f t="shared" si="25"/>
        <v>26525.97838</v>
      </c>
      <c r="Y97" s="38">
        <f t="shared" si="25"/>
        <v>24991.040000000001</v>
      </c>
      <c r="Z97" s="38">
        <f>Z99+Z100+Z98+Z101</f>
        <v>52450.899469999997</v>
      </c>
      <c r="AA97" s="38">
        <f t="shared" si="25"/>
        <v>52249.440000000002</v>
      </c>
      <c r="AB97" s="38">
        <f t="shared" si="25"/>
        <v>18641.781950000001</v>
      </c>
      <c r="AC97" s="38">
        <f t="shared" si="25"/>
        <v>0</v>
      </c>
      <c r="AD97" s="38">
        <f>AD99+AD100+AD98+AD101</f>
        <v>18099.321179999999</v>
      </c>
      <c r="AE97" s="38">
        <f t="shared" si="25"/>
        <v>0</v>
      </c>
      <c r="AF97" s="39"/>
      <c r="AG97" s="40">
        <f t="shared" si="1"/>
        <v>0</v>
      </c>
    </row>
    <row r="98" spans="1:33" x14ac:dyDescent="0.3">
      <c r="A98" s="42" t="s">
        <v>28</v>
      </c>
      <c r="B98" s="31"/>
      <c r="C98" s="48"/>
      <c r="D98" s="49"/>
      <c r="E98" s="48"/>
      <c r="F98" s="47"/>
      <c r="G98" s="47"/>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4"/>
      <c r="AG98" s="24">
        <f t="shared" si="1"/>
        <v>0</v>
      </c>
    </row>
    <row r="99" spans="1:33" x14ac:dyDescent="0.3">
      <c r="A99" s="42" t="s">
        <v>29</v>
      </c>
      <c r="B99" s="31"/>
      <c r="C99" s="43"/>
      <c r="D99" s="44"/>
      <c r="E99" s="48"/>
      <c r="F99" s="47"/>
      <c r="G99" s="47"/>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4"/>
      <c r="AG99" s="24">
        <f t="shared" si="1"/>
        <v>0</v>
      </c>
    </row>
    <row r="100" spans="1:33" x14ac:dyDescent="0.3">
      <c r="A100" s="42" t="s">
        <v>30</v>
      </c>
      <c r="B100" s="31">
        <f>J100+L100+N100+P100+R100+T100+V100+X100+Z100+AB100+AD100+H100</f>
        <v>441298.64999999997</v>
      </c>
      <c r="C100" s="73">
        <f>SUM(H100+J100+L100+N100+P100+R100+T100+V100+X100+Z100)</f>
        <v>404557.54687000008</v>
      </c>
      <c r="D100" s="74">
        <f>E100</f>
        <v>401708.91</v>
      </c>
      <c r="E100" s="73">
        <f>SUM(I100,K100,M100,O100,Q100,S100,U100,W100,Y100,AA100,AC100,AE100)</f>
        <v>401708.91</v>
      </c>
      <c r="F100" s="75">
        <f>IFERROR(E100/B100*100,0)</f>
        <v>91.028810081336076</v>
      </c>
      <c r="G100" s="75">
        <f>IFERROR(E100/C100*100,0)</f>
        <v>99.295863618899318</v>
      </c>
      <c r="H100" s="45">
        <v>52896.722470000001</v>
      </c>
      <c r="I100" s="45">
        <v>52207.3</v>
      </c>
      <c r="J100" s="45">
        <v>67459.359179999999</v>
      </c>
      <c r="K100" s="45">
        <v>68193.149999999994</v>
      </c>
      <c r="L100" s="45">
        <v>43449.618399999999</v>
      </c>
      <c r="M100" s="45">
        <v>43425.15</v>
      </c>
      <c r="N100" s="45">
        <v>37415.547899999998</v>
      </c>
      <c r="O100" s="45">
        <v>37415.57</v>
      </c>
      <c r="P100" s="45">
        <v>39228.645819999998</v>
      </c>
      <c r="Q100" s="45">
        <v>39256.57</v>
      </c>
      <c r="R100" s="45">
        <v>36347.809500000003</v>
      </c>
      <c r="S100" s="45">
        <v>37169.5</v>
      </c>
      <c r="T100" s="45">
        <v>29588.682410000001</v>
      </c>
      <c r="U100" s="45">
        <v>28576.39</v>
      </c>
      <c r="V100" s="45">
        <f>22003.47334+969.48</f>
        <v>22972.95334</v>
      </c>
      <c r="W100" s="45">
        <v>22003.47</v>
      </c>
      <c r="X100" s="45">
        <v>25224.808379999999</v>
      </c>
      <c r="Y100" s="45">
        <f>22682.58+1188.79</f>
        <v>23871.370000000003</v>
      </c>
      <c r="Z100" s="45">
        <v>49973.399469999997</v>
      </c>
      <c r="AA100" s="45">
        <f>49973.4-382.96</f>
        <v>49590.44</v>
      </c>
      <c r="AB100" s="45">
        <f>19611.26195-969.48</f>
        <v>18641.781950000001</v>
      </c>
      <c r="AC100" s="45"/>
      <c r="AD100" s="45">
        <v>18099.321179999999</v>
      </c>
      <c r="AE100" s="33"/>
      <c r="AF100" s="34"/>
      <c r="AG100" s="24">
        <f t="shared" si="1"/>
        <v>-4.7293724492192268E-11</v>
      </c>
    </row>
    <row r="101" spans="1:33" x14ac:dyDescent="0.3">
      <c r="A101" s="42" t="s">
        <v>31</v>
      </c>
      <c r="B101" s="31">
        <f>J101+L101+N101+P101+R101+T101+V101+X101+Z101+AB101+AD101+H101</f>
        <v>11119.67</v>
      </c>
      <c r="C101" s="73">
        <f>L101+N101+Q101+X101+Z101</f>
        <v>11119.67</v>
      </c>
      <c r="D101" s="74">
        <f>E101</f>
        <v>11119.67</v>
      </c>
      <c r="E101" s="73">
        <f>SUM(I101,K101,M101,O101,Q101,S101,U101,W101,Y101,AA101,AC101,AE101)</f>
        <v>11119.67</v>
      </c>
      <c r="F101" s="75">
        <f>IFERROR(E101/B101*100,0)</f>
        <v>100</v>
      </c>
      <c r="G101" s="75">
        <f>IFERROR(E101/C101*100,0)</f>
        <v>100</v>
      </c>
      <c r="H101" s="45">
        <v>0</v>
      </c>
      <c r="I101" s="45">
        <v>0</v>
      </c>
      <c r="J101" s="45">
        <v>0</v>
      </c>
      <c r="K101" s="45"/>
      <c r="L101" s="45">
        <v>3230</v>
      </c>
      <c r="M101" s="45">
        <v>3230</v>
      </c>
      <c r="N101" s="45">
        <v>4111</v>
      </c>
      <c r="O101" s="45">
        <v>4111</v>
      </c>
      <c r="P101" s="45">
        <v>0</v>
      </c>
      <c r="Q101" s="45"/>
      <c r="R101" s="45">
        <v>0</v>
      </c>
      <c r="S101" s="45"/>
      <c r="T101" s="45">
        <v>0</v>
      </c>
      <c r="U101" s="45"/>
      <c r="V101" s="45"/>
      <c r="W101" s="45"/>
      <c r="X101" s="45">
        <f>1119.67+181.5</f>
        <v>1301.17</v>
      </c>
      <c r="Y101" s="45">
        <f>1119.67-181.5+181.5</f>
        <v>1119.67</v>
      </c>
      <c r="Z101" s="45">
        <f>67.67+113.83+2477.5-181.5</f>
        <v>2477.5</v>
      </c>
      <c r="AA101" s="45">
        <f>2477.5+181.5</f>
        <v>2659</v>
      </c>
      <c r="AB101" s="45">
        <v>0</v>
      </c>
      <c r="AC101" s="45"/>
      <c r="AD101" s="45"/>
      <c r="AE101" s="33"/>
      <c r="AF101" s="34"/>
      <c r="AG101" s="24">
        <f t="shared" si="1"/>
        <v>0</v>
      </c>
    </row>
    <row r="102" spans="1:33" ht="287.25" customHeight="1" x14ac:dyDescent="0.3">
      <c r="A102" s="30" t="s">
        <v>48</v>
      </c>
      <c r="B102" s="31"/>
      <c r="C102" s="32"/>
      <c r="D102" s="32"/>
      <c r="E102" s="32"/>
      <c r="F102" s="32"/>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76" t="s">
        <v>49</v>
      </c>
      <c r="AG102" s="24">
        <f t="shared" si="1"/>
        <v>0</v>
      </c>
    </row>
    <row r="103" spans="1:33" x14ac:dyDescent="0.3">
      <c r="A103" s="69" t="s">
        <v>27</v>
      </c>
      <c r="B103" s="36">
        <f>B105+B106+B104+B107</f>
        <v>2181099.9002</v>
      </c>
      <c r="C103" s="36">
        <f>C105+C106+C104+C107</f>
        <v>1793472.0709999998</v>
      </c>
      <c r="D103" s="36">
        <f>D105+D106+D104+D107</f>
        <v>1597790.7999999998</v>
      </c>
      <c r="E103" s="70">
        <f>E105+E106+E104+E107</f>
        <v>1597790.7999999998</v>
      </c>
      <c r="F103" s="70">
        <f>IFERROR(E103/B103*100,0)</f>
        <v>73.256195181774459</v>
      </c>
      <c r="G103" s="70">
        <f>IFERROR(E103/C103*100,0)</f>
        <v>89.089249051372605</v>
      </c>
      <c r="H103" s="70">
        <f t="shared" ref="H103:AE103" si="26">H105+H106+H104+H107</f>
        <v>154921.35999999999</v>
      </c>
      <c r="I103" s="70">
        <f t="shared" si="26"/>
        <v>32726.3</v>
      </c>
      <c r="J103" s="70">
        <f t="shared" si="26"/>
        <v>209296.92600000001</v>
      </c>
      <c r="K103" s="70">
        <f t="shared" si="26"/>
        <v>174495.7</v>
      </c>
      <c r="L103" s="70">
        <f t="shared" si="26"/>
        <v>185523.4</v>
      </c>
      <c r="M103" s="70">
        <f t="shared" si="26"/>
        <v>145599.5</v>
      </c>
      <c r="N103" s="70">
        <f t="shared" si="26"/>
        <v>225302.69</v>
      </c>
      <c r="O103" s="70">
        <f t="shared" si="26"/>
        <v>162726.53</v>
      </c>
      <c r="P103" s="70">
        <f t="shared" si="26"/>
        <v>380330.2</v>
      </c>
      <c r="Q103" s="70">
        <f t="shared" si="26"/>
        <v>380330.2</v>
      </c>
      <c r="R103" s="70">
        <f t="shared" si="26"/>
        <v>174083.41</v>
      </c>
      <c r="S103" s="70">
        <f t="shared" si="26"/>
        <v>178644.98</v>
      </c>
      <c r="T103" s="70">
        <f t="shared" si="26"/>
        <v>147201.99</v>
      </c>
      <c r="U103" s="70">
        <f t="shared" si="26"/>
        <v>124068</v>
      </c>
      <c r="V103" s="70">
        <f t="shared" si="26"/>
        <v>88859</v>
      </c>
      <c r="W103" s="70">
        <f t="shared" si="26"/>
        <v>88859</v>
      </c>
      <c r="X103" s="70">
        <f t="shared" si="26"/>
        <v>116638.19500000001</v>
      </c>
      <c r="Y103" s="70">
        <f t="shared" si="26"/>
        <v>94399.22</v>
      </c>
      <c r="Z103" s="70">
        <f t="shared" si="26"/>
        <v>111314.9</v>
      </c>
      <c r="AA103" s="70">
        <f t="shared" si="26"/>
        <v>215941.37</v>
      </c>
      <c r="AB103" s="70">
        <f t="shared" si="26"/>
        <v>229580.81000000003</v>
      </c>
      <c r="AC103" s="70">
        <f t="shared" si="26"/>
        <v>0</v>
      </c>
      <c r="AD103" s="70">
        <f t="shared" si="26"/>
        <v>158047.01920000001</v>
      </c>
      <c r="AE103" s="70">
        <f t="shared" si="26"/>
        <v>0</v>
      </c>
      <c r="AF103" s="34"/>
      <c r="AG103" s="24">
        <f t="shared" si="1"/>
        <v>3.4924596548080444E-10</v>
      </c>
    </row>
    <row r="104" spans="1:33" x14ac:dyDescent="0.3">
      <c r="A104" s="77" t="s">
        <v>28</v>
      </c>
      <c r="B104" s="47"/>
      <c r="C104" s="48"/>
      <c r="D104" s="49"/>
      <c r="E104" s="48"/>
      <c r="F104" s="47"/>
      <c r="G104" s="47"/>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4"/>
      <c r="AG104" s="24">
        <f t="shared" si="1"/>
        <v>0</v>
      </c>
    </row>
    <row r="105" spans="1:33" s="81" customFormat="1" x14ac:dyDescent="0.3">
      <c r="A105" s="77" t="s">
        <v>29</v>
      </c>
      <c r="B105" s="31">
        <f>J105+L105+N105+P105+R105+T105+V105+X105+Z105+AB105+AD105+H105</f>
        <v>2181099.9002</v>
      </c>
      <c r="C105" s="48">
        <f>H105+J105+L105+N105+P105+R105+T105+V105+X105+Z105</f>
        <v>1793472.0709999998</v>
      </c>
      <c r="D105" s="49">
        <f>E105</f>
        <v>1597790.7999999998</v>
      </c>
      <c r="E105" s="48">
        <f>SUM(I105,K105,M105,O105,Q105,S105,U105,W105,Y105,AA105,AC105,AE105)</f>
        <v>1597790.7999999998</v>
      </c>
      <c r="F105" s="47">
        <f>IFERROR(E105/B105*100,0)</f>
        <v>73.256195181774459</v>
      </c>
      <c r="G105" s="47">
        <f>IFERROR(E105/C105*100,0)</f>
        <v>89.089249051372605</v>
      </c>
      <c r="H105" s="78">
        <v>154921.35999999999</v>
      </c>
      <c r="I105" s="78">
        <v>32726.3</v>
      </c>
      <c r="J105" s="78">
        <v>209296.92600000001</v>
      </c>
      <c r="K105" s="78">
        <v>174495.7</v>
      </c>
      <c r="L105" s="78">
        <v>185523.4</v>
      </c>
      <c r="M105" s="78">
        <v>145599.5</v>
      </c>
      <c r="N105" s="78">
        <f>59.99+225242.7</f>
        <v>225302.69</v>
      </c>
      <c r="O105" s="78">
        <v>162726.53</v>
      </c>
      <c r="P105" s="78">
        <v>380330.2</v>
      </c>
      <c r="Q105" s="78">
        <v>380330.2</v>
      </c>
      <c r="R105" s="78">
        <f>174143.4-59.99</f>
        <v>174083.41</v>
      </c>
      <c r="S105" s="78">
        <v>178644.98</v>
      </c>
      <c r="T105" s="78">
        <f>23133.99+124068</f>
        <v>147201.99</v>
      </c>
      <c r="U105" s="78">
        <v>124068</v>
      </c>
      <c r="V105" s="78">
        <v>88859</v>
      </c>
      <c r="W105" s="78">
        <v>88859</v>
      </c>
      <c r="X105" s="78">
        <v>116638.19500000001</v>
      </c>
      <c r="Y105" s="78">
        <v>94399.22</v>
      </c>
      <c r="Z105" s="78">
        <v>111314.9</v>
      </c>
      <c r="AA105" s="78">
        <v>215941.37</v>
      </c>
      <c r="AB105" s="78">
        <f>119813.71+104424.5+5342.6</f>
        <v>229580.81000000003</v>
      </c>
      <c r="AC105" s="78"/>
      <c r="AD105" s="78">
        <v>158047.01920000001</v>
      </c>
      <c r="AE105" s="78"/>
      <c r="AF105" s="79"/>
      <c r="AG105" s="80">
        <f t="shared" si="1"/>
        <v>3.4924596548080444E-10</v>
      </c>
    </row>
    <row r="106" spans="1:33" x14ac:dyDescent="0.3">
      <c r="A106" s="46" t="s">
        <v>30</v>
      </c>
      <c r="B106" s="47">
        <f>J106+L106+N106+P106+R106+T106+V106+X106+Z106+AB106+AD106+H106</f>
        <v>0</v>
      </c>
      <c r="C106" s="48">
        <f>SUM(H106)</f>
        <v>0</v>
      </c>
      <c r="D106" s="49">
        <f>E106</f>
        <v>0</v>
      </c>
      <c r="E106" s="48">
        <f>SUM(I106,K106,M106,O106,Q106,S106,U106,W106,Y106,AA106,AC106,AE106)</f>
        <v>0</v>
      </c>
      <c r="F106" s="47">
        <f>IFERROR(E106/B106*100,0)</f>
        <v>0</v>
      </c>
      <c r="G106" s="47">
        <f>IFERROR(E106/C106*100,0)</f>
        <v>0</v>
      </c>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4"/>
      <c r="AG106" s="24">
        <f t="shared" si="1"/>
        <v>0</v>
      </c>
    </row>
    <row r="107" spans="1:33" x14ac:dyDescent="0.3">
      <c r="A107" s="46" t="s">
        <v>31</v>
      </c>
      <c r="B107" s="47"/>
      <c r="C107" s="48"/>
      <c r="D107" s="49"/>
      <c r="E107" s="48"/>
      <c r="F107" s="47"/>
      <c r="G107" s="47"/>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4"/>
      <c r="AG107" s="24">
        <f t="shared" si="1"/>
        <v>0</v>
      </c>
    </row>
    <row r="108" spans="1:33" ht="260.25" customHeight="1" x14ac:dyDescent="0.3">
      <c r="A108" s="30" t="s">
        <v>50</v>
      </c>
      <c r="B108" s="31"/>
      <c r="C108" s="32"/>
      <c r="D108" s="32"/>
      <c r="E108" s="32"/>
      <c r="F108" s="32"/>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4"/>
      <c r="AG108" s="24">
        <f t="shared" si="1"/>
        <v>0</v>
      </c>
    </row>
    <row r="109" spans="1:33" x14ac:dyDescent="0.3">
      <c r="A109" s="35" t="s">
        <v>27</v>
      </c>
      <c r="B109" s="36">
        <f>B111+B112+B110+B113</f>
        <v>51000.799630000009</v>
      </c>
      <c r="C109" s="70">
        <f>C111+C112+C110+C113</f>
        <v>38956.660080000001</v>
      </c>
      <c r="D109" s="70">
        <f>D111+D112+D110+D113</f>
        <v>32895.090000000004</v>
      </c>
      <c r="E109" s="70">
        <f>E111+E112+E110+E113</f>
        <v>32895.090000000004</v>
      </c>
      <c r="F109" s="70">
        <f>IFERROR(E109/B109*100,0)</f>
        <v>64.499165186912577</v>
      </c>
      <c r="G109" s="70">
        <f>IFERROR(E109/C109*100,0)</f>
        <v>84.440221344560413</v>
      </c>
      <c r="H109" s="70">
        <f t="shared" ref="H109:AE109" si="27">H111+H112+H110+H113</f>
        <v>4196.0200000000004</v>
      </c>
      <c r="I109" s="70">
        <f t="shared" si="27"/>
        <v>1246.8</v>
      </c>
      <c r="J109" s="70">
        <f t="shared" si="27"/>
        <v>5361.4637899999998</v>
      </c>
      <c r="K109" s="70">
        <f t="shared" si="27"/>
        <v>3305.4</v>
      </c>
      <c r="L109" s="70">
        <f t="shared" si="27"/>
        <v>5339.3157899999997</v>
      </c>
      <c r="M109" s="70">
        <f t="shared" si="27"/>
        <v>4656.92</v>
      </c>
      <c r="N109" s="70">
        <f t="shared" si="27"/>
        <v>4827.5657899999997</v>
      </c>
      <c r="O109" s="70">
        <f t="shared" si="27"/>
        <v>4183.6499999999996</v>
      </c>
      <c r="P109" s="70">
        <f t="shared" si="27"/>
        <v>4491.1637700000001</v>
      </c>
      <c r="Q109" s="70">
        <f t="shared" si="27"/>
        <v>4491.16</v>
      </c>
      <c r="R109" s="70">
        <f t="shared" si="27"/>
        <v>3503.31378</v>
      </c>
      <c r="S109" s="70">
        <f t="shared" si="27"/>
        <v>4250.97</v>
      </c>
      <c r="T109" s="70">
        <f t="shared" si="27"/>
        <v>2771.1637900000001</v>
      </c>
      <c r="U109" s="70">
        <f t="shared" si="27"/>
        <v>2771.16</v>
      </c>
      <c r="V109" s="70">
        <f t="shared" si="27"/>
        <v>2371.16579</v>
      </c>
      <c r="W109" s="70">
        <f t="shared" si="27"/>
        <v>1896.17</v>
      </c>
      <c r="X109" s="70">
        <f t="shared" si="27"/>
        <v>3694.43379</v>
      </c>
      <c r="Y109" s="70">
        <f t="shared" si="27"/>
        <v>1948.63</v>
      </c>
      <c r="Z109" s="70">
        <f t="shared" si="27"/>
        <v>2401.0537899999999</v>
      </c>
      <c r="AA109" s="70">
        <f t="shared" si="27"/>
        <v>4144.2299999999996</v>
      </c>
      <c r="AB109" s="70">
        <f t="shared" si="27"/>
        <v>10241.693790000001</v>
      </c>
      <c r="AC109" s="70">
        <f t="shared" si="27"/>
        <v>0</v>
      </c>
      <c r="AD109" s="70">
        <f t="shared" si="27"/>
        <v>1802.4457600000001</v>
      </c>
      <c r="AE109" s="70">
        <f t="shared" si="27"/>
        <v>0</v>
      </c>
      <c r="AF109" s="34"/>
      <c r="AG109" s="24">
        <f t="shared" si="1"/>
        <v>4.0927261579781771E-12</v>
      </c>
    </row>
    <row r="110" spans="1:33" x14ac:dyDescent="0.3">
      <c r="A110" s="42" t="s">
        <v>28</v>
      </c>
      <c r="B110" s="31"/>
      <c r="C110" s="48"/>
      <c r="D110" s="49"/>
      <c r="E110" s="48"/>
      <c r="F110" s="47"/>
      <c r="G110" s="47"/>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4"/>
      <c r="AG110" s="24">
        <f t="shared" si="1"/>
        <v>0</v>
      </c>
    </row>
    <row r="111" spans="1:33" x14ac:dyDescent="0.3">
      <c r="A111" s="42" t="s">
        <v>29</v>
      </c>
      <c r="B111" s="31">
        <f>J111+L111+N111+P111+R111+T111+V111+X111+Z111+AB111+AD111+H111</f>
        <v>51000.799630000009</v>
      </c>
      <c r="C111" s="48">
        <f>H111+J111+L111+N111+P111+R111+T111+V111+X111+Z111</f>
        <v>38956.660080000001</v>
      </c>
      <c r="D111" s="49">
        <f>E111</f>
        <v>32895.090000000004</v>
      </c>
      <c r="E111" s="48">
        <f>SUM(I111,K111,M111,O111,Q111,S111,U111,W111,Y111,AA111,AC111,AE111)</f>
        <v>32895.090000000004</v>
      </c>
      <c r="F111" s="47">
        <f>IFERROR(E111/B111*100,0)</f>
        <v>64.499165186912577</v>
      </c>
      <c r="G111" s="47">
        <f>IFERROR(E111/C111*100,0)</f>
        <v>84.440221344560413</v>
      </c>
      <c r="H111" s="78">
        <f>3940+256.02</f>
        <v>4196.0200000000004</v>
      </c>
      <c r="I111" s="78">
        <v>1246.8</v>
      </c>
      <c r="J111" s="33">
        <v>5361.4637899999998</v>
      </c>
      <c r="K111" s="33">
        <v>3305.4</v>
      </c>
      <c r="L111" s="33">
        <v>5339.3157899999997</v>
      </c>
      <c r="M111" s="33">
        <v>4656.92</v>
      </c>
      <c r="N111" s="33">
        <v>4827.5657899999997</v>
      </c>
      <c r="O111" s="33">
        <v>4183.6499999999996</v>
      </c>
      <c r="P111" s="33">
        <v>4491.1637700000001</v>
      </c>
      <c r="Q111" s="33">
        <v>4491.16</v>
      </c>
      <c r="R111" s="33">
        <f>3503.31378</f>
        <v>3503.31378</v>
      </c>
      <c r="S111" s="33">
        <v>4250.97</v>
      </c>
      <c r="T111" s="33">
        <v>2771.1637900000001</v>
      </c>
      <c r="U111" s="33">
        <v>2771.16</v>
      </c>
      <c r="V111" s="33">
        <v>2371.16579</v>
      </c>
      <c r="W111" s="33">
        <v>1896.17</v>
      </c>
      <c r="X111" s="33">
        <f>828.12+2866.31379</f>
        <v>3694.43379</v>
      </c>
      <c r="Y111" s="33">
        <v>1948.63</v>
      </c>
      <c r="Z111" s="33">
        <f>2401.06379-0.01</f>
        <v>2401.0537899999999</v>
      </c>
      <c r="AA111" s="33">
        <v>4144.2299999999996</v>
      </c>
      <c r="AB111" s="33">
        <f>8186.68+2055.01379</f>
        <v>10241.693790000001</v>
      </c>
      <c r="AC111" s="33"/>
      <c r="AD111" s="33">
        <v>1802.4457600000001</v>
      </c>
      <c r="AE111" s="33"/>
      <c r="AF111" s="34"/>
      <c r="AG111" s="24">
        <f t="shared" si="1"/>
        <v>4.0927261579781771E-12</v>
      </c>
    </row>
    <row r="112" spans="1:33" x14ac:dyDescent="0.3">
      <c r="A112" s="46" t="s">
        <v>30</v>
      </c>
      <c r="B112" s="47">
        <f>J112+L112+N112+P112+R112+T112+V112+X112+Z112+AB112+AD112+H112</f>
        <v>0</v>
      </c>
      <c r="C112" s="48">
        <f>SUM(H112)</f>
        <v>0</v>
      </c>
      <c r="D112" s="49">
        <f>E112</f>
        <v>0</v>
      </c>
      <c r="E112" s="48">
        <f>SUM(I112,K112,M112,O112,Q112,S112,U112,W112,Y112,AA112,AC112,AE112)</f>
        <v>0</v>
      </c>
      <c r="F112" s="47">
        <f>IFERROR(E112/B112*100,0)</f>
        <v>0</v>
      </c>
      <c r="G112" s="47">
        <f>IFERROR(E112/C112*100,0)</f>
        <v>0</v>
      </c>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4"/>
      <c r="AG112" s="24">
        <f t="shared" si="1"/>
        <v>0</v>
      </c>
    </row>
    <row r="113" spans="1:34" x14ac:dyDescent="0.3">
      <c r="A113" s="46" t="s">
        <v>31</v>
      </c>
      <c r="B113" s="47"/>
      <c r="C113" s="48"/>
      <c r="D113" s="49"/>
      <c r="E113" s="48"/>
      <c r="F113" s="47"/>
      <c r="G113" s="47"/>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4"/>
      <c r="AG113" s="24">
        <f t="shared" si="1"/>
        <v>0</v>
      </c>
    </row>
    <row r="114" spans="1:34" ht="150" x14ac:dyDescent="0.3">
      <c r="A114" s="46" t="s">
        <v>51</v>
      </c>
      <c r="B114" s="47"/>
      <c r="C114" s="48"/>
      <c r="D114" s="49"/>
      <c r="E114" s="48"/>
      <c r="F114" s="47"/>
      <c r="G114" s="47"/>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4"/>
      <c r="AG114" s="24"/>
    </row>
    <row r="115" spans="1:34" x14ac:dyDescent="0.3">
      <c r="A115" s="71" t="s">
        <v>27</v>
      </c>
      <c r="B115" s="70">
        <f>B117+B118+B116+B119</f>
        <v>156.19999999999999</v>
      </c>
      <c r="C115" s="70">
        <f>C117+C118+C116+C119</f>
        <v>78.099999999999994</v>
      </c>
      <c r="D115" s="82">
        <f>D117+D118+D116+D119</f>
        <v>56.1</v>
      </c>
      <c r="E115" s="70">
        <f>E117+E118+E116+E119</f>
        <v>56.1</v>
      </c>
      <c r="F115" s="70">
        <f>IFERROR(E115/B115*100,0)</f>
        <v>35.91549295774648</v>
      </c>
      <c r="G115" s="70">
        <f>IFERROR(E115/C115*100,0)</f>
        <v>71.83098591549296</v>
      </c>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4"/>
      <c r="AG115" s="24"/>
    </row>
    <row r="116" spans="1:34" x14ac:dyDescent="0.3">
      <c r="A116" s="46" t="s">
        <v>28</v>
      </c>
      <c r="B116" s="47">
        <f>J116+L116+N116+P116+R116+T116+V116+X116+Z116+AB116+AD116+H116</f>
        <v>156.19999999999999</v>
      </c>
      <c r="C116" s="48">
        <f>H116+J116+L116+N116+P116+R116+T116+V116+X116+Z116</f>
        <v>78.099999999999994</v>
      </c>
      <c r="D116" s="49">
        <f>E116</f>
        <v>56.1</v>
      </c>
      <c r="E116" s="48">
        <f>SUM(I116,K116,M116,O116,Q116,S116,U116,W116,Y116,AA116,AC116,AE116)</f>
        <v>56.1</v>
      </c>
      <c r="F116" s="47">
        <f>IFERROR(E116/B116*100,0)</f>
        <v>35.91549295774648</v>
      </c>
      <c r="G116" s="47">
        <f>IFERROR(E116/C116*100,0)</f>
        <v>71.83098591549296</v>
      </c>
      <c r="H116" s="33"/>
      <c r="I116" s="33"/>
      <c r="J116" s="33"/>
      <c r="K116" s="33"/>
      <c r="L116" s="33"/>
      <c r="M116" s="33"/>
      <c r="N116" s="33"/>
      <c r="O116" s="33"/>
      <c r="P116" s="33"/>
      <c r="Q116" s="33"/>
      <c r="R116" s="33"/>
      <c r="S116" s="33"/>
      <c r="T116" s="33"/>
      <c r="U116" s="33"/>
      <c r="V116" s="33"/>
      <c r="W116" s="33"/>
      <c r="X116" s="33">
        <v>39.049999999999997</v>
      </c>
      <c r="Y116" s="33">
        <v>30</v>
      </c>
      <c r="Z116" s="33">
        <v>39.049999999999997</v>
      </c>
      <c r="AA116" s="33">
        <v>26.1</v>
      </c>
      <c r="AB116" s="33">
        <v>39.049999999999997</v>
      </c>
      <c r="AC116" s="33"/>
      <c r="AD116" s="33">
        <v>39.049999999999997</v>
      </c>
      <c r="AE116" s="33"/>
      <c r="AF116" s="34"/>
      <c r="AG116" s="24"/>
    </row>
    <row r="117" spans="1:34" x14ac:dyDescent="0.3">
      <c r="A117" s="46" t="s">
        <v>29</v>
      </c>
      <c r="B117" s="47"/>
      <c r="C117" s="48"/>
      <c r="D117" s="49"/>
      <c r="E117" s="48"/>
      <c r="F117" s="47"/>
      <c r="G117" s="47"/>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4"/>
      <c r="AG117" s="24"/>
    </row>
    <row r="118" spans="1:34" x14ac:dyDescent="0.3">
      <c r="A118" s="46" t="s">
        <v>30</v>
      </c>
      <c r="B118" s="47"/>
      <c r="C118" s="48"/>
      <c r="D118" s="49"/>
      <c r="E118" s="48"/>
      <c r="F118" s="47"/>
      <c r="G118" s="47"/>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4"/>
      <c r="AG118" s="24"/>
    </row>
    <row r="119" spans="1:34" x14ac:dyDescent="0.3">
      <c r="A119" s="46" t="s">
        <v>31</v>
      </c>
      <c r="B119" s="47"/>
      <c r="C119" s="48"/>
      <c r="D119" s="49"/>
      <c r="E119" s="48"/>
      <c r="F119" s="47"/>
      <c r="G119" s="47"/>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4"/>
      <c r="AG119" s="24"/>
    </row>
    <row r="120" spans="1:34" x14ac:dyDescent="0.3">
      <c r="A120" s="46"/>
      <c r="B120" s="47"/>
      <c r="C120" s="48"/>
      <c r="D120" s="49"/>
      <c r="E120" s="48"/>
      <c r="F120" s="47"/>
      <c r="G120" s="47"/>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4"/>
      <c r="AG120" s="24"/>
    </row>
    <row r="121" spans="1:34" x14ac:dyDescent="0.3">
      <c r="A121" s="46"/>
      <c r="B121" s="47"/>
      <c r="C121" s="48"/>
      <c r="D121" s="49"/>
      <c r="E121" s="48"/>
      <c r="F121" s="47"/>
      <c r="G121" s="47"/>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4"/>
      <c r="AG121" s="24"/>
    </row>
    <row r="122" spans="1:34" ht="123" customHeight="1" x14ac:dyDescent="0.3">
      <c r="A122" s="30" t="s">
        <v>52</v>
      </c>
      <c r="B122" s="31"/>
      <c r="C122" s="50"/>
      <c r="D122" s="50"/>
      <c r="E122" s="50"/>
      <c r="F122" s="50"/>
      <c r="G122" s="50"/>
      <c r="H122" s="45"/>
      <c r="I122" s="45"/>
      <c r="J122" s="45"/>
      <c r="K122" s="45"/>
      <c r="L122" s="45"/>
      <c r="M122" s="45"/>
      <c r="N122" s="45"/>
      <c r="O122" s="45"/>
      <c r="P122" s="45"/>
      <c r="Q122" s="33"/>
      <c r="R122" s="33"/>
      <c r="S122" s="33"/>
      <c r="T122" s="33"/>
      <c r="U122" s="33"/>
      <c r="V122" s="33"/>
      <c r="W122" s="33"/>
      <c r="X122" s="33"/>
      <c r="Y122" s="33"/>
      <c r="Z122" s="33"/>
      <c r="AA122" s="33"/>
      <c r="AB122" s="33"/>
      <c r="AC122" s="33"/>
      <c r="AD122" s="33"/>
      <c r="AE122" s="33"/>
      <c r="AF122" s="83" t="s">
        <v>53</v>
      </c>
      <c r="AG122" s="24">
        <f t="shared" si="1"/>
        <v>0</v>
      </c>
    </row>
    <row r="123" spans="1:34" x14ac:dyDescent="0.3">
      <c r="A123" s="35" t="s">
        <v>27</v>
      </c>
      <c r="B123" s="36">
        <f>B125+B126+B124+B127</f>
        <v>8256</v>
      </c>
      <c r="C123" s="36">
        <f>C125+C126+C124+C127</f>
        <v>8256</v>
      </c>
      <c r="D123" s="36">
        <f>D125+D126+D124+D127</f>
        <v>6740</v>
      </c>
      <c r="E123" s="36">
        <f>E125+E126+E124+E127</f>
        <v>6740</v>
      </c>
      <c r="F123" s="36">
        <f>IFERROR(E123/B123*100,0)</f>
        <v>81.637596899224803</v>
      </c>
      <c r="G123" s="36">
        <f>IFERROR(E123/C123*100,0)</f>
        <v>81.637596899224803</v>
      </c>
      <c r="H123" s="36">
        <f t="shared" ref="H123:AE123" si="28">H125+H126+H124+H127</f>
        <v>980</v>
      </c>
      <c r="I123" s="36">
        <f t="shared" si="28"/>
        <v>0</v>
      </c>
      <c r="J123" s="36">
        <f t="shared" si="28"/>
        <v>720</v>
      </c>
      <c r="K123" s="36">
        <f t="shared" si="28"/>
        <v>720</v>
      </c>
      <c r="L123" s="36">
        <f t="shared" si="28"/>
        <v>652</v>
      </c>
      <c r="M123" s="36">
        <f t="shared" si="28"/>
        <v>652</v>
      </c>
      <c r="N123" s="36">
        <f t="shared" si="28"/>
        <v>652</v>
      </c>
      <c r="O123" s="36">
        <f t="shared" si="28"/>
        <v>652</v>
      </c>
      <c r="P123" s="36">
        <f t="shared" si="28"/>
        <v>980</v>
      </c>
      <c r="Q123" s="70">
        <f t="shared" si="28"/>
        <v>980</v>
      </c>
      <c r="R123" s="70">
        <f t="shared" si="28"/>
        <v>384</v>
      </c>
      <c r="S123" s="70">
        <f t="shared" si="28"/>
        <v>384</v>
      </c>
      <c r="T123" s="70">
        <f t="shared" si="28"/>
        <v>980</v>
      </c>
      <c r="U123" s="70">
        <f t="shared" si="28"/>
        <v>980</v>
      </c>
      <c r="V123" s="70">
        <f t="shared" si="28"/>
        <v>693</v>
      </c>
      <c r="W123" s="70">
        <f t="shared" si="28"/>
        <v>692</v>
      </c>
      <c r="X123" s="70">
        <f t="shared" si="28"/>
        <v>255</v>
      </c>
      <c r="Y123" s="70">
        <f t="shared" si="28"/>
        <v>500</v>
      </c>
      <c r="Z123" s="70">
        <f t="shared" si="28"/>
        <v>1960</v>
      </c>
      <c r="AA123" s="70">
        <f t="shared" si="28"/>
        <v>1180</v>
      </c>
      <c r="AB123" s="70">
        <f t="shared" si="28"/>
        <v>0</v>
      </c>
      <c r="AC123" s="70">
        <f t="shared" si="28"/>
        <v>0</v>
      </c>
      <c r="AD123" s="70">
        <f t="shared" si="28"/>
        <v>0</v>
      </c>
      <c r="AE123" s="70">
        <f t="shared" si="28"/>
        <v>0</v>
      </c>
      <c r="AF123" s="34"/>
      <c r="AG123" s="24">
        <f t="shared" si="1"/>
        <v>0</v>
      </c>
    </row>
    <row r="124" spans="1:34" x14ac:dyDescent="0.3">
      <c r="A124" s="42" t="s">
        <v>28</v>
      </c>
      <c r="B124" s="31"/>
      <c r="C124" s="43"/>
      <c r="D124" s="44"/>
      <c r="E124" s="43"/>
      <c r="F124" s="31"/>
      <c r="G124" s="31"/>
      <c r="H124" s="45"/>
      <c r="I124" s="45"/>
      <c r="J124" s="45"/>
      <c r="K124" s="45"/>
      <c r="L124" s="45"/>
      <c r="M124" s="45"/>
      <c r="N124" s="45"/>
      <c r="O124" s="45"/>
      <c r="P124" s="45"/>
      <c r="Q124" s="33"/>
      <c r="R124" s="33"/>
      <c r="S124" s="33"/>
      <c r="T124" s="33"/>
      <c r="U124" s="33"/>
      <c r="V124" s="33"/>
      <c r="W124" s="33"/>
      <c r="X124" s="33"/>
      <c r="Y124" s="33"/>
      <c r="Z124" s="33"/>
      <c r="AA124" s="33"/>
      <c r="AB124" s="33"/>
      <c r="AC124" s="33"/>
      <c r="AD124" s="33"/>
      <c r="AE124" s="33"/>
      <c r="AF124" s="34"/>
      <c r="AG124" s="24">
        <f t="shared" si="1"/>
        <v>0</v>
      </c>
    </row>
    <row r="125" spans="1:34" x14ac:dyDescent="0.3">
      <c r="A125" s="42" t="s">
        <v>29</v>
      </c>
      <c r="B125" s="31">
        <f>J125+L125+N125+P125+R125+T125+V125+X125+Z125+AB125+AD125+H125</f>
        <v>8256</v>
      </c>
      <c r="C125" s="43">
        <f>H125+J125+L125+N125+P125+R125+T125+V125+X125+Z125</f>
        <v>8256</v>
      </c>
      <c r="D125" s="44">
        <f>E125</f>
        <v>6740</v>
      </c>
      <c r="E125" s="43">
        <f>SUM(I125,K125,M125,O125,Q125,S125,U125,W125,Y125,AA125,AC125,AE125)</f>
        <v>6740</v>
      </c>
      <c r="F125" s="31">
        <f>IFERROR(E125/B125*100,0)</f>
        <v>81.637596899224803</v>
      </c>
      <c r="G125" s="31">
        <f>IFERROR(E125/C125*100,0)</f>
        <v>81.637596899224803</v>
      </c>
      <c r="H125" s="45">
        <v>980</v>
      </c>
      <c r="I125" s="45"/>
      <c r="J125" s="45">
        <v>720</v>
      </c>
      <c r="K125" s="45">
        <v>720</v>
      </c>
      <c r="L125" s="45">
        <v>652</v>
      </c>
      <c r="M125" s="45">
        <v>652</v>
      </c>
      <c r="N125" s="45">
        <v>652</v>
      </c>
      <c r="O125" s="45">
        <v>652</v>
      </c>
      <c r="P125" s="45">
        <v>980</v>
      </c>
      <c r="Q125" s="33">
        <v>980</v>
      </c>
      <c r="R125" s="33">
        <v>384</v>
      </c>
      <c r="S125" s="33">
        <v>384</v>
      </c>
      <c r="T125" s="33">
        <v>980</v>
      </c>
      <c r="U125" s="33">
        <v>980</v>
      </c>
      <c r="V125" s="33">
        <v>693</v>
      </c>
      <c r="W125" s="33">
        <v>692</v>
      </c>
      <c r="X125" s="33">
        <f>500-245</f>
        <v>255</v>
      </c>
      <c r="Y125" s="33">
        <v>500</v>
      </c>
      <c r="Z125" s="33">
        <v>1960</v>
      </c>
      <c r="AA125" s="33">
        <v>1180</v>
      </c>
      <c r="AB125" s="33"/>
      <c r="AC125" s="33"/>
      <c r="AD125" s="33"/>
      <c r="AE125" s="33"/>
      <c r="AF125" s="34"/>
      <c r="AG125" s="24">
        <f t="shared" si="1"/>
        <v>0</v>
      </c>
      <c r="AH125" s="84">
        <f>C125-E125</f>
        <v>1516</v>
      </c>
    </row>
    <row r="126" spans="1:34" x14ac:dyDescent="0.3">
      <c r="A126" s="42" t="s">
        <v>30</v>
      </c>
      <c r="B126" s="31">
        <f>J126+L126+N126+P126+R126+T126+V126+X126+Z126+AB126+AD126+H126</f>
        <v>0</v>
      </c>
      <c r="C126" s="43">
        <f>SUM(H126)</f>
        <v>0</v>
      </c>
      <c r="D126" s="44">
        <f>E126</f>
        <v>0</v>
      </c>
      <c r="E126" s="43">
        <f>SUM(I126,K126,M126,O126,Q126,S126,U126,W126,Y126,AA126,AC126,AE126)</f>
        <v>0</v>
      </c>
      <c r="F126" s="31">
        <f>IFERROR(E126/B126*100,0)</f>
        <v>0</v>
      </c>
      <c r="G126" s="31">
        <f>IFERROR(E126/C126*100,0)</f>
        <v>0</v>
      </c>
      <c r="H126" s="45"/>
      <c r="I126" s="45"/>
      <c r="J126" s="45"/>
      <c r="K126" s="45"/>
      <c r="L126" s="45"/>
      <c r="M126" s="45"/>
      <c r="N126" s="45"/>
      <c r="O126" s="45"/>
      <c r="P126" s="45"/>
      <c r="Q126" s="33"/>
      <c r="R126" s="33"/>
      <c r="S126" s="33"/>
      <c r="T126" s="33"/>
      <c r="U126" s="33"/>
      <c r="V126" s="33"/>
      <c r="W126" s="33"/>
      <c r="X126" s="33"/>
      <c r="Y126" s="33"/>
      <c r="Z126" s="33"/>
      <c r="AA126" s="33"/>
      <c r="AB126" s="33"/>
      <c r="AC126" s="33"/>
      <c r="AD126" s="33"/>
      <c r="AE126" s="33"/>
      <c r="AF126" s="34"/>
      <c r="AG126" s="24">
        <f t="shared" si="1"/>
        <v>0</v>
      </c>
    </row>
    <row r="127" spans="1:34" x14ac:dyDescent="0.3">
      <c r="A127" s="42" t="s">
        <v>31</v>
      </c>
      <c r="B127" s="31"/>
      <c r="C127" s="43"/>
      <c r="D127" s="44"/>
      <c r="E127" s="43"/>
      <c r="F127" s="31"/>
      <c r="G127" s="31"/>
      <c r="H127" s="45"/>
      <c r="I127" s="45"/>
      <c r="J127" s="45"/>
      <c r="K127" s="45"/>
      <c r="L127" s="45"/>
      <c r="M127" s="45"/>
      <c r="N127" s="45"/>
      <c r="O127" s="45"/>
      <c r="P127" s="45"/>
      <c r="Q127" s="33"/>
      <c r="R127" s="33"/>
      <c r="S127" s="33"/>
      <c r="T127" s="33"/>
      <c r="U127" s="33"/>
      <c r="V127" s="33"/>
      <c r="W127" s="33"/>
      <c r="X127" s="33"/>
      <c r="Y127" s="33"/>
      <c r="Z127" s="33"/>
      <c r="AA127" s="33"/>
      <c r="AB127" s="33"/>
      <c r="AC127" s="33"/>
      <c r="AD127" s="33"/>
      <c r="AE127" s="33"/>
      <c r="AF127" s="34"/>
      <c r="AG127" s="24">
        <f t="shared" si="1"/>
        <v>0</v>
      </c>
    </row>
    <row r="128" spans="1:34" ht="123" customHeight="1" x14ac:dyDescent="0.3">
      <c r="A128" s="30" t="s">
        <v>54</v>
      </c>
      <c r="B128" s="31"/>
      <c r="C128" s="50"/>
      <c r="D128" s="50"/>
      <c r="E128" s="50"/>
      <c r="F128" s="50"/>
      <c r="G128" s="50"/>
      <c r="H128" s="45"/>
      <c r="I128" s="45"/>
      <c r="J128" s="45"/>
      <c r="K128" s="45"/>
      <c r="L128" s="45"/>
      <c r="M128" s="45"/>
      <c r="N128" s="45"/>
      <c r="O128" s="45"/>
      <c r="P128" s="45"/>
      <c r="Q128" s="33"/>
      <c r="R128" s="33"/>
      <c r="S128" s="33"/>
      <c r="T128" s="33"/>
      <c r="U128" s="33"/>
      <c r="V128" s="33"/>
      <c r="W128" s="33"/>
      <c r="X128" s="33"/>
      <c r="Y128" s="33"/>
      <c r="Z128" s="33"/>
      <c r="AA128" s="33"/>
      <c r="AB128" s="33"/>
      <c r="AC128" s="33"/>
      <c r="AD128" s="33"/>
      <c r="AE128" s="33"/>
      <c r="AF128" s="34"/>
      <c r="AG128" s="24">
        <f t="shared" si="1"/>
        <v>0</v>
      </c>
    </row>
    <row r="129" spans="1:34" x14ac:dyDescent="0.3">
      <c r="A129" s="69" t="s">
        <v>27</v>
      </c>
      <c r="B129" s="36">
        <f>B131+B132+B130+B133</f>
        <v>60894.599999999991</v>
      </c>
      <c r="C129" s="70">
        <f>C131+C132+C130+C133</f>
        <v>33157.759999999995</v>
      </c>
      <c r="D129" s="70">
        <f>D131+D132+D130+D133</f>
        <v>32223.24</v>
      </c>
      <c r="E129" s="70">
        <f>E131+E132+E130+E133</f>
        <v>32223.24</v>
      </c>
      <c r="F129" s="70">
        <f>IFERROR(E129/B129*100,0)</f>
        <v>52.916416233951793</v>
      </c>
      <c r="G129" s="70">
        <f>IFERROR(E129/C129*100,0)</f>
        <v>97.181594896639595</v>
      </c>
      <c r="H129" s="70">
        <f t="shared" ref="H129:AE129" si="29">H131+H132+H130+H133</f>
        <v>0</v>
      </c>
      <c r="I129" s="70">
        <f t="shared" si="29"/>
        <v>0</v>
      </c>
      <c r="J129" s="70">
        <f t="shared" si="29"/>
        <v>2974.6</v>
      </c>
      <c r="K129" s="70">
        <f t="shared" si="29"/>
        <v>2974.1</v>
      </c>
      <c r="L129" s="70">
        <f t="shared" si="29"/>
        <v>3148.4</v>
      </c>
      <c r="M129" s="70">
        <f t="shared" si="29"/>
        <v>3148.4</v>
      </c>
      <c r="N129" s="70">
        <f t="shared" si="29"/>
        <v>2989.8</v>
      </c>
      <c r="O129" s="70">
        <f t="shared" si="29"/>
        <v>2989.81</v>
      </c>
      <c r="P129" s="70">
        <f t="shared" si="29"/>
        <v>2989.8</v>
      </c>
      <c r="Q129" s="70">
        <f t="shared" si="29"/>
        <v>2989.8</v>
      </c>
      <c r="R129" s="70">
        <f t="shared" si="29"/>
        <v>3757.2</v>
      </c>
      <c r="S129" s="70">
        <f t="shared" si="29"/>
        <v>3740.36</v>
      </c>
      <c r="T129" s="70">
        <f t="shared" si="29"/>
        <v>3500</v>
      </c>
      <c r="U129" s="70">
        <f t="shared" si="29"/>
        <v>3500</v>
      </c>
      <c r="V129" s="70">
        <f t="shared" si="29"/>
        <v>4531.87</v>
      </c>
      <c r="W129" s="70">
        <f t="shared" si="29"/>
        <v>4531.87</v>
      </c>
      <c r="X129" s="70">
        <f t="shared" si="29"/>
        <v>4266.09</v>
      </c>
      <c r="Y129" s="70">
        <f t="shared" si="29"/>
        <v>4283.42</v>
      </c>
      <c r="Z129" s="70">
        <f t="shared" si="29"/>
        <v>5000</v>
      </c>
      <c r="AA129" s="70">
        <f t="shared" si="29"/>
        <v>4065.48</v>
      </c>
      <c r="AB129" s="70">
        <f t="shared" si="29"/>
        <v>0</v>
      </c>
      <c r="AC129" s="70">
        <f t="shared" si="29"/>
        <v>0</v>
      </c>
      <c r="AD129" s="70">
        <f t="shared" si="29"/>
        <v>27736.839999999997</v>
      </c>
      <c r="AE129" s="70">
        <f t="shared" si="29"/>
        <v>0</v>
      </c>
      <c r="AF129" s="34"/>
      <c r="AG129" s="24">
        <f t="shared" si="1"/>
        <v>0</v>
      </c>
    </row>
    <row r="130" spans="1:34" x14ac:dyDescent="0.3">
      <c r="A130" s="77" t="s">
        <v>28</v>
      </c>
      <c r="B130" s="31"/>
      <c r="C130" s="48"/>
      <c r="D130" s="49"/>
      <c r="E130" s="48"/>
      <c r="F130" s="47"/>
      <c r="G130" s="47"/>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4"/>
      <c r="AG130" s="24">
        <f t="shared" si="1"/>
        <v>0</v>
      </c>
    </row>
    <row r="131" spans="1:34" ht="30.75" customHeight="1" x14ac:dyDescent="0.3">
      <c r="A131" s="77" t="s">
        <v>29</v>
      </c>
      <c r="B131" s="31">
        <f>J131+L131+N131+P131+R131+T131+V131+X131+Z131+AB131+AD131+H131</f>
        <v>60894.599999999991</v>
      </c>
      <c r="C131" s="48">
        <f>H131+J131+L131+N131+P131+R131+T131+V131+X131+Z131</f>
        <v>33157.759999999995</v>
      </c>
      <c r="D131" s="49">
        <f>E131</f>
        <v>32223.24</v>
      </c>
      <c r="E131" s="48">
        <f>SUM(I131,K131,M131,O131,Q131,S131,U131,W131,Y131,AA131,AC131,AE131)</f>
        <v>32223.24</v>
      </c>
      <c r="F131" s="47">
        <f>IFERROR(E131/B131*100,0)</f>
        <v>52.916416233951793</v>
      </c>
      <c r="G131" s="47">
        <f>IFERROR(E131/C131*100,0)</f>
        <v>97.181594896639595</v>
      </c>
      <c r="H131" s="33"/>
      <c r="I131" s="33"/>
      <c r="J131" s="33">
        <f>3300-325.4</f>
        <v>2974.6</v>
      </c>
      <c r="K131" s="33">
        <v>2974.1</v>
      </c>
      <c r="L131" s="33">
        <v>3148.4</v>
      </c>
      <c r="M131" s="33">
        <v>3148.4</v>
      </c>
      <c r="N131" s="33">
        <f>2664.4+325.4</f>
        <v>2989.8</v>
      </c>
      <c r="O131" s="33">
        <v>2989.81</v>
      </c>
      <c r="P131" s="33">
        <v>2989.8</v>
      </c>
      <c r="Q131" s="33">
        <v>2989.8</v>
      </c>
      <c r="R131" s="33">
        <v>3757.2</v>
      </c>
      <c r="S131" s="33">
        <v>3740.36</v>
      </c>
      <c r="T131" s="33">
        <v>3500</v>
      </c>
      <c r="U131" s="33">
        <v>3500</v>
      </c>
      <c r="V131" s="33">
        <v>4531.87</v>
      </c>
      <c r="W131" s="33">
        <v>4531.87</v>
      </c>
      <c r="X131" s="33">
        <f>4283.42-17.33</f>
        <v>4266.09</v>
      </c>
      <c r="Y131" s="33">
        <v>4283.42</v>
      </c>
      <c r="Z131" s="33">
        <v>5000</v>
      </c>
      <c r="AA131" s="33">
        <v>4065.48</v>
      </c>
      <c r="AB131" s="33"/>
      <c r="AC131" s="33"/>
      <c r="AD131" s="33">
        <f>60894.6-3300-3148.4-6224.4+3560-6747-8031.87-4283.42+17.33-5000</f>
        <v>27736.839999999997</v>
      </c>
      <c r="AE131" s="33"/>
      <c r="AF131" s="83" t="s">
        <v>53</v>
      </c>
      <c r="AG131" s="24">
        <f>B131-H131-J131-L131-N131-P131-R131-T131-V131-X131-Z131-AB131-AD131</f>
        <v>0</v>
      </c>
      <c r="AH131" s="84">
        <f>C131-E131</f>
        <v>934.51999999999316</v>
      </c>
    </row>
    <row r="132" spans="1:34" x14ac:dyDescent="0.3">
      <c r="A132" s="46" t="s">
        <v>30</v>
      </c>
      <c r="B132" s="47">
        <f>J132+L132+N132+P132+R132+T132+V132+X132+Z132+AB132+AD132+H132</f>
        <v>0</v>
      </c>
      <c r="C132" s="48">
        <f>SUM(H132)</f>
        <v>0</v>
      </c>
      <c r="D132" s="49">
        <f>E132</f>
        <v>0</v>
      </c>
      <c r="E132" s="48">
        <f>SUM(I132,K132,M132,O132,Q132,S132,U132,W132,Y132,AA132,AC132,AE132)</f>
        <v>0</v>
      </c>
      <c r="F132" s="47">
        <f>IFERROR(E132/B132*100,0)</f>
        <v>0</v>
      </c>
      <c r="G132" s="47">
        <f>IFERROR(E132/C132*100,0)</f>
        <v>0</v>
      </c>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4"/>
      <c r="AG132" s="24">
        <f t="shared" si="1"/>
        <v>0</v>
      </c>
    </row>
    <row r="133" spans="1:34" x14ac:dyDescent="0.3">
      <c r="A133" s="46" t="s">
        <v>31</v>
      </c>
      <c r="B133" s="47"/>
      <c r="C133" s="48"/>
      <c r="D133" s="49"/>
      <c r="E133" s="48"/>
      <c r="F133" s="47"/>
      <c r="G133" s="47"/>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4"/>
      <c r="AG133" s="24">
        <f t="shared" si="1"/>
        <v>0</v>
      </c>
    </row>
    <row r="134" spans="1:34" ht="43.5" customHeight="1" x14ac:dyDescent="0.3">
      <c r="A134" s="56" t="s">
        <v>55</v>
      </c>
      <c r="B134" s="26"/>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23"/>
      <c r="AG134" s="24">
        <f t="shared" si="1"/>
        <v>0</v>
      </c>
    </row>
    <row r="135" spans="1:34" x14ac:dyDescent="0.3">
      <c r="A135" s="60" t="s">
        <v>27</v>
      </c>
      <c r="B135" s="26">
        <f>B136+B137+B138+B139</f>
        <v>56633.42482</v>
      </c>
      <c r="C135" s="26">
        <f>C136+C137+C138</f>
        <v>46517.640719999996</v>
      </c>
      <c r="D135" s="26">
        <f>D136+D137+D138</f>
        <v>40741.964599999992</v>
      </c>
      <c r="E135" s="26">
        <f>E136+E137+E138</f>
        <v>40741.964599999992</v>
      </c>
      <c r="F135" s="26">
        <f>IFERROR(E135/B135*100,0)</f>
        <v>71.939785964722432</v>
      </c>
      <c r="G135" s="26">
        <f>IFERROR(E135/C135*100,0)</f>
        <v>87.583901439101169</v>
      </c>
      <c r="H135" s="26">
        <f>H136+H137+H138</f>
        <v>9700</v>
      </c>
      <c r="I135" s="26">
        <f t="shared" ref="I135:AE135" si="30">I136+I137+I138</f>
        <v>0</v>
      </c>
      <c r="J135" s="26">
        <f t="shared" si="30"/>
        <v>0</v>
      </c>
      <c r="K135" s="26">
        <f t="shared" si="30"/>
        <v>8394</v>
      </c>
      <c r="L135" s="26">
        <f t="shared" si="30"/>
        <v>1622.5</v>
      </c>
      <c r="M135" s="26">
        <f t="shared" si="30"/>
        <v>1622.5</v>
      </c>
      <c r="N135" s="26">
        <f t="shared" si="30"/>
        <v>2120.8173200000001</v>
      </c>
      <c r="O135" s="26">
        <f t="shared" si="30"/>
        <v>2107.9</v>
      </c>
      <c r="P135" s="26">
        <f t="shared" si="30"/>
        <v>5538.4589599999999</v>
      </c>
      <c r="Q135" s="26">
        <f t="shared" si="30"/>
        <v>1589.5</v>
      </c>
      <c r="R135" s="26">
        <f t="shared" si="30"/>
        <v>9817.7839399999993</v>
      </c>
      <c r="S135" s="26">
        <f t="shared" si="30"/>
        <v>9185.36</v>
      </c>
      <c r="T135" s="26">
        <f t="shared" si="30"/>
        <v>14606.788</v>
      </c>
      <c r="U135" s="26">
        <f t="shared" si="30"/>
        <v>4391.8999999999996</v>
      </c>
      <c r="V135" s="26">
        <f t="shared" si="30"/>
        <v>560.98</v>
      </c>
      <c r="W135" s="26">
        <f t="shared" si="30"/>
        <v>10938.52</v>
      </c>
      <c r="X135" s="26">
        <f t="shared" si="30"/>
        <v>0</v>
      </c>
      <c r="Y135" s="26">
        <f t="shared" si="30"/>
        <v>2251.5346</v>
      </c>
      <c r="Z135" s="26">
        <f t="shared" si="30"/>
        <v>2550.3125</v>
      </c>
      <c r="AA135" s="26">
        <f t="shared" si="30"/>
        <v>260.75</v>
      </c>
      <c r="AB135" s="26">
        <f t="shared" si="30"/>
        <v>0</v>
      </c>
      <c r="AC135" s="26">
        <f t="shared" si="30"/>
        <v>0</v>
      </c>
      <c r="AD135" s="26">
        <f t="shared" si="30"/>
        <v>2133.9540999999999</v>
      </c>
      <c r="AE135" s="26">
        <f t="shared" si="30"/>
        <v>0</v>
      </c>
      <c r="AF135" s="23"/>
      <c r="AG135" s="24">
        <f t="shared" si="1"/>
        <v>7981.8299999999936</v>
      </c>
    </row>
    <row r="136" spans="1:34" x14ac:dyDescent="0.3">
      <c r="A136" s="61" t="s">
        <v>28</v>
      </c>
      <c r="B136" s="29">
        <f t="shared" ref="B136:E138" si="31">B142+B149</f>
        <v>0</v>
      </c>
      <c r="C136" s="29">
        <f t="shared" si="31"/>
        <v>0</v>
      </c>
      <c r="D136" s="29">
        <f t="shared" si="31"/>
        <v>0</v>
      </c>
      <c r="E136" s="29">
        <f t="shared" si="31"/>
        <v>0</v>
      </c>
      <c r="F136" s="29">
        <f>IFERROR(E136/B136*100,0)</f>
        <v>0</v>
      </c>
      <c r="G136" s="29">
        <f>IFERROR(E136/C136*100,0)</f>
        <v>0</v>
      </c>
      <c r="H136" s="29">
        <f t="shared" ref="H136:AE138" si="32">H142+H149</f>
        <v>0</v>
      </c>
      <c r="I136" s="29">
        <f t="shared" si="32"/>
        <v>0</v>
      </c>
      <c r="J136" s="29">
        <f t="shared" si="32"/>
        <v>0</v>
      </c>
      <c r="K136" s="29">
        <f t="shared" si="32"/>
        <v>0</v>
      </c>
      <c r="L136" s="29">
        <f t="shared" si="32"/>
        <v>0</v>
      </c>
      <c r="M136" s="29">
        <f t="shared" si="32"/>
        <v>0</v>
      </c>
      <c r="N136" s="29">
        <f t="shared" si="32"/>
        <v>0</v>
      </c>
      <c r="O136" s="29">
        <f t="shared" si="32"/>
        <v>0</v>
      </c>
      <c r="P136" s="29">
        <f t="shared" si="32"/>
        <v>0</v>
      </c>
      <c r="Q136" s="29">
        <f t="shared" si="32"/>
        <v>0</v>
      </c>
      <c r="R136" s="29">
        <f t="shared" si="32"/>
        <v>0</v>
      </c>
      <c r="S136" s="29">
        <f t="shared" si="32"/>
        <v>0</v>
      </c>
      <c r="T136" s="29">
        <f t="shared" si="32"/>
        <v>0</v>
      </c>
      <c r="U136" s="29">
        <f t="shared" si="32"/>
        <v>0</v>
      </c>
      <c r="V136" s="29">
        <f t="shared" si="32"/>
        <v>0</v>
      </c>
      <c r="W136" s="29">
        <f t="shared" si="32"/>
        <v>0</v>
      </c>
      <c r="X136" s="29">
        <f t="shared" si="32"/>
        <v>0</v>
      </c>
      <c r="Y136" s="29">
        <f t="shared" si="32"/>
        <v>0</v>
      </c>
      <c r="Z136" s="29">
        <f t="shared" si="32"/>
        <v>0</v>
      </c>
      <c r="AA136" s="29">
        <f t="shared" si="32"/>
        <v>0</v>
      </c>
      <c r="AB136" s="29">
        <f t="shared" si="32"/>
        <v>0</v>
      </c>
      <c r="AC136" s="29">
        <f t="shared" si="32"/>
        <v>0</v>
      </c>
      <c r="AD136" s="29">
        <f t="shared" si="32"/>
        <v>0</v>
      </c>
      <c r="AE136" s="29">
        <f t="shared" si="32"/>
        <v>0</v>
      </c>
      <c r="AF136" s="23"/>
      <c r="AG136" s="24">
        <f t="shared" si="1"/>
        <v>0</v>
      </c>
    </row>
    <row r="137" spans="1:34" x14ac:dyDescent="0.3">
      <c r="A137" s="61" t="s">
        <v>29</v>
      </c>
      <c r="B137" s="29">
        <f t="shared" si="31"/>
        <v>26988.297500000001</v>
      </c>
      <c r="C137" s="29">
        <f t="shared" si="31"/>
        <v>26349.1505</v>
      </c>
      <c r="D137" s="29">
        <f t="shared" si="31"/>
        <v>22744.414599999996</v>
      </c>
      <c r="E137" s="29">
        <f t="shared" si="31"/>
        <v>22744.414599999996</v>
      </c>
      <c r="F137" s="29">
        <f>IFERROR(E137/B137*100,0)</f>
        <v>84.27509960567167</v>
      </c>
      <c r="G137" s="29">
        <f>IFERROR(E137/C137*100,0)</f>
        <v>86.319346803988978</v>
      </c>
      <c r="H137" s="29">
        <f t="shared" si="32"/>
        <v>9700</v>
      </c>
      <c r="I137" s="29">
        <f t="shared" si="32"/>
        <v>0</v>
      </c>
      <c r="J137" s="29">
        <f t="shared" si="32"/>
        <v>0</v>
      </c>
      <c r="K137" s="29">
        <f t="shared" si="32"/>
        <v>8394</v>
      </c>
      <c r="L137" s="29">
        <f t="shared" si="32"/>
        <v>0</v>
      </c>
      <c r="M137" s="29">
        <f t="shared" si="32"/>
        <v>0</v>
      </c>
      <c r="N137" s="29">
        <f t="shared" si="32"/>
        <v>1587.72</v>
      </c>
      <c r="O137" s="29">
        <f t="shared" si="32"/>
        <v>1574.8</v>
      </c>
      <c r="P137" s="29">
        <f t="shared" si="32"/>
        <v>0</v>
      </c>
      <c r="Q137" s="29">
        <f t="shared" si="32"/>
        <v>0</v>
      </c>
      <c r="R137" s="29">
        <f t="shared" si="32"/>
        <v>4450</v>
      </c>
      <c r="S137" s="29">
        <f t="shared" si="32"/>
        <v>16.84</v>
      </c>
      <c r="T137" s="29">
        <f t="shared" si="32"/>
        <v>9023.7080000000005</v>
      </c>
      <c r="U137" s="29">
        <f t="shared" si="32"/>
        <v>3281.9</v>
      </c>
      <c r="V137" s="29">
        <f t="shared" si="32"/>
        <v>0</v>
      </c>
      <c r="W137" s="29">
        <f t="shared" si="32"/>
        <v>7225.34</v>
      </c>
      <c r="X137" s="29">
        <f t="shared" si="32"/>
        <v>0</v>
      </c>
      <c r="Y137" s="29">
        <f t="shared" si="32"/>
        <v>2251.5346</v>
      </c>
      <c r="Z137" s="29">
        <f t="shared" si="32"/>
        <v>1587.7225000000001</v>
      </c>
      <c r="AA137" s="29">
        <f t="shared" si="32"/>
        <v>0</v>
      </c>
      <c r="AB137" s="29">
        <f t="shared" si="32"/>
        <v>0</v>
      </c>
      <c r="AC137" s="29">
        <f t="shared" si="32"/>
        <v>0</v>
      </c>
      <c r="AD137" s="29">
        <f t="shared" si="32"/>
        <v>639.14699999999993</v>
      </c>
      <c r="AE137" s="29">
        <f t="shared" si="32"/>
        <v>0</v>
      </c>
      <c r="AF137" s="23"/>
      <c r="AG137" s="24">
        <f t="shared" si="1"/>
        <v>0</v>
      </c>
    </row>
    <row r="138" spans="1:34" x14ac:dyDescent="0.3">
      <c r="A138" s="61" t="s">
        <v>30</v>
      </c>
      <c r="B138" s="29">
        <f t="shared" si="31"/>
        <v>21663.297320000001</v>
      </c>
      <c r="C138" s="29">
        <f t="shared" si="31"/>
        <v>20168.49022</v>
      </c>
      <c r="D138" s="29">
        <f t="shared" si="31"/>
        <v>17997.55</v>
      </c>
      <c r="E138" s="29">
        <f t="shared" si="31"/>
        <v>17997.55</v>
      </c>
      <c r="F138" s="29">
        <f>IFERROR(E138/B138*100,0)</f>
        <v>83.078534786965648</v>
      </c>
      <c r="G138" s="29">
        <f>IFERROR(E138/C138*100,0)</f>
        <v>89.235980500676263</v>
      </c>
      <c r="H138" s="29">
        <f t="shared" si="32"/>
        <v>0</v>
      </c>
      <c r="I138" s="29">
        <f t="shared" si="32"/>
        <v>0</v>
      </c>
      <c r="J138" s="29">
        <f t="shared" si="32"/>
        <v>0</v>
      </c>
      <c r="K138" s="29">
        <f t="shared" si="32"/>
        <v>0</v>
      </c>
      <c r="L138" s="29">
        <f t="shared" si="32"/>
        <v>1622.5</v>
      </c>
      <c r="M138" s="29">
        <f t="shared" si="32"/>
        <v>1622.5</v>
      </c>
      <c r="N138" s="29">
        <f t="shared" si="32"/>
        <v>533.09732000000008</v>
      </c>
      <c r="O138" s="29">
        <f t="shared" si="32"/>
        <v>533.1</v>
      </c>
      <c r="P138" s="29">
        <f t="shared" si="32"/>
        <v>5538.4589599999999</v>
      </c>
      <c r="Q138" s="29">
        <f t="shared" si="32"/>
        <v>1589.5</v>
      </c>
      <c r="R138" s="29">
        <f t="shared" si="32"/>
        <v>5367.7839399999993</v>
      </c>
      <c r="S138" s="29">
        <f t="shared" si="32"/>
        <v>9168.52</v>
      </c>
      <c r="T138" s="29">
        <f t="shared" si="32"/>
        <v>5583.08</v>
      </c>
      <c r="U138" s="29">
        <f t="shared" si="32"/>
        <v>1110</v>
      </c>
      <c r="V138" s="29">
        <f t="shared" si="32"/>
        <v>560.98</v>
      </c>
      <c r="W138" s="29">
        <f t="shared" si="32"/>
        <v>3713.18</v>
      </c>
      <c r="X138" s="29">
        <f t="shared" si="32"/>
        <v>0</v>
      </c>
      <c r="Y138" s="29">
        <f t="shared" si="32"/>
        <v>0</v>
      </c>
      <c r="Z138" s="29">
        <f t="shared" si="32"/>
        <v>962.59</v>
      </c>
      <c r="AA138" s="29">
        <f t="shared" si="32"/>
        <v>260.75</v>
      </c>
      <c r="AB138" s="29">
        <f t="shared" si="32"/>
        <v>0</v>
      </c>
      <c r="AC138" s="29">
        <f t="shared" si="32"/>
        <v>0</v>
      </c>
      <c r="AD138" s="29">
        <f t="shared" si="32"/>
        <v>1494.8071</v>
      </c>
      <c r="AE138" s="29">
        <f t="shared" si="32"/>
        <v>0</v>
      </c>
      <c r="AF138" s="23"/>
      <c r="AG138" s="24">
        <f t="shared" ref="AG138:AG366" si="33">B138-H138-J138-L138-N138-P138-R138-T138-V138-X138-Z138-AB138-AD138</f>
        <v>0</v>
      </c>
    </row>
    <row r="139" spans="1:34" x14ac:dyDescent="0.3">
      <c r="A139" s="61" t="s">
        <v>31</v>
      </c>
      <c r="B139" s="29">
        <f>B146+B152</f>
        <v>7981.83</v>
      </c>
      <c r="C139" s="29">
        <f>C146+C152</f>
        <v>7981.83</v>
      </c>
      <c r="D139" s="29">
        <f>D146+D152</f>
        <v>7981.83</v>
      </c>
      <c r="E139" s="29">
        <f>E146+E152</f>
        <v>7981.83</v>
      </c>
      <c r="F139" s="29">
        <f>IFERROR(E139/B139*100,0)</f>
        <v>100</v>
      </c>
      <c r="G139" s="29">
        <f>IFERROR(E139/C139*100,0)</f>
        <v>100</v>
      </c>
      <c r="H139" s="29">
        <f t="shared" ref="H139:AE139" si="34">H146+H152</f>
        <v>0</v>
      </c>
      <c r="I139" s="29">
        <f t="shared" si="34"/>
        <v>0</v>
      </c>
      <c r="J139" s="29">
        <f t="shared" si="34"/>
        <v>0</v>
      </c>
      <c r="K139" s="29">
        <f t="shared" si="34"/>
        <v>0</v>
      </c>
      <c r="L139" s="29">
        <f t="shared" si="34"/>
        <v>0</v>
      </c>
      <c r="M139" s="29">
        <f t="shared" si="34"/>
        <v>0</v>
      </c>
      <c r="N139" s="29">
        <f t="shared" si="34"/>
        <v>0</v>
      </c>
      <c r="O139" s="29">
        <f t="shared" si="34"/>
        <v>0</v>
      </c>
      <c r="P139" s="29">
        <f t="shared" si="34"/>
        <v>5700</v>
      </c>
      <c r="Q139" s="29">
        <f t="shared" si="34"/>
        <v>5700</v>
      </c>
      <c r="R139" s="29">
        <f t="shared" si="34"/>
        <v>2281.83</v>
      </c>
      <c r="S139" s="29">
        <f t="shared" si="34"/>
        <v>2281.83</v>
      </c>
      <c r="T139" s="29">
        <f t="shared" si="34"/>
        <v>0</v>
      </c>
      <c r="U139" s="29">
        <f t="shared" si="34"/>
        <v>0</v>
      </c>
      <c r="V139" s="29">
        <f t="shared" si="34"/>
        <v>0</v>
      </c>
      <c r="W139" s="29">
        <f t="shared" si="34"/>
        <v>0</v>
      </c>
      <c r="X139" s="29">
        <f t="shared" si="34"/>
        <v>0</v>
      </c>
      <c r="Y139" s="29">
        <f t="shared" si="34"/>
        <v>0</v>
      </c>
      <c r="Z139" s="29">
        <f t="shared" si="34"/>
        <v>0</v>
      </c>
      <c r="AA139" s="29">
        <f t="shared" si="34"/>
        <v>0</v>
      </c>
      <c r="AB139" s="29">
        <f t="shared" si="34"/>
        <v>0</v>
      </c>
      <c r="AC139" s="29">
        <f t="shared" si="34"/>
        <v>0</v>
      </c>
      <c r="AD139" s="29">
        <f t="shared" si="34"/>
        <v>0</v>
      </c>
      <c r="AE139" s="29">
        <f t="shared" si="34"/>
        <v>0</v>
      </c>
      <c r="AF139" s="23"/>
      <c r="AG139" s="24">
        <f t="shared" si="33"/>
        <v>0</v>
      </c>
    </row>
    <row r="140" spans="1:34" ht="243.75" x14ac:dyDescent="0.3">
      <c r="A140" s="30" t="s">
        <v>56</v>
      </c>
      <c r="B140" s="36"/>
      <c r="C140" s="65"/>
      <c r="D140" s="65"/>
      <c r="E140" s="65"/>
      <c r="F140" s="65"/>
      <c r="G140" s="65"/>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4"/>
      <c r="AG140" s="24">
        <f t="shared" si="33"/>
        <v>0</v>
      </c>
    </row>
    <row r="141" spans="1:34" s="41" customFormat="1" x14ac:dyDescent="0.3">
      <c r="A141" s="35" t="s">
        <v>27</v>
      </c>
      <c r="B141" s="36">
        <f>B143+B144+B142+B146</f>
        <v>54461.427500000005</v>
      </c>
      <c r="C141" s="36">
        <f>C143+C144+C142+C146</f>
        <v>52327.473400000003</v>
      </c>
      <c r="D141" s="36">
        <f>D143+D144+D142+D146</f>
        <v>46551.794599999994</v>
      </c>
      <c r="E141" s="36">
        <f>E143+E144+E142+E146</f>
        <v>46551.794599999994</v>
      </c>
      <c r="F141" s="36">
        <f>IFERROR(E141/B141*100,0)</f>
        <v>85.476633163903003</v>
      </c>
      <c r="G141" s="36">
        <f>IFERROR(E141/C141*100,0)</f>
        <v>88.962435170814103</v>
      </c>
      <c r="H141" s="36">
        <f t="shared" ref="H141:AE141" si="35">H143+H144+H142+H146</f>
        <v>9700</v>
      </c>
      <c r="I141" s="36">
        <f t="shared" si="35"/>
        <v>0</v>
      </c>
      <c r="J141" s="36">
        <f t="shared" si="35"/>
        <v>0</v>
      </c>
      <c r="K141" s="36">
        <f t="shared" si="35"/>
        <v>8394</v>
      </c>
      <c r="L141" s="36">
        <f>L143+L144+L142+L146</f>
        <v>1622.5</v>
      </c>
      <c r="M141" s="36">
        <f t="shared" si="35"/>
        <v>1622.5</v>
      </c>
      <c r="N141" s="38">
        <f>N143+N144+N142+N146</f>
        <v>2116.92</v>
      </c>
      <c r="O141" s="38">
        <f t="shared" si="35"/>
        <v>2104</v>
      </c>
      <c r="P141" s="38">
        <f t="shared" si="35"/>
        <v>10584.658960000001</v>
      </c>
      <c r="Q141" s="38">
        <f t="shared" si="35"/>
        <v>6635.7</v>
      </c>
      <c r="R141" s="38">
        <f t="shared" si="35"/>
        <v>11469.79394</v>
      </c>
      <c r="S141" s="38">
        <f t="shared" si="35"/>
        <v>10984.37</v>
      </c>
      <c r="T141" s="38">
        <f t="shared" si="35"/>
        <v>14283.288</v>
      </c>
      <c r="U141" s="38">
        <f t="shared" si="35"/>
        <v>3921.4</v>
      </c>
      <c r="V141" s="38">
        <f t="shared" si="35"/>
        <v>0</v>
      </c>
      <c r="W141" s="38">
        <f t="shared" si="35"/>
        <v>10377.540000000001</v>
      </c>
      <c r="X141" s="38">
        <f t="shared" si="35"/>
        <v>0</v>
      </c>
      <c r="Y141" s="36">
        <f t="shared" si="35"/>
        <v>2251.5346</v>
      </c>
      <c r="Z141" s="36">
        <f t="shared" si="35"/>
        <v>2550.3125</v>
      </c>
      <c r="AA141" s="36">
        <f t="shared" si="35"/>
        <v>260.75</v>
      </c>
      <c r="AB141" s="36">
        <f t="shared" si="35"/>
        <v>0</v>
      </c>
      <c r="AC141" s="36">
        <f t="shared" si="35"/>
        <v>0</v>
      </c>
      <c r="AD141" s="51">
        <f t="shared" si="35"/>
        <v>2133.9540999999999</v>
      </c>
      <c r="AE141" s="36">
        <f t="shared" si="35"/>
        <v>0</v>
      </c>
      <c r="AF141" s="39"/>
      <c r="AG141" s="40">
        <f t="shared" si="33"/>
        <v>6.3664629124104977E-12</v>
      </c>
    </row>
    <row r="142" spans="1:34" s="41" customFormat="1" x14ac:dyDescent="0.3">
      <c r="A142" s="42" t="s">
        <v>28</v>
      </c>
      <c r="B142" s="31"/>
      <c r="C142" s="43"/>
      <c r="D142" s="44"/>
      <c r="E142" s="43"/>
      <c r="F142" s="31"/>
      <c r="G142" s="31"/>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39"/>
      <c r="AG142" s="40">
        <f t="shared" si="33"/>
        <v>0</v>
      </c>
    </row>
    <row r="143" spans="1:34" s="41" customFormat="1" ht="93.75" x14ac:dyDescent="0.3">
      <c r="A143" s="42" t="s">
        <v>29</v>
      </c>
      <c r="B143" s="31">
        <f>J143+L143+N143+P143+R143+T143+V143+X143+Z143+AB143+AD143+H143</f>
        <v>26988.297500000001</v>
      </c>
      <c r="C143" s="43">
        <f>H143+J143+L143+N143+P143+R143+T143+V143+X143+Z143</f>
        <v>26349.1505</v>
      </c>
      <c r="D143" s="44">
        <f>E143</f>
        <v>22744.414599999996</v>
      </c>
      <c r="E143" s="43">
        <f>SUM(I143,K143,M143,O143,Q143,S143,U143,W143,Y143,AA143,AC143,AE143)</f>
        <v>22744.414599999996</v>
      </c>
      <c r="F143" s="31">
        <f>IFERROR(E143/B143*100,0)</f>
        <v>84.27509960567167</v>
      </c>
      <c r="G143" s="31">
        <f>IFERROR(E143/C143*100,0)</f>
        <v>86.319346803988978</v>
      </c>
      <c r="H143" s="45">
        <v>9700</v>
      </c>
      <c r="I143" s="45"/>
      <c r="J143" s="45"/>
      <c r="K143" s="45">
        <v>8394</v>
      </c>
      <c r="L143" s="45"/>
      <c r="M143" s="45"/>
      <c r="N143" s="45">
        <v>1587.72</v>
      </c>
      <c r="O143" s="45">
        <v>1574.8</v>
      </c>
      <c r="P143" s="45"/>
      <c r="Q143" s="45"/>
      <c r="R143" s="45">
        <v>4450</v>
      </c>
      <c r="S143" s="45">
        <v>16.84</v>
      </c>
      <c r="T143" s="45">
        <v>9023.7080000000005</v>
      </c>
      <c r="U143" s="45">
        <v>3281.9</v>
      </c>
      <c r="V143" s="45"/>
      <c r="W143" s="45">
        <v>7225.34</v>
      </c>
      <c r="X143" s="45"/>
      <c r="Y143" s="45">
        <v>2251.5346</v>
      </c>
      <c r="Z143" s="45">
        <v>1587.7225000000001</v>
      </c>
      <c r="AA143" s="45"/>
      <c r="AB143" s="45"/>
      <c r="AC143" s="45"/>
      <c r="AD143" s="45">
        <f>4055.047-3415.9</f>
        <v>639.14699999999993</v>
      </c>
      <c r="AE143" s="45"/>
      <c r="AF143" s="85" t="s">
        <v>57</v>
      </c>
      <c r="AG143" s="40">
        <f t="shared" si="33"/>
        <v>0</v>
      </c>
      <c r="AH143" s="86">
        <f>C143-E143</f>
        <v>3604.7359000000033</v>
      </c>
    </row>
    <row r="144" spans="1:34" s="41" customFormat="1" x14ac:dyDescent="0.3">
      <c r="A144" s="42" t="s">
        <v>30</v>
      </c>
      <c r="B144" s="31">
        <f>J144+L144+N144+P144+R144+T144+V144+X144+Z144+AB144+AD144+H144</f>
        <v>19491.300000000003</v>
      </c>
      <c r="C144" s="43">
        <f>SUM(H144+J144+L144+N144+P144+R144+T144+V144+X144+Z144)</f>
        <v>17996.492900000001</v>
      </c>
      <c r="D144" s="44">
        <f>E144</f>
        <v>15825.55</v>
      </c>
      <c r="E144" s="43">
        <f>SUM(I144,K144,M144,O144,Q144,S144,U144,W144,Y144,AA144,AC144,AE144)</f>
        <v>15825.55</v>
      </c>
      <c r="F144" s="31">
        <f>IFERROR(E144/B144*100,0)</f>
        <v>81.192891187350241</v>
      </c>
      <c r="G144" s="31">
        <f>IFERROR(E144/C144*100,0)</f>
        <v>87.936855741487264</v>
      </c>
      <c r="H144" s="45"/>
      <c r="I144" s="45"/>
      <c r="J144" s="45"/>
      <c r="K144" s="45"/>
      <c r="L144" s="45">
        <f>1500+122.5</f>
        <v>1622.5</v>
      </c>
      <c r="M144" s="45">
        <v>1622.5</v>
      </c>
      <c r="N144" s="45">
        <v>529.20000000000005</v>
      </c>
      <c r="O144" s="45">
        <v>529.20000000000005</v>
      </c>
      <c r="P144" s="45">
        <v>4884.6589599999998</v>
      </c>
      <c r="Q144" s="45">
        <v>935.7</v>
      </c>
      <c r="R144" s="45">
        <v>4737.9639399999996</v>
      </c>
      <c r="S144" s="45">
        <f>8686.92-1.22</f>
        <v>8685.7000000000007</v>
      </c>
      <c r="T144" s="45">
        <v>5259.58</v>
      </c>
      <c r="U144" s="45">
        <v>639.5</v>
      </c>
      <c r="V144" s="45"/>
      <c r="W144" s="45">
        <v>3152.2</v>
      </c>
      <c r="X144" s="45"/>
      <c r="Y144" s="45"/>
      <c r="Z144" s="45">
        <v>962.59</v>
      </c>
      <c r="AA144" s="45">
        <v>260.75</v>
      </c>
      <c r="AB144" s="45"/>
      <c r="AC144" s="45"/>
      <c r="AD144" s="45">
        <f>1643.8071-149</f>
        <v>1494.8071</v>
      </c>
      <c r="AE144" s="45"/>
      <c r="AF144" s="39"/>
      <c r="AG144" s="40">
        <f t="shared" si="33"/>
        <v>1.8189894035458565E-12</v>
      </c>
    </row>
    <row r="145" spans="1:33" s="41" customFormat="1" x14ac:dyDescent="0.3">
      <c r="A145" s="42" t="s">
        <v>58</v>
      </c>
      <c r="B145" s="31">
        <f>J145+L145+N145+P145+R145+T145+V145+X145+Z145+AB145+AD145+H145</f>
        <v>3188.3999999999996</v>
      </c>
      <c r="C145" s="43">
        <f>SUM(H145+J145+L145+N145+P145+R145+T145+V145+X145+Z145)</f>
        <v>3164.16</v>
      </c>
      <c r="D145" s="44">
        <f>E145</f>
        <v>2633.92</v>
      </c>
      <c r="E145" s="43">
        <f>SUM(I145,K145,M145,O145,Q145,S145,U145,W145,Y145,AA145,AC145,AE145)</f>
        <v>2633.92</v>
      </c>
      <c r="F145" s="31">
        <f>IFERROR(E145/B145*100,0)</f>
        <v>82.609459289925994</v>
      </c>
      <c r="G145" s="31">
        <f>IFERROR(E145/C145*100,0)</f>
        <v>83.242313915857608</v>
      </c>
      <c r="H145" s="45"/>
      <c r="I145" s="45"/>
      <c r="J145" s="45"/>
      <c r="K145" s="45"/>
      <c r="L145" s="45"/>
      <c r="M145" s="45"/>
      <c r="N145" s="45">
        <v>529.20000000000005</v>
      </c>
      <c r="O145" s="45">
        <v>529.20000000000005</v>
      </c>
      <c r="P145" s="45">
        <v>500</v>
      </c>
      <c r="Q145" s="45">
        <v>500</v>
      </c>
      <c r="R145" s="45">
        <v>192</v>
      </c>
      <c r="S145" s="45">
        <v>192</v>
      </c>
      <c r="T145" s="45">
        <v>1000</v>
      </c>
      <c r="U145" s="45">
        <v>1000</v>
      </c>
      <c r="V145" s="45">
        <f>500-86.24</f>
        <v>413.76</v>
      </c>
      <c r="W145" s="45">
        <v>412.72</v>
      </c>
      <c r="X145" s="45"/>
      <c r="Y145" s="45"/>
      <c r="Z145" s="45">
        <f>529.2</f>
        <v>529.20000000000005</v>
      </c>
      <c r="AA145" s="45"/>
      <c r="AB145" s="45"/>
      <c r="AC145" s="45"/>
      <c r="AD145" s="45">
        <v>24.24</v>
      </c>
      <c r="AE145" s="45"/>
      <c r="AF145" s="39"/>
      <c r="AG145" s="40"/>
    </row>
    <row r="146" spans="1:33" s="41" customFormat="1" x14ac:dyDescent="0.3">
      <c r="A146" s="30" t="s">
        <v>31</v>
      </c>
      <c r="B146" s="31">
        <f>J146+L146+N146+P146+R146+T146+V146+X146+Z146+AB146+AD146+H146</f>
        <v>7981.83</v>
      </c>
      <c r="C146" s="43">
        <f>SUM(H146+J146+L146+N146+P146+R146)</f>
        <v>7981.83</v>
      </c>
      <c r="D146" s="44">
        <f>E146</f>
        <v>7981.83</v>
      </c>
      <c r="E146" s="43">
        <f>SUM(I146,K146,M146,O146,Q146,S146,U146,W146,Y146,AA146,AC146,AE146)</f>
        <v>7981.83</v>
      </c>
      <c r="F146" s="31">
        <f>IFERROR(E146/B146*100,0)</f>
        <v>100</v>
      </c>
      <c r="G146" s="31">
        <f>IFERROR(E146/C146*100,0)</f>
        <v>100</v>
      </c>
      <c r="H146" s="45"/>
      <c r="I146" s="45"/>
      <c r="J146" s="45"/>
      <c r="K146" s="45"/>
      <c r="L146" s="45"/>
      <c r="M146" s="45"/>
      <c r="N146" s="45"/>
      <c r="O146" s="45"/>
      <c r="P146" s="45">
        <v>5700</v>
      </c>
      <c r="Q146" s="45">
        <v>5700</v>
      </c>
      <c r="R146" s="45">
        <f>1970.48+311.35</f>
        <v>2281.83</v>
      </c>
      <c r="S146" s="45">
        <f>1970.48+311.35</f>
        <v>2281.83</v>
      </c>
      <c r="T146" s="45"/>
      <c r="U146" s="45"/>
      <c r="V146" s="45"/>
      <c r="W146" s="45"/>
      <c r="X146" s="45"/>
      <c r="Y146" s="45"/>
      <c r="Z146" s="45"/>
      <c r="AA146" s="45"/>
      <c r="AB146" s="45"/>
      <c r="AC146" s="45"/>
      <c r="AD146" s="45"/>
      <c r="AE146" s="45"/>
      <c r="AF146" s="39"/>
      <c r="AG146" s="40">
        <f t="shared" si="33"/>
        <v>0</v>
      </c>
    </row>
    <row r="147" spans="1:33" s="41" customFormat="1" ht="131.25" x14ac:dyDescent="0.3">
      <c r="A147" s="30" t="s">
        <v>59</v>
      </c>
      <c r="B147" s="36"/>
      <c r="C147" s="51"/>
      <c r="D147" s="51"/>
      <c r="E147" s="51"/>
      <c r="F147" s="51"/>
      <c r="G147" s="51"/>
      <c r="H147" s="45"/>
      <c r="I147" s="45"/>
      <c r="J147" s="45"/>
      <c r="K147" s="45"/>
      <c r="L147" s="45"/>
      <c r="M147" s="45"/>
      <c r="N147" s="45"/>
      <c r="O147" s="45"/>
      <c r="P147" s="45"/>
      <c r="Q147" s="45"/>
      <c r="R147" s="52"/>
      <c r="S147" s="45"/>
      <c r="T147" s="45"/>
      <c r="U147" s="45"/>
      <c r="V147" s="45"/>
      <c r="W147" s="45"/>
      <c r="X147" s="45"/>
      <c r="Y147" s="45"/>
      <c r="Z147" s="45"/>
      <c r="AA147" s="45"/>
      <c r="AB147" s="45"/>
      <c r="AC147" s="45"/>
      <c r="AD147" s="45"/>
      <c r="AE147" s="45"/>
      <c r="AF147" s="39"/>
      <c r="AG147" s="40">
        <f t="shared" si="33"/>
        <v>0</v>
      </c>
    </row>
    <row r="148" spans="1:33" s="41" customFormat="1" x14ac:dyDescent="0.3">
      <c r="A148" s="35" t="s">
        <v>27</v>
      </c>
      <c r="B148" s="36">
        <f>B150+B151+B149+B152</f>
        <v>2171.9973199999999</v>
      </c>
      <c r="C148" s="36">
        <f>C150+C151+C149+C152</f>
        <v>2171.9973199999999</v>
      </c>
      <c r="D148" s="36">
        <f>D150+D151+D149+D152</f>
        <v>2172</v>
      </c>
      <c r="E148" s="36">
        <f>E150+E151+E149+E152</f>
        <v>2172</v>
      </c>
      <c r="F148" s="36">
        <f>IFERROR(E148/B148*100,0)</f>
        <v>100.00012338873421</v>
      </c>
      <c r="G148" s="36">
        <f>IFERROR(E148/C148*100,0)</f>
        <v>100.00012338873421</v>
      </c>
      <c r="H148" s="36">
        <f t="shared" ref="H148:AE148" si="36">H150+H151+H149+H152</f>
        <v>0</v>
      </c>
      <c r="I148" s="36">
        <f t="shared" si="36"/>
        <v>0</v>
      </c>
      <c r="J148" s="36">
        <f t="shared" si="36"/>
        <v>0</v>
      </c>
      <c r="K148" s="36">
        <f t="shared" si="36"/>
        <v>0</v>
      </c>
      <c r="L148" s="36">
        <f t="shared" si="36"/>
        <v>0</v>
      </c>
      <c r="M148" s="36">
        <f t="shared" si="36"/>
        <v>0</v>
      </c>
      <c r="N148" s="36">
        <f t="shared" si="36"/>
        <v>3.8973200000000001</v>
      </c>
      <c r="O148" s="36">
        <f t="shared" si="36"/>
        <v>3.9</v>
      </c>
      <c r="P148" s="36">
        <f t="shared" si="36"/>
        <v>653.79999999999995</v>
      </c>
      <c r="Q148" s="36">
        <f t="shared" si="36"/>
        <v>653.79999999999995</v>
      </c>
      <c r="R148" s="36">
        <f t="shared" si="36"/>
        <v>629.82000000000005</v>
      </c>
      <c r="S148" s="36">
        <f t="shared" si="36"/>
        <v>482.82</v>
      </c>
      <c r="T148" s="36">
        <f t="shared" si="36"/>
        <v>323.5</v>
      </c>
      <c r="U148" s="36">
        <f t="shared" si="36"/>
        <v>470.5</v>
      </c>
      <c r="V148" s="36">
        <f t="shared" si="36"/>
        <v>560.98</v>
      </c>
      <c r="W148" s="36">
        <f t="shared" si="36"/>
        <v>560.98</v>
      </c>
      <c r="X148" s="36">
        <f t="shared" si="36"/>
        <v>0</v>
      </c>
      <c r="Y148" s="36">
        <f t="shared" si="36"/>
        <v>0</v>
      </c>
      <c r="Z148" s="36">
        <f t="shared" si="36"/>
        <v>0</v>
      </c>
      <c r="AA148" s="36">
        <f t="shared" si="36"/>
        <v>0</v>
      </c>
      <c r="AB148" s="36">
        <f t="shared" si="36"/>
        <v>0</v>
      </c>
      <c r="AC148" s="36">
        <f t="shared" si="36"/>
        <v>0</v>
      </c>
      <c r="AD148" s="36">
        <f t="shared" si="36"/>
        <v>0</v>
      </c>
      <c r="AE148" s="36">
        <f t="shared" si="36"/>
        <v>0</v>
      </c>
      <c r="AF148" s="39"/>
      <c r="AG148" s="40">
        <f t="shared" si="33"/>
        <v>-1.1368683772161603E-13</v>
      </c>
    </row>
    <row r="149" spans="1:33" x14ac:dyDescent="0.3">
      <c r="A149" s="42" t="s">
        <v>28</v>
      </c>
      <c r="B149" s="31"/>
      <c r="C149" s="48"/>
      <c r="D149" s="49"/>
      <c r="E149" s="48"/>
      <c r="F149" s="47"/>
      <c r="G149" s="47"/>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4"/>
      <c r="AG149" s="24">
        <f t="shared" si="33"/>
        <v>0</v>
      </c>
    </row>
    <row r="150" spans="1:33" x14ac:dyDescent="0.3">
      <c r="A150" s="42" t="s">
        <v>29</v>
      </c>
      <c r="B150" s="31"/>
      <c r="C150" s="48"/>
      <c r="D150" s="49"/>
      <c r="E150" s="48"/>
      <c r="F150" s="47"/>
      <c r="G150" s="47"/>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4"/>
      <c r="AG150" s="24">
        <f t="shared" si="33"/>
        <v>0</v>
      </c>
    </row>
    <row r="151" spans="1:33" x14ac:dyDescent="0.3">
      <c r="A151" s="46" t="s">
        <v>30</v>
      </c>
      <c r="B151" s="47">
        <f>J151+L151+N151+P151+R151+T151+V151+X151+Z151+AB151+AD151+H151</f>
        <v>2171.9973199999999</v>
      </c>
      <c r="C151" s="48">
        <f>H151+J151+L151+N151+P151+R151+T151+V151</f>
        <v>2171.9973199999999</v>
      </c>
      <c r="D151" s="49">
        <f>E151</f>
        <v>2172</v>
      </c>
      <c r="E151" s="48">
        <f>I151+K151+M151+O151+Q151+S151+U151+W151</f>
        <v>2172</v>
      </c>
      <c r="F151" s="47">
        <f>IFERROR(E151/B151*100,0)</f>
        <v>100.00012338873421</v>
      </c>
      <c r="G151" s="47">
        <f>IFERROR(E151/C151*100,0)</f>
        <v>100.00012338873421</v>
      </c>
      <c r="H151" s="33"/>
      <c r="I151" s="33"/>
      <c r="J151" s="33"/>
      <c r="K151" s="33"/>
      <c r="L151" s="33"/>
      <c r="M151" s="33"/>
      <c r="N151" s="33">
        <v>3.8973200000000001</v>
      </c>
      <c r="O151" s="33">
        <v>3.9</v>
      </c>
      <c r="P151" s="33">
        <v>653.79999999999995</v>
      </c>
      <c r="Q151" s="33">
        <v>653.79999999999995</v>
      </c>
      <c r="R151" s="33">
        <f>565.6+64.22</f>
        <v>629.82000000000005</v>
      </c>
      <c r="S151" s="33">
        <v>482.82</v>
      </c>
      <c r="T151" s="33">
        <v>323.5</v>
      </c>
      <c r="U151" s="33">
        <f>147+323.5</f>
        <v>470.5</v>
      </c>
      <c r="V151" s="33">
        <f>138.18+422.8</f>
        <v>560.98</v>
      </c>
      <c r="W151" s="33">
        <v>560.98</v>
      </c>
      <c r="X151" s="33"/>
      <c r="Y151" s="33"/>
      <c r="Z151" s="33"/>
      <c r="AA151" s="33"/>
      <c r="AB151" s="33"/>
      <c r="AC151" s="33"/>
      <c r="AD151" s="33"/>
      <c r="AE151" s="33"/>
      <c r="AF151" s="34"/>
      <c r="AG151" s="24">
        <f t="shared" si="33"/>
        <v>-1.1368683772161603E-13</v>
      </c>
    </row>
    <row r="152" spans="1:33" x14ac:dyDescent="0.3">
      <c r="A152" s="87" t="s">
        <v>31</v>
      </c>
      <c r="B152" s="47"/>
      <c r="C152" s="48"/>
      <c r="D152" s="49"/>
      <c r="E152" s="48"/>
      <c r="F152" s="47"/>
      <c r="G152" s="47"/>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4"/>
      <c r="AG152" s="24">
        <f t="shared" si="33"/>
        <v>0</v>
      </c>
    </row>
    <row r="153" spans="1:33" x14ac:dyDescent="0.3">
      <c r="A153" s="16" t="s">
        <v>60</v>
      </c>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8"/>
      <c r="AG153" s="24">
        <f t="shared" si="33"/>
        <v>0</v>
      </c>
    </row>
    <row r="154" spans="1:33" x14ac:dyDescent="0.3">
      <c r="A154" s="16" t="s">
        <v>34</v>
      </c>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8"/>
      <c r="AG154" s="24">
        <f t="shared" si="33"/>
        <v>0</v>
      </c>
    </row>
    <row r="155" spans="1:33" ht="120.75" customHeight="1" x14ac:dyDescent="0.3">
      <c r="A155" s="56" t="s">
        <v>61</v>
      </c>
      <c r="B155" s="88"/>
      <c r="C155" s="89"/>
      <c r="D155" s="89"/>
      <c r="E155" s="89"/>
      <c r="F155" s="89"/>
      <c r="G155" s="89"/>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23"/>
      <c r="AG155" s="24">
        <f t="shared" si="33"/>
        <v>0</v>
      </c>
    </row>
    <row r="156" spans="1:33" x14ac:dyDescent="0.3">
      <c r="A156" s="25" t="s">
        <v>27</v>
      </c>
      <c r="B156" s="26">
        <f>B157+B158+B159</f>
        <v>0</v>
      </c>
      <c r="C156" s="26">
        <f>C157+C158+C159</f>
        <v>0</v>
      </c>
      <c r="D156" s="26">
        <f>D157+D158+D159</f>
        <v>0</v>
      </c>
      <c r="E156" s="26">
        <f>E157+E158+E159</f>
        <v>0</v>
      </c>
      <c r="F156" s="29">
        <f>IFERROR(E156/B156*100,0)</f>
        <v>0</v>
      </c>
      <c r="G156" s="29">
        <f>IFERROR(E156/C156*100,0)</f>
        <v>0</v>
      </c>
      <c r="H156" s="26">
        <f t="shared" ref="H156:AE156" si="37">H157+H158+H159</f>
        <v>0</v>
      </c>
      <c r="I156" s="26">
        <f t="shared" si="37"/>
        <v>0</v>
      </c>
      <c r="J156" s="26">
        <f t="shared" si="37"/>
        <v>0</v>
      </c>
      <c r="K156" s="26">
        <f t="shared" si="37"/>
        <v>0</v>
      </c>
      <c r="L156" s="26">
        <f t="shared" si="37"/>
        <v>0</v>
      </c>
      <c r="M156" s="26">
        <f t="shared" si="37"/>
        <v>0</v>
      </c>
      <c r="N156" s="26">
        <f t="shared" si="37"/>
        <v>0</v>
      </c>
      <c r="O156" s="26">
        <f t="shared" si="37"/>
        <v>0</v>
      </c>
      <c r="P156" s="26">
        <f t="shared" si="37"/>
        <v>0</v>
      </c>
      <c r="Q156" s="26">
        <f t="shared" si="37"/>
        <v>0</v>
      </c>
      <c r="R156" s="26">
        <f t="shared" si="37"/>
        <v>0</v>
      </c>
      <c r="S156" s="26">
        <f t="shared" si="37"/>
        <v>0</v>
      </c>
      <c r="T156" s="26">
        <f t="shared" si="37"/>
        <v>0</v>
      </c>
      <c r="U156" s="26">
        <f t="shared" si="37"/>
        <v>0</v>
      </c>
      <c r="V156" s="26">
        <f t="shared" si="37"/>
        <v>0</v>
      </c>
      <c r="W156" s="26">
        <f t="shared" si="37"/>
        <v>0</v>
      </c>
      <c r="X156" s="26">
        <f t="shared" si="37"/>
        <v>0</v>
      </c>
      <c r="Y156" s="26">
        <f t="shared" si="37"/>
        <v>0</v>
      </c>
      <c r="Z156" s="26">
        <f t="shared" si="37"/>
        <v>0</v>
      </c>
      <c r="AA156" s="26">
        <f t="shared" si="37"/>
        <v>0</v>
      </c>
      <c r="AB156" s="26">
        <f t="shared" si="37"/>
        <v>0</v>
      </c>
      <c r="AC156" s="26">
        <f t="shared" si="37"/>
        <v>0</v>
      </c>
      <c r="AD156" s="26">
        <f t="shared" si="37"/>
        <v>0</v>
      </c>
      <c r="AE156" s="26">
        <f t="shared" si="37"/>
        <v>0</v>
      </c>
      <c r="AF156" s="23"/>
      <c r="AG156" s="24">
        <f t="shared" si="33"/>
        <v>0</v>
      </c>
    </row>
    <row r="157" spans="1:33" x14ac:dyDescent="0.3">
      <c r="A157" s="28" t="s">
        <v>28</v>
      </c>
      <c r="B157" s="29">
        <f>B163</f>
        <v>0</v>
      </c>
      <c r="C157" s="29">
        <f>C163</f>
        <v>0</v>
      </c>
      <c r="D157" s="29">
        <f>D163</f>
        <v>0</v>
      </c>
      <c r="E157" s="29">
        <f>E163</f>
        <v>0</v>
      </c>
      <c r="F157" s="29">
        <f>IFERROR(E157/B157*100,0)</f>
        <v>0</v>
      </c>
      <c r="G157" s="29">
        <f>IFERROR(E157/C157*100,0)</f>
        <v>0</v>
      </c>
      <c r="H157" s="29">
        <f t="shared" ref="H157:AE160" si="38">H163</f>
        <v>0</v>
      </c>
      <c r="I157" s="29">
        <f t="shared" si="38"/>
        <v>0</v>
      </c>
      <c r="J157" s="29">
        <f t="shared" si="38"/>
        <v>0</v>
      </c>
      <c r="K157" s="29">
        <f t="shared" si="38"/>
        <v>0</v>
      </c>
      <c r="L157" s="29">
        <f t="shared" si="38"/>
        <v>0</v>
      </c>
      <c r="M157" s="29">
        <f t="shared" si="38"/>
        <v>0</v>
      </c>
      <c r="N157" s="29">
        <f t="shared" si="38"/>
        <v>0</v>
      </c>
      <c r="O157" s="29">
        <f t="shared" si="38"/>
        <v>0</v>
      </c>
      <c r="P157" s="29">
        <f t="shared" si="38"/>
        <v>0</v>
      </c>
      <c r="Q157" s="29">
        <f t="shared" si="38"/>
        <v>0</v>
      </c>
      <c r="R157" s="29">
        <f t="shared" si="38"/>
        <v>0</v>
      </c>
      <c r="S157" s="29">
        <f t="shared" si="38"/>
        <v>0</v>
      </c>
      <c r="T157" s="29">
        <f t="shared" si="38"/>
        <v>0</v>
      </c>
      <c r="U157" s="29">
        <f t="shared" si="38"/>
        <v>0</v>
      </c>
      <c r="V157" s="29">
        <f t="shared" si="38"/>
        <v>0</v>
      </c>
      <c r="W157" s="29">
        <f t="shared" si="38"/>
        <v>0</v>
      </c>
      <c r="X157" s="29">
        <f t="shared" si="38"/>
        <v>0</v>
      </c>
      <c r="Y157" s="29">
        <f t="shared" si="38"/>
        <v>0</v>
      </c>
      <c r="Z157" s="29">
        <f t="shared" si="38"/>
        <v>0</v>
      </c>
      <c r="AA157" s="29">
        <f t="shared" si="38"/>
        <v>0</v>
      </c>
      <c r="AB157" s="29">
        <f t="shared" si="38"/>
        <v>0</v>
      </c>
      <c r="AC157" s="29">
        <f t="shared" si="38"/>
        <v>0</v>
      </c>
      <c r="AD157" s="29">
        <f t="shared" si="38"/>
        <v>0</v>
      </c>
      <c r="AE157" s="29">
        <f t="shared" si="38"/>
        <v>0</v>
      </c>
      <c r="AF157" s="23"/>
      <c r="AG157" s="24">
        <f t="shared" si="33"/>
        <v>0</v>
      </c>
    </row>
    <row r="158" spans="1:33" x14ac:dyDescent="0.3">
      <c r="A158" s="28" t="s">
        <v>29</v>
      </c>
      <c r="B158" s="29">
        <f t="shared" ref="B158:E160" si="39">B164</f>
        <v>0</v>
      </c>
      <c r="C158" s="29">
        <f t="shared" si="39"/>
        <v>0</v>
      </c>
      <c r="D158" s="29">
        <f t="shared" si="39"/>
        <v>0</v>
      </c>
      <c r="E158" s="29">
        <f t="shared" si="39"/>
        <v>0</v>
      </c>
      <c r="F158" s="29"/>
      <c r="G158" s="29"/>
      <c r="H158" s="29">
        <f t="shared" si="38"/>
        <v>0</v>
      </c>
      <c r="I158" s="29">
        <f t="shared" si="38"/>
        <v>0</v>
      </c>
      <c r="J158" s="29">
        <f t="shared" si="38"/>
        <v>0</v>
      </c>
      <c r="K158" s="29">
        <f t="shared" si="38"/>
        <v>0</v>
      </c>
      <c r="L158" s="29">
        <f t="shared" si="38"/>
        <v>0</v>
      </c>
      <c r="M158" s="29">
        <f t="shared" si="38"/>
        <v>0</v>
      </c>
      <c r="N158" s="29">
        <f t="shared" si="38"/>
        <v>0</v>
      </c>
      <c r="O158" s="29">
        <f t="shared" si="38"/>
        <v>0</v>
      </c>
      <c r="P158" s="29">
        <f t="shared" si="38"/>
        <v>0</v>
      </c>
      <c r="Q158" s="29">
        <f t="shared" si="38"/>
        <v>0</v>
      </c>
      <c r="R158" s="29">
        <f t="shared" si="38"/>
        <v>0</v>
      </c>
      <c r="S158" s="29">
        <f t="shared" si="38"/>
        <v>0</v>
      </c>
      <c r="T158" s="29">
        <f t="shared" si="38"/>
        <v>0</v>
      </c>
      <c r="U158" s="29">
        <f t="shared" si="38"/>
        <v>0</v>
      </c>
      <c r="V158" s="29">
        <f t="shared" si="38"/>
        <v>0</v>
      </c>
      <c r="W158" s="29">
        <f t="shared" si="38"/>
        <v>0</v>
      </c>
      <c r="X158" s="29">
        <f t="shared" si="38"/>
        <v>0</v>
      </c>
      <c r="Y158" s="29">
        <f t="shared" si="38"/>
        <v>0</v>
      </c>
      <c r="Z158" s="29">
        <f t="shared" si="38"/>
        <v>0</v>
      </c>
      <c r="AA158" s="29">
        <f t="shared" si="38"/>
        <v>0</v>
      </c>
      <c r="AB158" s="29">
        <f t="shared" si="38"/>
        <v>0</v>
      </c>
      <c r="AC158" s="29">
        <f t="shared" si="38"/>
        <v>0</v>
      </c>
      <c r="AD158" s="29">
        <f t="shared" si="38"/>
        <v>0</v>
      </c>
      <c r="AE158" s="29">
        <f t="shared" si="38"/>
        <v>0</v>
      </c>
      <c r="AF158" s="23"/>
      <c r="AG158" s="24">
        <f t="shared" si="33"/>
        <v>0</v>
      </c>
    </row>
    <row r="159" spans="1:33" x14ac:dyDescent="0.3">
      <c r="A159" s="28" t="s">
        <v>30</v>
      </c>
      <c r="B159" s="29">
        <f t="shared" si="39"/>
        <v>0</v>
      </c>
      <c r="C159" s="29">
        <f t="shared" si="39"/>
        <v>0</v>
      </c>
      <c r="D159" s="29">
        <f t="shared" si="39"/>
        <v>0</v>
      </c>
      <c r="E159" s="29">
        <f t="shared" si="39"/>
        <v>0</v>
      </c>
      <c r="F159" s="29">
        <f>IFERROR(E159/B159*100,0)</f>
        <v>0</v>
      </c>
      <c r="G159" s="29">
        <f>IFERROR(E159/C159*100,0)</f>
        <v>0</v>
      </c>
      <c r="H159" s="29">
        <f t="shared" si="38"/>
        <v>0</v>
      </c>
      <c r="I159" s="29">
        <f t="shared" si="38"/>
        <v>0</v>
      </c>
      <c r="J159" s="29">
        <f t="shared" si="38"/>
        <v>0</v>
      </c>
      <c r="K159" s="29">
        <f t="shared" si="38"/>
        <v>0</v>
      </c>
      <c r="L159" s="29">
        <f t="shared" si="38"/>
        <v>0</v>
      </c>
      <c r="M159" s="29">
        <f t="shared" si="38"/>
        <v>0</v>
      </c>
      <c r="N159" s="29">
        <f t="shared" si="38"/>
        <v>0</v>
      </c>
      <c r="O159" s="29">
        <f t="shared" si="38"/>
        <v>0</v>
      </c>
      <c r="P159" s="29">
        <f t="shared" si="38"/>
        <v>0</v>
      </c>
      <c r="Q159" s="29">
        <f t="shared" si="38"/>
        <v>0</v>
      </c>
      <c r="R159" s="29">
        <f t="shared" si="38"/>
        <v>0</v>
      </c>
      <c r="S159" s="29">
        <f t="shared" si="38"/>
        <v>0</v>
      </c>
      <c r="T159" s="29">
        <f t="shared" si="38"/>
        <v>0</v>
      </c>
      <c r="U159" s="29">
        <f t="shared" si="38"/>
        <v>0</v>
      </c>
      <c r="V159" s="29">
        <f t="shared" si="38"/>
        <v>0</v>
      </c>
      <c r="W159" s="29">
        <f t="shared" si="38"/>
        <v>0</v>
      </c>
      <c r="X159" s="29">
        <f t="shared" si="38"/>
        <v>0</v>
      </c>
      <c r="Y159" s="29">
        <f t="shared" si="38"/>
        <v>0</v>
      </c>
      <c r="Z159" s="29">
        <f t="shared" si="38"/>
        <v>0</v>
      </c>
      <c r="AA159" s="29">
        <f t="shared" si="38"/>
        <v>0</v>
      </c>
      <c r="AB159" s="29">
        <f t="shared" si="38"/>
        <v>0</v>
      </c>
      <c r="AC159" s="29">
        <f t="shared" si="38"/>
        <v>0</v>
      </c>
      <c r="AD159" s="29">
        <f t="shared" si="38"/>
        <v>0</v>
      </c>
      <c r="AE159" s="29">
        <f t="shared" si="38"/>
        <v>0</v>
      </c>
      <c r="AF159" s="23"/>
      <c r="AG159" s="24">
        <f t="shared" si="33"/>
        <v>0</v>
      </c>
    </row>
    <row r="160" spans="1:33" x14ac:dyDescent="0.3">
      <c r="A160" s="28" t="s">
        <v>31</v>
      </c>
      <c r="B160" s="29">
        <f t="shared" si="39"/>
        <v>0</v>
      </c>
      <c r="C160" s="29">
        <f t="shared" si="39"/>
        <v>0</v>
      </c>
      <c r="D160" s="29">
        <f t="shared" si="39"/>
        <v>0</v>
      </c>
      <c r="E160" s="29">
        <f t="shared" si="39"/>
        <v>0</v>
      </c>
      <c r="F160" s="29">
        <f>IFERROR(E160/B160*100,0)</f>
        <v>0</v>
      </c>
      <c r="G160" s="29">
        <f>IFERROR(E160/C160*100,0)</f>
        <v>0</v>
      </c>
      <c r="H160" s="29">
        <f t="shared" si="38"/>
        <v>0</v>
      </c>
      <c r="I160" s="29">
        <f t="shared" si="38"/>
        <v>0</v>
      </c>
      <c r="J160" s="29">
        <f t="shared" si="38"/>
        <v>0</v>
      </c>
      <c r="K160" s="29">
        <f t="shared" si="38"/>
        <v>0</v>
      </c>
      <c r="L160" s="29">
        <f t="shared" si="38"/>
        <v>0</v>
      </c>
      <c r="M160" s="29">
        <f t="shared" si="38"/>
        <v>0</v>
      </c>
      <c r="N160" s="29">
        <f t="shared" si="38"/>
        <v>0</v>
      </c>
      <c r="O160" s="29">
        <f t="shared" si="38"/>
        <v>0</v>
      </c>
      <c r="P160" s="29">
        <f t="shared" si="38"/>
        <v>0</v>
      </c>
      <c r="Q160" s="29">
        <f t="shared" si="38"/>
        <v>0</v>
      </c>
      <c r="R160" s="29">
        <f t="shared" si="38"/>
        <v>0</v>
      </c>
      <c r="S160" s="29">
        <f t="shared" si="38"/>
        <v>0</v>
      </c>
      <c r="T160" s="29">
        <f t="shared" si="38"/>
        <v>0</v>
      </c>
      <c r="U160" s="29">
        <f t="shared" si="38"/>
        <v>0</v>
      </c>
      <c r="V160" s="29">
        <f t="shared" si="38"/>
        <v>0</v>
      </c>
      <c r="W160" s="29">
        <f t="shared" si="38"/>
        <v>0</v>
      </c>
      <c r="X160" s="29">
        <f t="shared" si="38"/>
        <v>0</v>
      </c>
      <c r="Y160" s="29">
        <f t="shared" si="38"/>
        <v>0</v>
      </c>
      <c r="Z160" s="29">
        <f t="shared" si="38"/>
        <v>0</v>
      </c>
      <c r="AA160" s="29">
        <f t="shared" si="38"/>
        <v>0</v>
      </c>
      <c r="AB160" s="29">
        <f t="shared" si="38"/>
        <v>0</v>
      </c>
      <c r="AC160" s="29">
        <f t="shared" si="38"/>
        <v>0</v>
      </c>
      <c r="AD160" s="29">
        <f t="shared" si="38"/>
        <v>0</v>
      </c>
      <c r="AE160" s="29">
        <f t="shared" si="38"/>
        <v>0</v>
      </c>
      <c r="AF160" s="23"/>
      <c r="AG160" s="24">
        <f t="shared" si="33"/>
        <v>0</v>
      </c>
    </row>
    <row r="161" spans="1:33" ht="37.5" x14ac:dyDescent="0.3">
      <c r="A161" s="90" t="s">
        <v>62</v>
      </c>
      <c r="B161" s="64"/>
      <c r="C161" s="65"/>
      <c r="D161" s="65"/>
      <c r="E161" s="65"/>
      <c r="F161" s="65"/>
      <c r="G161" s="65"/>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4"/>
      <c r="AG161" s="24">
        <f t="shared" si="33"/>
        <v>0</v>
      </c>
    </row>
    <row r="162" spans="1:33" x14ac:dyDescent="0.3">
      <c r="A162" s="71" t="s">
        <v>27</v>
      </c>
      <c r="B162" s="70">
        <f>B164+B165+B163+B166</f>
        <v>0</v>
      </c>
      <c r="C162" s="70">
        <f>C164+C165+C163+C166</f>
        <v>0</v>
      </c>
      <c r="D162" s="70">
        <f>D164+D165+D163+D166</f>
        <v>0</v>
      </c>
      <c r="E162" s="70">
        <f>E164+E165+E163+E166</f>
        <v>0</v>
      </c>
      <c r="F162" s="70">
        <f>IFERROR(E162/B162*100,0)</f>
        <v>0</v>
      </c>
      <c r="G162" s="70">
        <f>IFERROR(E162/C162*100,0)</f>
        <v>0</v>
      </c>
      <c r="H162" s="70">
        <f t="shared" ref="H162:AE162" si="40">H164+H165+H163+H166</f>
        <v>0</v>
      </c>
      <c r="I162" s="70">
        <f t="shared" si="40"/>
        <v>0</v>
      </c>
      <c r="J162" s="70">
        <f t="shared" si="40"/>
        <v>0</v>
      </c>
      <c r="K162" s="70">
        <f t="shared" si="40"/>
        <v>0</v>
      </c>
      <c r="L162" s="70">
        <f t="shared" si="40"/>
        <v>0</v>
      </c>
      <c r="M162" s="70">
        <f t="shared" si="40"/>
        <v>0</v>
      </c>
      <c r="N162" s="70">
        <f t="shared" si="40"/>
        <v>0</v>
      </c>
      <c r="O162" s="70">
        <f t="shared" si="40"/>
        <v>0</v>
      </c>
      <c r="P162" s="70">
        <f t="shared" si="40"/>
        <v>0</v>
      </c>
      <c r="Q162" s="70">
        <f t="shared" si="40"/>
        <v>0</v>
      </c>
      <c r="R162" s="70">
        <f t="shared" si="40"/>
        <v>0</v>
      </c>
      <c r="S162" s="70">
        <f t="shared" si="40"/>
        <v>0</v>
      </c>
      <c r="T162" s="70">
        <f t="shared" si="40"/>
        <v>0</v>
      </c>
      <c r="U162" s="70">
        <f t="shared" si="40"/>
        <v>0</v>
      </c>
      <c r="V162" s="70">
        <f t="shared" si="40"/>
        <v>0</v>
      </c>
      <c r="W162" s="70">
        <f t="shared" si="40"/>
        <v>0</v>
      </c>
      <c r="X162" s="70">
        <f t="shared" si="40"/>
        <v>0</v>
      </c>
      <c r="Y162" s="70">
        <f t="shared" si="40"/>
        <v>0</v>
      </c>
      <c r="Z162" s="70">
        <f t="shared" si="40"/>
        <v>0</v>
      </c>
      <c r="AA162" s="70">
        <f t="shared" si="40"/>
        <v>0</v>
      </c>
      <c r="AB162" s="70">
        <f t="shared" si="40"/>
        <v>0</v>
      </c>
      <c r="AC162" s="70">
        <f t="shared" si="40"/>
        <v>0</v>
      </c>
      <c r="AD162" s="70">
        <f t="shared" si="40"/>
        <v>0</v>
      </c>
      <c r="AE162" s="70">
        <f t="shared" si="40"/>
        <v>0</v>
      </c>
      <c r="AF162" s="34"/>
      <c r="AG162" s="24">
        <f t="shared" si="33"/>
        <v>0</v>
      </c>
    </row>
    <row r="163" spans="1:33" x14ac:dyDescent="0.3">
      <c r="A163" s="46" t="s">
        <v>28</v>
      </c>
      <c r="B163" s="47"/>
      <c r="C163" s="48"/>
      <c r="D163" s="49"/>
      <c r="E163" s="48"/>
      <c r="F163" s="47"/>
      <c r="G163" s="47"/>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4"/>
      <c r="AG163" s="24">
        <f t="shared" si="33"/>
        <v>0</v>
      </c>
    </row>
    <row r="164" spans="1:33" x14ac:dyDescent="0.3">
      <c r="A164" s="46" t="s">
        <v>29</v>
      </c>
      <c r="B164" s="47"/>
      <c r="C164" s="48"/>
      <c r="D164" s="49"/>
      <c r="E164" s="48"/>
      <c r="F164" s="47"/>
      <c r="G164" s="47"/>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4"/>
      <c r="AG164" s="24">
        <f t="shared" si="33"/>
        <v>0</v>
      </c>
    </row>
    <row r="165" spans="1:33" x14ac:dyDescent="0.3">
      <c r="A165" s="46" t="s">
        <v>30</v>
      </c>
      <c r="B165" s="47">
        <f>J165+L165+N165+P165+R165+T165+V165+X165+Z165+AB165+AD165+H165</f>
        <v>0</v>
      </c>
      <c r="C165" s="48">
        <f>SUM(H165)</f>
        <v>0</v>
      </c>
      <c r="D165" s="49">
        <f>E165</f>
        <v>0</v>
      </c>
      <c r="E165" s="48">
        <f>SUM(I165,K165,M165,O165,Q165,S165,U165,W165,Y165,AA165,AC165,AE165)</f>
        <v>0</v>
      </c>
      <c r="F165" s="47">
        <f>IFERROR(E165/B165*100,0)</f>
        <v>0</v>
      </c>
      <c r="G165" s="47">
        <f>IFERROR(E165/C165*100,0)</f>
        <v>0</v>
      </c>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4"/>
      <c r="AG165" s="24">
        <f t="shared" si="33"/>
        <v>0</v>
      </c>
    </row>
    <row r="166" spans="1:33" x14ac:dyDescent="0.3">
      <c r="A166" s="87" t="s">
        <v>31</v>
      </c>
      <c r="B166" s="47"/>
      <c r="C166" s="48"/>
      <c r="D166" s="49"/>
      <c r="E166" s="48"/>
      <c r="F166" s="47"/>
      <c r="G166" s="47"/>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4"/>
      <c r="AG166" s="24">
        <f t="shared" si="33"/>
        <v>0</v>
      </c>
    </row>
    <row r="167" spans="1:33" x14ac:dyDescent="0.3">
      <c r="A167" s="16" t="s">
        <v>63</v>
      </c>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8"/>
      <c r="AG167" s="24">
        <f t="shared" si="33"/>
        <v>0</v>
      </c>
    </row>
    <row r="168" spans="1:33" s="19" customFormat="1" x14ac:dyDescent="0.3">
      <c r="A168" s="16" t="s">
        <v>25</v>
      </c>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8"/>
    </row>
    <row r="169" spans="1:33" ht="56.25" customHeight="1" x14ac:dyDescent="0.3">
      <c r="A169" s="20" t="s">
        <v>64</v>
      </c>
      <c r="B169" s="21"/>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3"/>
      <c r="AG169" s="24">
        <f>B169-H169-J169-L169-N169-P169-R169-T169-V169-X169-Z169-AB169-AD169</f>
        <v>0</v>
      </c>
    </row>
    <row r="170" spans="1:33" x14ac:dyDescent="0.3">
      <c r="A170" s="25" t="s">
        <v>27</v>
      </c>
      <c r="B170" s="26">
        <f>B171+B172+B173+B174</f>
        <v>11</v>
      </c>
      <c r="C170" s="26">
        <f>C171+C172+C173+C174</f>
        <v>11</v>
      </c>
      <c r="D170" s="26">
        <f>D171+D172+D173+D174</f>
        <v>11</v>
      </c>
      <c r="E170" s="26">
        <f>E171+E172+E173+E174</f>
        <v>11</v>
      </c>
      <c r="F170" s="27">
        <f>IFERROR(E170/B170*100,0)</f>
        <v>100</v>
      </c>
      <c r="G170" s="27">
        <f>IFERROR(E170/C170*100,0)</f>
        <v>100</v>
      </c>
      <c r="H170" s="26">
        <f>H171+H172+H173+H174</f>
        <v>2</v>
      </c>
      <c r="I170" s="26">
        <f t="shared" ref="I170:AE170" si="41">I171+I172+I173+I174</f>
        <v>2</v>
      </c>
      <c r="J170" s="26">
        <f t="shared" si="41"/>
        <v>1</v>
      </c>
      <c r="K170" s="26">
        <f t="shared" si="41"/>
        <v>1</v>
      </c>
      <c r="L170" s="26">
        <f t="shared" si="41"/>
        <v>8</v>
      </c>
      <c r="M170" s="26">
        <f t="shared" si="41"/>
        <v>8</v>
      </c>
      <c r="N170" s="26">
        <f t="shared" si="41"/>
        <v>0</v>
      </c>
      <c r="O170" s="26">
        <f t="shared" si="41"/>
        <v>0</v>
      </c>
      <c r="P170" s="26">
        <f t="shared" si="41"/>
        <v>0</v>
      </c>
      <c r="Q170" s="26">
        <f t="shared" si="41"/>
        <v>0</v>
      </c>
      <c r="R170" s="26">
        <f t="shared" si="41"/>
        <v>0</v>
      </c>
      <c r="S170" s="26">
        <f t="shared" si="41"/>
        <v>0</v>
      </c>
      <c r="T170" s="26">
        <f t="shared" si="41"/>
        <v>0</v>
      </c>
      <c r="U170" s="26">
        <f t="shared" si="41"/>
        <v>0</v>
      </c>
      <c r="V170" s="26">
        <f t="shared" si="41"/>
        <v>0</v>
      </c>
      <c r="W170" s="26">
        <f t="shared" si="41"/>
        <v>0</v>
      </c>
      <c r="X170" s="26">
        <f t="shared" si="41"/>
        <v>0</v>
      </c>
      <c r="Y170" s="26">
        <f t="shared" si="41"/>
        <v>0</v>
      </c>
      <c r="Z170" s="26">
        <f t="shared" si="41"/>
        <v>0</v>
      </c>
      <c r="AA170" s="26">
        <f t="shared" si="41"/>
        <v>0</v>
      </c>
      <c r="AB170" s="26">
        <f t="shared" si="41"/>
        <v>0</v>
      </c>
      <c r="AC170" s="26">
        <f t="shared" si="41"/>
        <v>0</v>
      </c>
      <c r="AD170" s="26">
        <f t="shared" si="41"/>
        <v>0</v>
      </c>
      <c r="AE170" s="26">
        <f t="shared" si="41"/>
        <v>0</v>
      </c>
      <c r="AF170" s="23"/>
      <c r="AG170" s="24">
        <f t="shared" ref="AG170:AG180" si="42">B170-H170-J170-L170-N170-P170-R170-T170-V170-X170-Z170-AB170-AD170</f>
        <v>0</v>
      </c>
    </row>
    <row r="171" spans="1:33" x14ac:dyDescent="0.3">
      <c r="A171" s="28" t="s">
        <v>28</v>
      </c>
      <c r="B171" s="29">
        <f>B177</f>
        <v>0</v>
      </c>
      <c r="C171" s="29">
        <f>C177</f>
        <v>0</v>
      </c>
      <c r="D171" s="29">
        <f>D177</f>
        <v>0</v>
      </c>
      <c r="E171" s="29">
        <f>E177</f>
        <v>0</v>
      </c>
      <c r="F171" s="29">
        <f>IFERROR(E171/B171*100,0)</f>
        <v>0</v>
      </c>
      <c r="G171" s="29">
        <f>IFERROR(E171/C171*100,0)</f>
        <v>0</v>
      </c>
      <c r="H171" s="29">
        <f t="shared" ref="H171:AE174" si="43">H177</f>
        <v>0</v>
      </c>
      <c r="I171" s="29">
        <f t="shared" si="43"/>
        <v>0</v>
      </c>
      <c r="J171" s="29">
        <f t="shared" si="43"/>
        <v>0</v>
      </c>
      <c r="K171" s="29">
        <f t="shared" si="43"/>
        <v>0</v>
      </c>
      <c r="L171" s="29">
        <f t="shared" si="43"/>
        <v>0</v>
      </c>
      <c r="M171" s="29">
        <f t="shared" si="43"/>
        <v>0</v>
      </c>
      <c r="N171" s="29">
        <f t="shared" si="43"/>
        <v>0</v>
      </c>
      <c r="O171" s="29">
        <f t="shared" si="43"/>
        <v>0</v>
      </c>
      <c r="P171" s="29">
        <f t="shared" si="43"/>
        <v>0</v>
      </c>
      <c r="Q171" s="29">
        <f t="shared" si="43"/>
        <v>0</v>
      </c>
      <c r="R171" s="29">
        <f t="shared" si="43"/>
        <v>0</v>
      </c>
      <c r="S171" s="29">
        <f t="shared" si="43"/>
        <v>0</v>
      </c>
      <c r="T171" s="29">
        <f t="shared" si="43"/>
        <v>0</v>
      </c>
      <c r="U171" s="29">
        <f t="shared" si="43"/>
        <v>0</v>
      </c>
      <c r="V171" s="29">
        <f t="shared" si="43"/>
        <v>0</v>
      </c>
      <c r="W171" s="29">
        <f t="shared" si="43"/>
        <v>0</v>
      </c>
      <c r="X171" s="29">
        <f t="shared" si="43"/>
        <v>0</v>
      </c>
      <c r="Y171" s="29">
        <f t="shared" si="43"/>
        <v>0</v>
      </c>
      <c r="Z171" s="29">
        <f t="shared" si="43"/>
        <v>0</v>
      </c>
      <c r="AA171" s="29">
        <f t="shared" si="43"/>
        <v>0</v>
      </c>
      <c r="AB171" s="29">
        <f t="shared" si="43"/>
        <v>0</v>
      </c>
      <c r="AC171" s="29">
        <f t="shared" si="43"/>
        <v>0</v>
      </c>
      <c r="AD171" s="29">
        <f t="shared" si="43"/>
        <v>0</v>
      </c>
      <c r="AE171" s="29">
        <f t="shared" si="43"/>
        <v>0</v>
      </c>
      <c r="AF171" s="23"/>
      <c r="AG171" s="24">
        <f t="shared" si="42"/>
        <v>0</v>
      </c>
    </row>
    <row r="172" spans="1:33" x14ac:dyDescent="0.3">
      <c r="A172" s="28" t="s">
        <v>29</v>
      </c>
      <c r="B172" s="29">
        <f t="shared" ref="B172:E174" si="44">B178</f>
        <v>0</v>
      </c>
      <c r="C172" s="29">
        <f t="shared" si="44"/>
        <v>0</v>
      </c>
      <c r="D172" s="29">
        <f t="shared" si="44"/>
        <v>0</v>
      </c>
      <c r="E172" s="29">
        <f t="shared" si="44"/>
        <v>0</v>
      </c>
      <c r="F172" s="29">
        <f>IFERROR(E172/B172*100,0)</f>
        <v>0</v>
      </c>
      <c r="G172" s="29">
        <f>IFERROR(E172/C172*100,0)</f>
        <v>0</v>
      </c>
      <c r="H172" s="29">
        <f t="shared" si="43"/>
        <v>0</v>
      </c>
      <c r="I172" s="29">
        <f t="shared" si="43"/>
        <v>0</v>
      </c>
      <c r="J172" s="29">
        <f t="shared" si="43"/>
        <v>0</v>
      </c>
      <c r="K172" s="29">
        <f t="shared" si="43"/>
        <v>0</v>
      </c>
      <c r="L172" s="29">
        <f t="shared" si="43"/>
        <v>0</v>
      </c>
      <c r="M172" s="29">
        <f t="shared" si="43"/>
        <v>0</v>
      </c>
      <c r="N172" s="29">
        <f t="shared" si="43"/>
        <v>0</v>
      </c>
      <c r="O172" s="29">
        <f t="shared" si="43"/>
        <v>0</v>
      </c>
      <c r="P172" s="29">
        <f t="shared" si="43"/>
        <v>0</v>
      </c>
      <c r="Q172" s="29">
        <f t="shared" si="43"/>
        <v>0</v>
      </c>
      <c r="R172" s="29">
        <f t="shared" si="43"/>
        <v>0</v>
      </c>
      <c r="S172" s="29">
        <f t="shared" si="43"/>
        <v>0</v>
      </c>
      <c r="T172" s="29">
        <f t="shared" si="43"/>
        <v>0</v>
      </c>
      <c r="U172" s="29">
        <f t="shared" si="43"/>
        <v>0</v>
      </c>
      <c r="V172" s="29">
        <f t="shared" si="43"/>
        <v>0</v>
      </c>
      <c r="W172" s="29">
        <f t="shared" si="43"/>
        <v>0</v>
      </c>
      <c r="X172" s="29">
        <f t="shared" si="43"/>
        <v>0</v>
      </c>
      <c r="Y172" s="29">
        <f t="shared" si="43"/>
        <v>0</v>
      </c>
      <c r="Z172" s="29">
        <f t="shared" si="43"/>
        <v>0</v>
      </c>
      <c r="AA172" s="29">
        <f t="shared" si="43"/>
        <v>0</v>
      </c>
      <c r="AB172" s="29">
        <f t="shared" si="43"/>
        <v>0</v>
      </c>
      <c r="AC172" s="29">
        <f t="shared" si="43"/>
        <v>0</v>
      </c>
      <c r="AD172" s="29">
        <f t="shared" si="43"/>
        <v>0</v>
      </c>
      <c r="AE172" s="29">
        <f t="shared" si="43"/>
        <v>0</v>
      </c>
      <c r="AF172" s="23"/>
      <c r="AG172" s="24">
        <f t="shared" si="42"/>
        <v>0</v>
      </c>
    </row>
    <row r="173" spans="1:33" x14ac:dyDescent="0.3">
      <c r="A173" s="28" t="s">
        <v>30</v>
      </c>
      <c r="B173" s="31">
        <f t="shared" si="44"/>
        <v>11</v>
      </c>
      <c r="C173" s="29">
        <f t="shared" si="44"/>
        <v>11</v>
      </c>
      <c r="D173" s="29">
        <f t="shared" si="44"/>
        <v>11</v>
      </c>
      <c r="E173" s="29">
        <f t="shared" si="44"/>
        <v>11</v>
      </c>
      <c r="F173" s="29">
        <f>IFERROR(E173/B173*100,0)</f>
        <v>100</v>
      </c>
      <c r="G173" s="29">
        <f>IFERROR(E173/C173*100,0)</f>
        <v>100</v>
      </c>
      <c r="H173" s="29">
        <f t="shared" si="43"/>
        <v>2</v>
      </c>
      <c r="I173" s="29">
        <f t="shared" si="43"/>
        <v>2</v>
      </c>
      <c r="J173" s="29">
        <f t="shared" si="43"/>
        <v>1</v>
      </c>
      <c r="K173" s="29">
        <f t="shared" si="43"/>
        <v>1</v>
      </c>
      <c r="L173" s="29">
        <f t="shared" si="43"/>
        <v>8</v>
      </c>
      <c r="M173" s="29">
        <f t="shared" si="43"/>
        <v>8</v>
      </c>
      <c r="N173" s="29">
        <f t="shared" si="43"/>
        <v>0</v>
      </c>
      <c r="O173" s="29">
        <f t="shared" si="43"/>
        <v>0</v>
      </c>
      <c r="P173" s="29">
        <f t="shared" si="43"/>
        <v>0</v>
      </c>
      <c r="Q173" s="29">
        <f t="shared" si="43"/>
        <v>0</v>
      </c>
      <c r="R173" s="29">
        <f t="shared" si="43"/>
        <v>0</v>
      </c>
      <c r="S173" s="29">
        <f t="shared" si="43"/>
        <v>0</v>
      </c>
      <c r="T173" s="29">
        <f t="shared" si="43"/>
        <v>0</v>
      </c>
      <c r="U173" s="29">
        <f t="shared" si="43"/>
        <v>0</v>
      </c>
      <c r="V173" s="29">
        <f t="shared" si="43"/>
        <v>0</v>
      </c>
      <c r="W173" s="29">
        <f t="shared" si="43"/>
        <v>0</v>
      </c>
      <c r="X173" s="29">
        <f t="shared" si="43"/>
        <v>0</v>
      </c>
      <c r="Y173" s="29">
        <f t="shared" si="43"/>
        <v>0</v>
      </c>
      <c r="Z173" s="29">
        <f t="shared" si="43"/>
        <v>0</v>
      </c>
      <c r="AA173" s="29">
        <f t="shared" si="43"/>
        <v>0</v>
      </c>
      <c r="AB173" s="29">
        <f t="shared" si="43"/>
        <v>0</v>
      </c>
      <c r="AC173" s="29">
        <f t="shared" si="43"/>
        <v>0</v>
      </c>
      <c r="AD173" s="29">
        <f t="shared" si="43"/>
        <v>0</v>
      </c>
      <c r="AE173" s="29">
        <f t="shared" si="43"/>
        <v>0</v>
      </c>
      <c r="AF173" s="23"/>
      <c r="AG173" s="24">
        <f t="shared" si="42"/>
        <v>0</v>
      </c>
    </row>
    <row r="174" spans="1:33" x14ac:dyDescent="0.3">
      <c r="A174" s="28" t="s">
        <v>31</v>
      </c>
      <c r="B174" s="29">
        <f t="shared" si="44"/>
        <v>0</v>
      </c>
      <c r="C174" s="29">
        <f t="shared" si="44"/>
        <v>0</v>
      </c>
      <c r="D174" s="29">
        <f t="shared" si="44"/>
        <v>0</v>
      </c>
      <c r="E174" s="29">
        <f t="shared" si="44"/>
        <v>0</v>
      </c>
      <c r="F174" s="29">
        <f>IFERROR(E174/B174*100,0)</f>
        <v>0</v>
      </c>
      <c r="G174" s="29">
        <f>IFERROR(E174/C174*100,0)</f>
        <v>0</v>
      </c>
      <c r="H174" s="29">
        <f t="shared" si="43"/>
        <v>0</v>
      </c>
      <c r="I174" s="29">
        <f t="shared" si="43"/>
        <v>0</v>
      </c>
      <c r="J174" s="29">
        <f t="shared" si="43"/>
        <v>0</v>
      </c>
      <c r="K174" s="29">
        <f t="shared" si="43"/>
        <v>0</v>
      </c>
      <c r="L174" s="29">
        <f t="shared" si="43"/>
        <v>0</v>
      </c>
      <c r="M174" s="29">
        <f t="shared" si="43"/>
        <v>0</v>
      </c>
      <c r="N174" s="29">
        <f t="shared" si="43"/>
        <v>0</v>
      </c>
      <c r="O174" s="29">
        <f t="shared" si="43"/>
        <v>0</v>
      </c>
      <c r="P174" s="29">
        <f t="shared" si="43"/>
        <v>0</v>
      </c>
      <c r="Q174" s="29">
        <f t="shared" si="43"/>
        <v>0</v>
      </c>
      <c r="R174" s="29">
        <f t="shared" si="43"/>
        <v>0</v>
      </c>
      <c r="S174" s="29">
        <f t="shared" si="43"/>
        <v>0</v>
      </c>
      <c r="T174" s="29">
        <f t="shared" si="43"/>
        <v>0</v>
      </c>
      <c r="U174" s="29">
        <f t="shared" si="43"/>
        <v>0</v>
      </c>
      <c r="V174" s="29">
        <f t="shared" si="43"/>
        <v>0</v>
      </c>
      <c r="W174" s="29">
        <f t="shared" si="43"/>
        <v>0</v>
      </c>
      <c r="X174" s="29">
        <f t="shared" si="43"/>
        <v>0</v>
      </c>
      <c r="Y174" s="29">
        <f t="shared" si="43"/>
        <v>0</v>
      </c>
      <c r="Z174" s="29">
        <f t="shared" si="43"/>
        <v>0</v>
      </c>
      <c r="AA174" s="29">
        <f t="shared" si="43"/>
        <v>0</v>
      </c>
      <c r="AB174" s="29">
        <f t="shared" si="43"/>
        <v>0</v>
      </c>
      <c r="AC174" s="29">
        <f t="shared" si="43"/>
        <v>0</v>
      </c>
      <c r="AD174" s="29">
        <f t="shared" si="43"/>
        <v>0</v>
      </c>
      <c r="AE174" s="29">
        <f t="shared" si="43"/>
        <v>0</v>
      </c>
      <c r="AF174" s="23"/>
      <c r="AG174" s="24">
        <f t="shared" si="42"/>
        <v>0</v>
      </c>
    </row>
    <row r="175" spans="1:33" ht="60.75" customHeight="1" x14ac:dyDescent="0.3">
      <c r="A175" s="30" t="s">
        <v>65</v>
      </c>
      <c r="B175" s="91"/>
      <c r="C175" s="32"/>
      <c r="D175" s="32"/>
      <c r="E175" s="32"/>
      <c r="F175" s="32"/>
      <c r="G175" s="32"/>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4"/>
      <c r="AG175" s="24">
        <f t="shared" si="42"/>
        <v>0</v>
      </c>
    </row>
    <row r="176" spans="1:33" x14ac:dyDescent="0.3">
      <c r="A176" s="71" t="s">
        <v>27</v>
      </c>
      <c r="B176" s="36">
        <f>B178+B179+B177+B180</f>
        <v>11</v>
      </c>
      <c r="C176" s="36">
        <f>C178+C179+C177+C180</f>
        <v>11</v>
      </c>
      <c r="D176" s="92">
        <f>D178+D179+D177+D180</f>
        <v>11</v>
      </c>
      <c r="E176" s="70">
        <f>E178+E179+E177+E180</f>
        <v>11</v>
      </c>
      <c r="F176" s="70">
        <f>IFERROR(E176/B176*100,0)</f>
        <v>100</v>
      </c>
      <c r="G176" s="70">
        <f>IFERROR(E176/C176*100,0)</f>
        <v>100</v>
      </c>
      <c r="H176" s="70">
        <f t="shared" ref="H176:AE176" si="45">H178+H179+H177+H180</f>
        <v>2</v>
      </c>
      <c r="I176" s="70">
        <f t="shared" si="45"/>
        <v>2</v>
      </c>
      <c r="J176" s="70">
        <f t="shared" si="45"/>
        <v>1</v>
      </c>
      <c r="K176" s="70">
        <f t="shared" si="45"/>
        <v>1</v>
      </c>
      <c r="L176" s="70">
        <f t="shared" si="45"/>
        <v>8</v>
      </c>
      <c r="M176" s="70">
        <f t="shared" si="45"/>
        <v>8</v>
      </c>
      <c r="N176" s="70">
        <f t="shared" si="45"/>
        <v>0</v>
      </c>
      <c r="O176" s="70">
        <f t="shared" si="45"/>
        <v>0</v>
      </c>
      <c r="P176" s="70">
        <f t="shared" si="45"/>
        <v>0</v>
      </c>
      <c r="Q176" s="70">
        <f t="shared" si="45"/>
        <v>0</v>
      </c>
      <c r="R176" s="70">
        <f t="shared" si="45"/>
        <v>0</v>
      </c>
      <c r="S176" s="70">
        <f t="shared" si="45"/>
        <v>0</v>
      </c>
      <c r="T176" s="70">
        <f t="shared" si="45"/>
        <v>0</v>
      </c>
      <c r="U176" s="70">
        <f t="shared" si="45"/>
        <v>0</v>
      </c>
      <c r="V176" s="70">
        <f t="shared" si="45"/>
        <v>0</v>
      </c>
      <c r="W176" s="70">
        <f t="shared" si="45"/>
        <v>0</v>
      </c>
      <c r="X176" s="70">
        <f t="shared" si="45"/>
        <v>0</v>
      </c>
      <c r="Y176" s="70">
        <f t="shared" si="45"/>
        <v>0</v>
      </c>
      <c r="Z176" s="70">
        <f t="shared" si="45"/>
        <v>0</v>
      </c>
      <c r="AA176" s="70">
        <f t="shared" si="45"/>
        <v>0</v>
      </c>
      <c r="AB176" s="70">
        <f t="shared" si="45"/>
        <v>0</v>
      </c>
      <c r="AC176" s="70">
        <f t="shared" si="45"/>
        <v>0</v>
      </c>
      <c r="AD176" s="70">
        <f t="shared" si="45"/>
        <v>0</v>
      </c>
      <c r="AE176" s="70">
        <f t="shared" si="45"/>
        <v>0</v>
      </c>
      <c r="AF176" s="34"/>
      <c r="AG176" s="24">
        <f t="shared" si="42"/>
        <v>0</v>
      </c>
    </row>
    <row r="177" spans="1:33" x14ac:dyDescent="0.3">
      <c r="A177" s="46" t="s">
        <v>28</v>
      </c>
      <c r="B177" s="47">
        <f>J177+L177+N177+P177+R177+T177+V177+X177+Z177+AB177+AD177+H177</f>
        <v>0</v>
      </c>
      <c r="C177" s="48">
        <f>SUM(H177)</f>
        <v>0</v>
      </c>
      <c r="D177" s="49">
        <f>E177</f>
        <v>0</v>
      </c>
      <c r="E177" s="48">
        <f>SUM(I177,K177,M177,O177,Q177,S177,U177,W177,Y177,AA177,AC177,AE177)</f>
        <v>0</v>
      </c>
      <c r="F177" s="47">
        <f>IFERROR(E177/B177*100,0)</f>
        <v>0</v>
      </c>
      <c r="G177" s="47">
        <f>IFERROR(E177/C177*100,0)</f>
        <v>0</v>
      </c>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4"/>
      <c r="AG177" s="24">
        <f t="shared" si="42"/>
        <v>0</v>
      </c>
    </row>
    <row r="178" spans="1:33" x14ac:dyDescent="0.3">
      <c r="A178" s="46" t="s">
        <v>29</v>
      </c>
      <c r="B178" s="47">
        <f>J178+L178+N178+P178+R178+T178+V178+X178+Z178+AB178+AD178+H178</f>
        <v>0</v>
      </c>
      <c r="C178" s="48">
        <f>SUM(H178)</f>
        <v>0</v>
      </c>
      <c r="D178" s="49">
        <f>E178</f>
        <v>0</v>
      </c>
      <c r="E178" s="48">
        <f>SUM(I178,K178,M178,O178,Q178,S178,U178,W178,Y178,AA178,AC178,AE178)</f>
        <v>0</v>
      </c>
      <c r="F178" s="47">
        <f>IFERROR(E178/B178*100,0)</f>
        <v>0</v>
      </c>
      <c r="G178" s="47">
        <f>IFERROR(E178/C178*100,0)</f>
        <v>0</v>
      </c>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4"/>
      <c r="AG178" s="24">
        <f t="shared" si="42"/>
        <v>0</v>
      </c>
    </row>
    <row r="179" spans="1:33" x14ac:dyDescent="0.3">
      <c r="A179" s="46" t="s">
        <v>30</v>
      </c>
      <c r="B179" s="31">
        <f>J179+L179+N179+P179+R179+T179+V179+X179+Z179+AB179+AD179+H179</f>
        <v>11</v>
      </c>
      <c r="C179" s="48">
        <f>H179+J179+L179</f>
        <v>11</v>
      </c>
      <c r="D179" s="49">
        <f>E179</f>
        <v>11</v>
      </c>
      <c r="E179" s="48">
        <f>H179+J179+L179</f>
        <v>11</v>
      </c>
      <c r="F179" s="47">
        <f>IFERROR(E179/B179*100,0)</f>
        <v>100</v>
      </c>
      <c r="G179" s="47">
        <f>IFERROR(E179/C179*100,0)</f>
        <v>100</v>
      </c>
      <c r="H179" s="33">
        <v>2</v>
      </c>
      <c r="I179" s="33">
        <v>2</v>
      </c>
      <c r="J179" s="33">
        <v>1</v>
      </c>
      <c r="K179" s="33">
        <v>1</v>
      </c>
      <c r="L179" s="33">
        <v>8</v>
      </c>
      <c r="M179" s="33">
        <v>8</v>
      </c>
      <c r="N179" s="33"/>
      <c r="O179" s="33"/>
      <c r="P179" s="33"/>
      <c r="Q179" s="33"/>
      <c r="R179" s="33"/>
      <c r="S179" s="33"/>
      <c r="T179" s="33"/>
      <c r="U179" s="33"/>
      <c r="V179" s="33"/>
      <c r="W179" s="33"/>
      <c r="X179" s="33"/>
      <c r="Y179" s="33"/>
      <c r="Z179" s="33"/>
      <c r="AA179" s="33"/>
      <c r="AB179" s="33"/>
      <c r="AC179" s="33"/>
      <c r="AD179" s="33"/>
      <c r="AE179" s="33"/>
      <c r="AF179" s="34"/>
      <c r="AG179" s="24">
        <f t="shared" si="42"/>
        <v>0</v>
      </c>
    </row>
    <row r="180" spans="1:33" x14ac:dyDescent="0.3">
      <c r="A180" s="46" t="s">
        <v>31</v>
      </c>
      <c r="B180" s="47"/>
      <c r="C180" s="48"/>
      <c r="D180" s="49"/>
      <c r="E180" s="48"/>
      <c r="F180" s="47"/>
      <c r="G180" s="47"/>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4"/>
      <c r="AG180" s="24">
        <f t="shared" si="42"/>
        <v>0</v>
      </c>
    </row>
    <row r="181" spans="1:33" ht="84" customHeight="1" x14ac:dyDescent="0.3">
      <c r="A181" s="20" t="s">
        <v>66</v>
      </c>
      <c r="B181" s="21"/>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3"/>
      <c r="AG181" s="24">
        <f>B181-H181-J181-L181-N181-P181-R181-T181-V181-X181-Z181-AB181-AD181</f>
        <v>0</v>
      </c>
    </row>
    <row r="182" spans="1:33" x14ac:dyDescent="0.3">
      <c r="A182" s="25" t="s">
        <v>27</v>
      </c>
      <c r="B182" s="26">
        <f>B183+B184+B185+B186</f>
        <v>1178.6013399999999</v>
      </c>
      <c r="C182" s="26">
        <f>C183+C184+C185+C186</f>
        <v>969.72508999999991</v>
      </c>
      <c r="D182" s="26">
        <f>D183+D184+D185+D186</f>
        <v>968.82508999999993</v>
      </c>
      <c r="E182" s="26">
        <f>E183+E184+E185+E186</f>
        <v>881.39329999999995</v>
      </c>
      <c r="F182" s="27">
        <f>IFERROR(E182/B182*100,0)</f>
        <v>74.782988113690763</v>
      </c>
      <c r="G182" s="27">
        <f>IFERROR(E182/C182*100,0)</f>
        <v>90.891048307309447</v>
      </c>
      <c r="H182" s="26">
        <f>H183+H184+H185+H186</f>
        <v>0</v>
      </c>
      <c r="I182" s="26">
        <f t="shared" ref="I182:AE182" si="46">I183+I184+I185+I186</f>
        <v>0</v>
      </c>
      <c r="J182" s="26">
        <f t="shared" si="46"/>
        <v>123.75</v>
      </c>
      <c r="K182" s="26">
        <f t="shared" si="46"/>
        <v>123.8</v>
      </c>
      <c r="L182" s="26">
        <f t="shared" si="46"/>
        <v>170.89000000000001</v>
      </c>
      <c r="M182" s="26">
        <f t="shared" si="46"/>
        <v>170.05799999999999</v>
      </c>
      <c r="N182" s="26">
        <f t="shared" si="46"/>
        <v>92.240000000000009</v>
      </c>
      <c r="O182" s="26">
        <f t="shared" si="46"/>
        <v>24.48</v>
      </c>
      <c r="P182" s="26">
        <f t="shared" si="46"/>
        <v>176.8364</v>
      </c>
      <c r="Q182" s="26">
        <f t="shared" si="46"/>
        <v>176.83</v>
      </c>
      <c r="R182" s="26">
        <f t="shared" si="46"/>
        <v>205.44823000000002</v>
      </c>
      <c r="S182" s="26">
        <f t="shared" si="46"/>
        <v>221.96</v>
      </c>
      <c r="T182" s="26">
        <f t="shared" si="46"/>
        <v>0</v>
      </c>
      <c r="U182" s="26">
        <f t="shared" si="46"/>
        <v>0.31</v>
      </c>
      <c r="V182" s="26">
        <f t="shared" si="46"/>
        <v>32.380000000000003</v>
      </c>
      <c r="W182" s="26">
        <f t="shared" si="46"/>
        <v>32.380000000000003</v>
      </c>
      <c r="X182" s="26">
        <f t="shared" si="46"/>
        <v>69.567229999999995</v>
      </c>
      <c r="Y182" s="26">
        <f t="shared" si="46"/>
        <v>103.99530000000001</v>
      </c>
      <c r="Z182" s="26">
        <f t="shared" si="46"/>
        <v>98.613230000000001</v>
      </c>
      <c r="AA182" s="26">
        <f t="shared" si="46"/>
        <v>27.580000000000002</v>
      </c>
      <c r="AB182" s="26">
        <f t="shared" si="46"/>
        <v>119.98225000000001</v>
      </c>
      <c r="AC182" s="26">
        <f t="shared" si="46"/>
        <v>0</v>
      </c>
      <c r="AD182" s="26">
        <f t="shared" si="46"/>
        <v>88.894000000000005</v>
      </c>
      <c r="AE182" s="26">
        <f t="shared" si="46"/>
        <v>0</v>
      </c>
      <c r="AF182" s="23"/>
      <c r="AG182" s="24">
        <f t="shared" ref="AG182:AG192" si="47">B182-H182-J182-L182-N182-P182-R182-T182-V182-X182-Z182-AB182-AD182</f>
        <v>0</v>
      </c>
    </row>
    <row r="183" spans="1:33" x14ac:dyDescent="0.3">
      <c r="A183" s="28" t="s">
        <v>28</v>
      </c>
      <c r="B183" s="29">
        <f>B189</f>
        <v>455.10402999999997</v>
      </c>
      <c r="C183" s="29">
        <f>C189</f>
        <v>374.45200999999997</v>
      </c>
      <c r="D183" s="29">
        <f>D189</f>
        <v>374.45200999999997</v>
      </c>
      <c r="E183" s="29">
        <f>E189</f>
        <v>340.30329999999998</v>
      </c>
      <c r="F183" s="29">
        <f>IFERROR(E183/B183*100,0)</f>
        <v>74.774837744240585</v>
      </c>
      <c r="G183" s="29">
        <f>IFERROR(E183/C183*100,0)</f>
        <v>90.880350729056047</v>
      </c>
      <c r="H183" s="29">
        <f t="shared" ref="H183:AE186" si="48">H189</f>
        <v>0</v>
      </c>
      <c r="I183" s="29">
        <f t="shared" si="48"/>
        <v>0</v>
      </c>
      <c r="J183" s="29">
        <f t="shared" si="48"/>
        <v>47.78</v>
      </c>
      <c r="K183" s="29">
        <f t="shared" si="48"/>
        <v>47.9</v>
      </c>
      <c r="L183" s="29">
        <f t="shared" si="48"/>
        <v>65.98</v>
      </c>
      <c r="M183" s="29">
        <f t="shared" si="48"/>
        <v>65.86</v>
      </c>
      <c r="N183" s="29">
        <f t="shared" si="48"/>
        <v>35.630000000000003</v>
      </c>
      <c r="O183" s="29">
        <f t="shared" si="48"/>
        <v>9.15</v>
      </c>
      <c r="P183" s="29">
        <f t="shared" si="48"/>
        <v>68.342010000000002</v>
      </c>
      <c r="Q183" s="29">
        <f t="shared" si="48"/>
        <v>68.34</v>
      </c>
      <c r="R183" s="29">
        <f t="shared" si="48"/>
        <v>79.260000000000005</v>
      </c>
      <c r="S183" s="29">
        <f t="shared" si="48"/>
        <v>85.43</v>
      </c>
      <c r="T183" s="29">
        <f t="shared" si="48"/>
        <v>0</v>
      </c>
      <c r="U183" s="29">
        <f t="shared" si="48"/>
        <v>0.31</v>
      </c>
      <c r="V183" s="29">
        <f t="shared" si="48"/>
        <v>32.28</v>
      </c>
      <c r="W183" s="29">
        <f t="shared" si="48"/>
        <v>32.28</v>
      </c>
      <c r="X183" s="29">
        <f t="shared" si="48"/>
        <v>7.1499999999999986</v>
      </c>
      <c r="Y183" s="29">
        <f t="shared" si="48"/>
        <v>20.383299999999998</v>
      </c>
      <c r="Z183" s="29">
        <f t="shared" si="48"/>
        <v>38.03</v>
      </c>
      <c r="AA183" s="29">
        <f t="shared" si="48"/>
        <v>10.65</v>
      </c>
      <c r="AB183" s="29">
        <f t="shared" si="48"/>
        <v>46.342020000000005</v>
      </c>
      <c r="AC183" s="29">
        <f t="shared" si="48"/>
        <v>0</v>
      </c>
      <c r="AD183" s="29">
        <f t="shared" si="48"/>
        <v>34.31</v>
      </c>
      <c r="AE183" s="29">
        <f t="shared" si="48"/>
        <v>0</v>
      </c>
      <c r="AF183" s="23"/>
      <c r="AG183" s="24">
        <f t="shared" si="47"/>
        <v>0</v>
      </c>
    </row>
    <row r="184" spans="1:33" x14ac:dyDescent="0.3">
      <c r="A184" s="28" t="s">
        <v>29</v>
      </c>
      <c r="B184" s="29">
        <f t="shared" ref="B184:E186" si="49">B190</f>
        <v>711.69530999999995</v>
      </c>
      <c r="C184" s="29">
        <f t="shared" si="49"/>
        <v>585.55507999999998</v>
      </c>
      <c r="D184" s="29">
        <f t="shared" si="49"/>
        <v>585.55507999999998</v>
      </c>
      <c r="E184" s="29">
        <f t="shared" si="49"/>
        <v>532.27199999999993</v>
      </c>
      <c r="F184" s="29">
        <f>IFERROR(E184/B184*100,0)</f>
        <v>74.789308362872305</v>
      </c>
      <c r="G184" s="29">
        <f>IFERROR(E184/C184*100,0)</f>
        <v>90.900415380223492</v>
      </c>
      <c r="H184" s="29">
        <f t="shared" si="48"/>
        <v>0</v>
      </c>
      <c r="I184" s="29">
        <f t="shared" si="48"/>
        <v>0</v>
      </c>
      <c r="J184" s="29">
        <f t="shared" si="48"/>
        <v>74.73</v>
      </c>
      <c r="K184" s="29">
        <f t="shared" si="48"/>
        <v>74.7</v>
      </c>
      <c r="L184" s="29">
        <f t="shared" si="48"/>
        <v>103.2</v>
      </c>
      <c r="M184" s="29">
        <f t="shared" si="48"/>
        <v>103.21</v>
      </c>
      <c r="N184" s="29">
        <f t="shared" si="48"/>
        <v>55.68</v>
      </c>
      <c r="O184" s="29">
        <f t="shared" si="48"/>
        <v>14.34</v>
      </c>
      <c r="P184" s="29">
        <f t="shared" si="48"/>
        <v>106.77439</v>
      </c>
      <c r="Q184" s="29">
        <f t="shared" si="48"/>
        <v>106.77</v>
      </c>
      <c r="R184" s="29">
        <f t="shared" si="48"/>
        <v>124.08023</v>
      </c>
      <c r="S184" s="29">
        <f t="shared" si="48"/>
        <v>134.25</v>
      </c>
      <c r="T184" s="29">
        <f t="shared" si="48"/>
        <v>0</v>
      </c>
      <c r="U184" s="29">
        <f t="shared" si="48"/>
        <v>0</v>
      </c>
      <c r="V184" s="29">
        <f t="shared" si="48"/>
        <v>0.1</v>
      </c>
      <c r="W184" s="29">
        <f t="shared" si="48"/>
        <v>0.1</v>
      </c>
      <c r="X184" s="29">
        <f t="shared" si="48"/>
        <v>61.57723</v>
      </c>
      <c r="Y184" s="29">
        <f t="shared" si="48"/>
        <v>82.242000000000004</v>
      </c>
      <c r="Z184" s="29">
        <f t="shared" si="48"/>
        <v>59.413229999999992</v>
      </c>
      <c r="AA184" s="29">
        <f t="shared" si="48"/>
        <v>16.66</v>
      </c>
      <c r="AB184" s="29">
        <f t="shared" si="48"/>
        <v>72.360230000000001</v>
      </c>
      <c r="AC184" s="29">
        <f t="shared" si="48"/>
        <v>0</v>
      </c>
      <c r="AD184" s="29">
        <f t="shared" si="48"/>
        <v>53.78</v>
      </c>
      <c r="AE184" s="29">
        <f t="shared" si="48"/>
        <v>0</v>
      </c>
      <c r="AF184" s="23"/>
      <c r="AG184" s="24">
        <f t="shared" si="47"/>
        <v>-8.5265128291212022E-14</v>
      </c>
    </row>
    <row r="185" spans="1:33" x14ac:dyDescent="0.3">
      <c r="A185" s="28" t="s">
        <v>30</v>
      </c>
      <c r="B185" s="31">
        <f t="shared" si="49"/>
        <v>11.802</v>
      </c>
      <c r="C185" s="29">
        <f t="shared" si="49"/>
        <v>9.718</v>
      </c>
      <c r="D185" s="29">
        <f t="shared" si="49"/>
        <v>8.8179999999999978</v>
      </c>
      <c r="E185" s="29">
        <f t="shared" si="49"/>
        <v>8.8179999999999978</v>
      </c>
      <c r="F185" s="29">
        <f>IFERROR(E185/B185*100,0)</f>
        <v>74.716149805117766</v>
      </c>
      <c r="G185" s="29">
        <f>IFERROR(E185/C185*100,0)</f>
        <v>90.738835151265675</v>
      </c>
      <c r="H185" s="29">
        <f t="shared" si="48"/>
        <v>0</v>
      </c>
      <c r="I185" s="29">
        <f t="shared" si="48"/>
        <v>0</v>
      </c>
      <c r="J185" s="29">
        <f t="shared" si="48"/>
        <v>1.24</v>
      </c>
      <c r="K185" s="29">
        <f t="shared" si="48"/>
        <v>1.2</v>
      </c>
      <c r="L185" s="29">
        <f t="shared" si="48"/>
        <v>1.71</v>
      </c>
      <c r="M185" s="29">
        <f t="shared" si="48"/>
        <v>0.98799999999999999</v>
      </c>
      <c r="N185" s="29">
        <f t="shared" si="48"/>
        <v>0.93</v>
      </c>
      <c r="O185" s="29">
        <f t="shared" si="48"/>
        <v>0.99</v>
      </c>
      <c r="P185" s="29">
        <f t="shared" si="48"/>
        <v>1.72</v>
      </c>
      <c r="Q185" s="29">
        <f t="shared" si="48"/>
        <v>1.72</v>
      </c>
      <c r="R185" s="29">
        <f t="shared" si="48"/>
        <v>2.1079999999999997</v>
      </c>
      <c r="S185" s="29">
        <f t="shared" si="48"/>
        <v>2.2799999999999998</v>
      </c>
      <c r="T185" s="29">
        <f t="shared" si="48"/>
        <v>0</v>
      </c>
      <c r="U185" s="29">
        <f t="shared" si="48"/>
        <v>0</v>
      </c>
      <c r="V185" s="29">
        <f t="shared" si="48"/>
        <v>0</v>
      </c>
      <c r="W185" s="29">
        <f t="shared" si="48"/>
        <v>0</v>
      </c>
      <c r="X185" s="29">
        <f t="shared" si="48"/>
        <v>0.84</v>
      </c>
      <c r="Y185" s="29">
        <f t="shared" si="48"/>
        <v>1.37</v>
      </c>
      <c r="Z185" s="29">
        <f t="shared" si="48"/>
        <v>1.17</v>
      </c>
      <c r="AA185" s="29">
        <f t="shared" si="48"/>
        <v>0.27</v>
      </c>
      <c r="AB185" s="29">
        <f t="shared" si="48"/>
        <v>1.28</v>
      </c>
      <c r="AC185" s="29">
        <f t="shared" si="48"/>
        <v>0</v>
      </c>
      <c r="AD185" s="29">
        <f t="shared" si="48"/>
        <v>0.80400000000000005</v>
      </c>
      <c r="AE185" s="29">
        <f t="shared" si="48"/>
        <v>0</v>
      </c>
      <c r="AF185" s="23"/>
      <c r="AG185" s="24">
        <f t="shared" si="47"/>
        <v>1.3322676295501878E-15</v>
      </c>
    </row>
    <row r="186" spans="1:33" x14ac:dyDescent="0.3">
      <c r="A186" s="28" t="s">
        <v>31</v>
      </c>
      <c r="B186" s="29">
        <f>B192</f>
        <v>0</v>
      </c>
      <c r="C186" s="29">
        <f t="shared" si="49"/>
        <v>0</v>
      </c>
      <c r="D186" s="29">
        <f t="shared" si="49"/>
        <v>0</v>
      </c>
      <c r="E186" s="29">
        <f t="shared" si="49"/>
        <v>0</v>
      </c>
      <c r="F186" s="29">
        <f>IFERROR(E186/B186*100,0)</f>
        <v>0</v>
      </c>
      <c r="G186" s="29">
        <f>IFERROR(E186/C186*100,0)</f>
        <v>0</v>
      </c>
      <c r="H186" s="29">
        <f t="shared" si="48"/>
        <v>0</v>
      </c>
      <c r="I186" s="29">
        <f t="shared" si="48"/>
        <v>0</v>
      </c>
      <c r="J186" s="29">
        <f t="shared" si="48"/>
        <v>0</v>
      </c>
      <c r="K186" s="29">
        <f t="shared" si="48"/>
        <v>0</v>
      </c>
      <c r="L186" s="29">
        <f t="shared" si="48"/>
        <v>0</v>
      </c>
      <c r="M186" s="29">
        <f t="shared" si="48"/>
        <v>0</v>
      </c>
      <c r="N186" s="29">
        <f t="shared" si="48"/>
        <v>0</v>
      </c>
      <c r="O186" s="29">
        <f t="shared" si="48"/>
        <v>0</v>
      </c>
      <c r="P186" s="29">
        <f t="shared" si="48"/>
        <v>0</v>
      </c>
      <c r="Q186" s="29">
        <f t="shared" si="48"/>
        <v>0</v>
      </c>
      <c r="R186" s="29">
        <f t="shared" si="48"/>
        <v>0</v>
      </c>
      <c r="S186" s="29">
        <f t="shared" si="48"/>
        <v>0</v>
      </c>
      <c r="T186" s="29">
        <f t="shared" si="48"/>
        <v>0</v>
      </c>
      <c r="U186" s="29">
        <f t="shared" si="48"/>
        <v>0</v>
      </c>
      <c r="V186" s="29">
        <f t="shared" si="48"/>
        <v>0</v>
      </c>
      <c r="W186" s="29">
        <f t="shared" si="48"/>
        <v>0</v>
      </c>
      <c r="X186" s="29">
        <f t="shared" si="48"/>
        <v>0</v>
      </c>
      <c r="Y186" s="29">
        <f t="shared" si="48"/>
        <v>0</v>
      </c>
      <c r="Z186" s="29">
        <f t="shared" si="48"/>
        <v>0</v>
      </c>
      <c r="AA186" s="29">
        <f t="shared" si="48"/>
        <v>0</v>
      </c>
      <c r="AB186" s="29">
        <f t="shared" si="48"/>
        <v>0</v>
      </c>
      <c r="AC186" s="29">
        <f t="shared" si="48"/>
        <v>0</v>
      </c>
      <c r="AD186" s="29">
        <f t="shared" si="48"/>
        <v>0</v>
      </c>
      <c r="AE186" s="29">
        <f t="shared" si="48"/>
        <v>0</v>
      </c>
      <c r="AF186" s="23"/>
      <c r="AG186" s="24">
        <f t="shared" si="47"/>
        <v>0</v>
      </c>
    </row>
    <row r="187" spans="1:33" ht="102.75" customHeight="1" x14ac:dyDescent="0.3">
      <c r="A187" s="30" t="s">
        <v>67</v>
      </c>
      <c r="B187" s="91"/>
      <c r="C187" s="32"/>
      <c r="D187" s="32"/>
      <c r="E187" s="32"/>
      <c r="F187" s="32"/>
      <c r="G187" s="32"/>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85" t="s">
        <v>68</v>
      </c>
      <c r="AG187" s="24">
        <f t="shared" si="47"/>
        <v>0</v>
      </c>
    </row>
    <row r="188" spans="1:33" x14ac:dyDescent="0.3">
      <c r="A188" s="71" t="s">
        <v>27</v>
      </c>
      <c r="B188" s="36">
        <f>B190+B191+B189+B192</f>
        <v>1178.6013399999999</v>
      </c>
      <c r="C188" s="70">
        <f>C190+C191+C189+C192</f>
        <v>969.72508999999991</v>
      </c>
      <c r="D188" s="92">
        <f>D190+D191+D189+D192</f>
        <v>968.82508999999993</v>
      </c>
      <c r="E188" s="70">
        <f>E190+E191+E189+E192</f>
        <v>881.39329999999995</v>
      </c>
      <c r="F188" s="70">
        <f>IFERROR(E188/B188*100,0)</f>
        <v>74.782988113690763</v>
      </c>
      <c r="G188" s="70">
        <f>IFERROR(E188/C188*100,0)</f>
        <v>90.891048307309447</v>
      </c>
      <c r="H188" s="70">
        <f t="shared" ref="H188:AE188" si="50">H190+H191+H189+H192</f>
        <v>0</v>
      </c>
      <c r="I188" s="70">
        <f t="shared" si="50"/>
        <v>0</v>
      </c>
      <c r="J188" s="70">
        <f t="shared" si="50"/>
        <v>123.75</v>
      </c>
      <c r="K188" s="70">
        <f t="shared" si="50"/>
        <v>123.80000000000001</v>
      </c>
      <c r="L188" s="70">
        <f t="shared" si="50"/>
        <v>170.89</v>
      </c>
      <c r="M188" s="70">
        <f t="shared" si="50"/>
        <v>170.05799999999999</v>
      </c>
      <c r="N188" s="70">
        <f t="shared" si="50"/>
        <v>92.240000000000009</v>
      </c>
      <c r="O188" s="70">
        <f t="shared" si="50"/>
        <v>24.48</v>
      </c>
      <c r="P188" s="70">
        <f t="shared" si="50"/>
        <v>176.8364</v>
      </c>
      <c r="Q188" s="70">
        <f t="shared" si="50"/>
        <v>176.82999999999998</v>
      </c>
      <c r="R188" s="70">
        <f t="shared" si="50"/>
        <v>205.44823000000002</v>
      </c>
      <c r="S188" s="70">
        <f t="shared" si="50"/>
        <v>221.96</v>
      </c>
      <c r="T188" s="70">
        <f t="shared" si="50"/>
        <v>0</v>
      </c>
      <c r="U188" s="70">
        <f t="shared" si="50"/>
        <v>0.31</v>
      </c>
      <c r="V188" s="70">
        <f t="shared" si="50"/>
        <v>32.380000000000003</v>
      </c>
      <c r="W188" s="70">
        <f t="shared" si="50"/>
        <v>32.380000000000003</v>
      </c>
      <c r="X188" s="70">
        <f t="shared" si="50"/>
        <v>69.567229999999995</v>
      </c>
      <c r="Y188" s="70">
        <f t="shared" si="50"/>
        <v>103.99530000000001</v>
      </c>
      <c r="Z188" s="70">
        <f t="shared" si="50"/>
        <v>98.613229999999987</v>
      </c>
      <c r="AA188" s="70">
        <f t="shared" si="50"/>
        <v>27.58</v>
      </c>
      <c r="AB188" s="70">
        <f t="shared" si="50"/>
        <v>119.98225000000001</v>
      </c>
      <c r="AC188" s="70">
        <f t="shared" si="50"/>
        <v>0</v>
      </c>
      <c r="AD188" s="70">
        <f t="shared" si="50"/>
        <v>88.894000000000005</v>
      </c>
      <c r="AE188" s="70">
        <f t="shared" si="50"/>
        <v>0</v>
      </c>
      <c r="AF188" s="34"/>
      <c r="AG188" s="24">
        <f t="shared" si="47"/>
        <v>0</v>
      </c>
    </row>
    <row r="189" spans="1:33" x14ac:dyDescent="0.3">
      <c r="A189" s="46" t="s">
        <v>28</v>
      </c>
      <c r="B189" s="75">
        <f>J189+L189+N189+P189+R189+T189+V189+X189+Z189+AB189+AD189+H189</f>
        <v>455.10402999999997</v>
      </c>
      <c r="C189" s="73">
        <f>H189+J189+L189+N189+P189+R189+T189+V189+X189+Z189</f>
        <v>374.45200999999997</v>
      </c>
      <c r="D189" s="74">
        <f>C189</f>
        <v>374.45200999999997</v>
      </c>
      <c r="E189" s="73">
        <f>SUM(I189,K189,M189,O189,Q189,S189,U189,W189,Y189,AA189,AC189,AE189)</f>
        <v>340.30329999999998</v>
      </c>
      <c r="F189" s="75">
        <f>IFERROR(E189/B189*100,0)</f>
        <v>74.774837744240585</v>
      </c>
      <c r="G189" s="75">
        <f>IFERROR(E189/C189*100,0)</f>
        <v>90.880350729056047</v>
      </c>
      <c r="H189" s="45">
        <v>0</v>
      </c>
      <c r="I189" s="45"/>
      <c r="J189" s="45">
        <v>47.78</v>
      </c>
      <c r="K189" s="45">
        <v>47.9</v>
      </c>
      <c r="L189" s="45">
        <v>65.98</v>
      </c>
      <c r="M189" s="45">
        <v>65.86</v>
      </c>
      <c r="N189" s="45">
        <v>35.630000000000003</v>
      </c>
      <c r="O189" s="45">
        <v>9.15</v>
      </c>
      <c r="P189" s="45">
        <v>68.342010000000002</v>
      </c>
      <c r="Q189" s="45">
        <v>68.34</v>
      </c>
      <c r="R189" s="45">
        <f>38+18.75+22.51</f>
        <v>79.260000000000005</v>
      </c>
      <c r="S189" s="45">
        <v>85.43</v>
      </c>
      <c r="T189" s="45"/>
      <c r="U189" s="33">
        <v>0.31</v>
      </c>
      <c r="V189" s="33">
        <f>28.52-18.75+22.51</f>
        <v>32.28</v>
      </c>
      <c r="W189" s="33">
        <v>32.28</v>
      </c>
      <c r="X189" s="33">
        <f>38-22.51-8.34</f>
        <v>7.1499999999999986</v>
      </c>
      <c r="Y189" s="33">
        <f>13.2333+7.15</f>
        <v>20.383299999999998</v>
      </c>
      <c r="Z189" s="33">
        <v>38.03</v>
      </c>
      <c r="AA189" s="33">
        <v>10.65</v>
      </c>
      <c r="AB189" s="33">
        <f>38.00202+8.34</f>
        <v>46.342020000000005</v>
      </c>
      <c r="AC189" s="33"/>
      <c r="AD189" s="33">
        <v>34.31</v>
      </c>
      <c r="AE189" s="33"/>
      <c r="AF189" s="34"/>
      <c r="AG189" s="24">
        <f t="shared" si="47"/>
        <v>0</v>
      </c>
    </row>
    <row r="190" spans="1:33" x14ac:dyDescent="0.3">
      <c r="A190" s="46" t="s">
        <v>29</v>
      </c>
      <c r="B190" s="75">
        <f>J190+L190+N190+P190+R190+T190+V190+X190+Z190+AB190+AD190+H190</f>
        <v>711.69530999999995</v>
      </c>
      <c r="C190" s="73">
        <f>H190+J190+L190+N190+P190+R190+T190+V190+X190+Z190</f>
        <v>585.55507999999998</v>
      </c>
      <c r="D190" s="74">
        <f>C190</f>
        <v>585.55507999999998</v>
      </c>
      <c r="E190" s="73">
        <f>SUM(I190,K190,M190,O190,Q190,S190,U190,W190,Y190,AA190,AC190,AE190)</f>
        <v>532.27199999999993</v>
      </c>
      <c r="F190" s="75">
        <f>IFERROR(E190/B190*100,0)</f>
        <v>74.789308362872305</v>
      </c>
      <c r="G190" s="75">
        <f>IFERROR(E190/C190*100,0)</f>
        <v>90.900415380223492</v>
      </c>
      <c r="H190" s="45">
        <v>0</v>
      </c>
      <c r="I190" s="45"/>
      <c r="J190" s="45">
        <v>74.73</v>
      </c>
      <c r="K190" s="45">
        <v>74.7</v>
      </c>
      <c r="L190" s="45">
        <v>103.2</v>
      </c>
      <c r="M190" s="45">
        <v>103.21</v>
      </c>
      <c r="N190" s="45">
        <v>55.68</v>
      </c>
      <c r="O190" s="45">
        <v>14.34</v>
      </c>
      <c r="P190" s="45">
        <v>106.77439</v>
      </c>
      <c r="Q190" s="45">
        <v>106.77</v>
      </c>
      <c r="R190" s="45">
        <f>64.65+59.43023</f>
        <v>124.08023</v>
      </c>
      <c r="S190" s="45">
        <v>134.25</v>
      </c>
      <c r="T190" s="45"/>
      <c r="U190" s="33"/>
      <c r="V190" s="33">
        <v>0.1</v>
      </c>
      <c r="W190" s="33">
        <v>0.1</v>
      </c>
      <c r="X190" s="33">
        <f>2.147+59.43023</f>
        <v>61.57723</v>
      </c>
      <c r="Y190" s="33">
        <v>82.242000000000004</v>
      </c>
      <c r="Z190" s="33">
        <f>59.43023+15.06-2.147-12.93</f>
        <v>59.413229999999992</v>
      </c>
      <c r="AA190" s="33">
        <v>16.66</v>
      </c>
      <c r="AB190" s="33">
        <f>12.93+59.43023</f>
        <v>72.360230000000001</v>
      </c>
      <c r="AC190" s="33"/>
      <c r="AD190" s="45">
        <v>53.78</v>
      </c>
      <c r="AE190" s="33"/>
      <c r="AF190" s="34"/>
      <c r="AG190" s="24">
        <f t="shared" si="47"/>
        <v>-8.5265128291212022E-14</v>
      </c>
    </row>
    <row r="191" spans="1:33" x14ac:dyDescent="0.3">
      <c r="A191" s="46" t="s">
        <v>30</v>
      </c>
      <c r="B191" s="75">
        <f>J191+L191+N191+P191+R191+T191+V191+X191+Z191+AB191+AD191+H191</f>
        <v>11.802</v>
      </c>
      <c r="C191" s="73">
        <f>H191+J191+L191+N191+P191+R191+T191+V191+X191+Z191</f>
        <v>9.718</v>
      </c>
      <c r="D191" s="74">
        <f>E191</f>
        <v>8.8179999999999978</v>
      </c>
      <c r="E191" s="73">
        <f>SUM(I191,K191,M191,O191,Q191,S191,U191,W191,Y191,AA191,AC191,AE191)</f>
        <v>8.8179999999999978</v>
      </c>
      <c r="F191" s="75">
        <f>IFERROR(E191/B191*100,0)</f>
        <v>74.716149805117766</v>
      </c>
      <c r="G191" s="75">
        <f>IFERROR(E191/C191*100,0)</f>
        <v>90.738835151265675</v>
      </c>
      <c r="H191" s="45"/>
      <c r="I191" s="45"/>
      <c r="J191" s="45">
        <v>1.24</v>
      </c>
      <c r="K191" s="45">
        <v>1.2</v>
      </c>
      <c r="L191" s="45">
        <v>1.71</v>
      </c>
      <c r="M191" s="45">
        <v>0.98799999999999999</v>
      </c>
      <c r="N191" s="45">
        <v>0.93</v>
      </c>
      <c r="O191" s="45">
        <v>0.99</v>
      </c>
      <c r="P191" s="45">
        <v>1.72</v>
      </c>
      <c r="Q191" s="45">
        <v>1.72</v>
      </c>
      <c r="R191" s="45">
        <f>1.11+0.988+0.01</f>
        <v>2.1079999999999997</v>
      </c>
      <c r="S191" s="45">
        <v>2.2799999999999998</v>
      </c>
      <c r="T191" s="45"/>
      <c r="U191" s="33"/>
      <c r="V191" s="33"/>
      <c r="W191" s="33"/>
      <c r="X191" s="33">
        <f>1-0.01-0.15</f>
        <v>0.84</v>
      </c>
      <c r="Y191" s="33">
        <f>0.38+0.99</f>
        <v>1.37</v>
      </c>
      <c r="Z191" s="33">
        <v>1.17</v>
      </c>
      <c r="AA191" s="33">
        <v>0.27</v>
      </c>
      <c r="AB191" s="33">
        <v>1.28</v>
      </c>
      <c r="AC191" s="33"/>
      <c r="AD191" s="33">
        <f>0.914-0.11</f>
        <v>0.80400000000000005</v>
      </c>
      <c r="AE191" s="33"/>
      <c r="AF191" s="34"/>
      <c r="AG191" s="24">
        <f t="shared" si="47"/>
        <v>1.3322676295501878E-15</v>
      </c>
    </row>
    <row r="192" spans="1:33" x14ac:dyDescent="0.3">
      <c r="A192" s="46" t="s">
        <v>31</v>
      </c>
      <c r="B192" s="47"/>
      <c r="C192" s="48"/>
      <c r="D192" s="49"/>
      <c r="E192" s="48"/>
      <c r="F192" s="47"/>
      <c r="G192" s="47"/>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4"/>
      <c r="AG192" s="24">
        <f t="shared" si="47"/>
        <v>0</v>
      </c>
    </row>
    <row r="193" spans="1:33" x14ac:dyDescent="0.3">
      <c r="A193" s="16" t="s">
        <v>34</v>
      </c>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8"/>
      <c r="AG193" s="24">
        <f t="shared" si="33"/>
        <v>0</v>
      </c>
    </row>
    <row r="194" spans="1:33" ht="75" x14ac:dyDescent="0.3">
      <c r="A194" s="93" t="s">
        <v>69</v>
      </c>
      <c r="B194" s="94"/>
      <c r="C194" s="95"/>
      <c r="D194" s="95"/>
      <c r="E194" s="95"/>
      <c r="F194" s="95"/>
      <c r="G194" s="95"/>
      <c r="H194" s="94"/>
      <c r="I194" s="94"/>
      <c r="J194" s="94"/>
      <c r="K194" s="94"/>
      <c r="L194" s="94"/>
      <c r="M194" s="94"/>
      <c r="N194" s="94"/>
      <c r="O194" s="94"/>
      <c r="P194" s="94"/>
      <c r="Q194" s="94"/>
      <c r="R194" s="94"/>
      <c r="S194" s="94"/>
      <c r="T194" s="94"/>
      <c r="U194" s="94"/>
      <c r="V194" s="94"/>
      <c r="W194" s="94"/>
      <c r="X194" s="94"/>
      <c r="Y194" s="94"/>
      <c r="Z194" s="94"/>
      <c r="AA194" s="94"/>
      <c r="AB194" s="94"/>
      <c r="AC194" s="94"/>
      <c r="AD194" s="94"/>
      <c r="AE194" s="94"/>
      <c r="AF194" s="23"/>
      <c r="AG194" s="24">
        <f t="shared" si="33"/>
        <v>0</v>
      </c>
    </row>
    <row r="195" spans="1:33" x14ac:dyDescent="0.3">
      <c r="A195" s="25" t="s">
        <v>27</v>
      </c>
      <c r="B195" s="26">
        <f>B196+B197+B198+B199</f>
        <v>1657.9500000000003</v>
      </c>
      <c r="C195" s="26">
        <f>C196+C197+C198+C199</f>
        <v>1323.7</v>
      </c>
      <c r="D195" s="26">
        <f>D196+D197+D198+D199</f>
        <v>1323.6999999999998</v>
      </c>
      <c r="E195" s="26">
        <f>E196+E197+E198+E199</f>
        <v>1323.6999999999998</v>
      </c>
      <c r="F195" s="29">
        <f>IFERROR(E195/B195*100,0)</f>
        <v>79.839560903525424</v>
      </c>
      <c r="G195" s="29">
        <f>IFERROR(E195/C195*100,0)</f>
        <v>99.999999999999972</v>
      </c>
      <c r="H195" s="26">
        <f>H196+H197+H198+H199</f>
        <v>100</v>
      </c>
      <c r="I195" s="26">
        <f t="shared" ref="I195:AE195" si="51">I196+I197+I198+I199</f>
        <v>100</v>
      </c>
      <c r="J195" s="26">
        <f t="shared" si="51"/>
        <v>383.5</v>
      </c>
      <c r="K195" s="26">
        <f t="shared" si="51"/>
        <v>0</v>
      </c>
      <c r="L195" s="26">
        <f t="shared" si="51"/>
        <v>487.2</v>
      </c>
      <c r="M195" s="26">
        <f t="shared" si="51"/>
        <v>0</v>
      </c>
      <c r="N195" s="26">
        <f t="shared" si="51"/>
        <v>108.2</v>
      </c>
      <c r="O195" s="26">
        <f t="shared" si="51"/>
        <v>978.9</v>
      </c>
      <c r="P195" s="26">
        <f t="shared" si="51"/>
        <v>100.2</v>
      </c>
      <c r="Q195" s="26">
        <f t="shared" si="51"/>
        <v>100.2</v>
      </c>
      <c r="R195" s="26">
        <f t="shared" si="51"/>
        <v>111.6</v>
      </c>
      <c r="S195" s="26">
        <f t="shared" si="51"/>
        <v>111.6</v>
      </c>
      <c r="T195" s="26">
        <f t="shared" si="51"/>
        <v>19.399999999999999</v>
      </c>
      <c r="U195" s="26">
        <f t="shared" si="51"/>
        <v>0</v>
      </c>
      <c r="V195" s="26">
        <f t="shared" si="51"/>
        <v>13.6</v>
      </c>
      <c r="W195" s="26">
        <f t="shared" si="51"/>
        <v>13.6</v>
      </c>
      <c r="X195" s="26">
        <f t="shared" si="51"/>
        <v>19.399999999999999</v>
      </c>
      <c r="Y195" s="26">
        <f t="shared" si="51"/>
        <v>19.399999999999999</v>
      </c>
      <c r="Z195" s="26">
        <f t="shared" si="51"/>
        <v>0</v>
      </c>
      <c r="AA195" s="26">
        <f t="shared" si="51"/>
        <v>0</v>
      </c>
      <c r="AB195" s="26">
        <f t="shared" si="51"/>
        <v>0</v>
      </c>
      <c r="AC195" s="26">
        <f t="shared" si="51"/>
        <v>0</v>
      </c>
      <c r="AD195" s="26">
        <f t="shared" si="51"/>
        <v>314.85000000000002</v>
      </c>
      <c r="AE195" s="26">
        <f t="shared" si="51"/>
        <v>0</v>
      </c>
      <c r="AF195" s="23"/>
      <c r="AG195" s="24">
        <f t="shared" si="33"/>
        <v>0</v>
      </c>
    </row>
    <row r="196" spans="1:33" x14ac:dyDescent="0.3">
      <c r="A196" s="28" t="s">
        <v>28</v>
      </c>
      <c r="B196" s="29">
        <f>B202+B208</f>
        <v>0</v>
      </c>
      <c r="C196" s="29">
        <f>C202+C208</f>
        <v>0</v>
      </c>
      <c r="D196" s="29">
        <f>D202+D208</f>
        <v>0</v>
      </c>
      <c r="E196" s="29">
        <f>E202+E208</f>
        <v>0</v>
      </c>
      <c r="F196" s="29"/>
      <c r="G196" s="29"/>
      <c r="H196" s="29">
        <f t="shared" ref="H196:AE199" si="52">H202+H208</f>
        <v>0</v>
      </c>
      <c r="I196" s="29">
        <f t="shared" si="52"/>
        <v>0</v>
      </c>
      <c r="J196" s="29">
        <f t="shared" si="52"/>
        <v>0</v>
      </c>
      <c r="K196" s="29">
        <f t="shared" si="52"/>
        <v>0</v>
      </c>
      <c r="L196" s="29">
        <f t="shared" si="52"/>
        <v>0</v>
      </c>
      <c r="M196" s="29">
        <f t="shared" si="52"/>
        <v>0</v>
      </c>
      <c r="N196" s="29">
        <f t="shared" si="52"/>
        <v>0</v>
      </c>
      <c r="O196" s="29">
        <f t="shared" si="52"/>
        <v>0</v>
      </c>
      <c r="P196" s="29">
        <f t="shared" si="52"/>
        <v>0</v>
      </c>
      <c r="Q196" s="29">
        <f t="shared" si="52"/>
        <v>0</v>
      </c>
      <c r="R196" s="29">
        <f t="shared" si="52"/>
        <v>0</v>
      </c>
      <c r="S196" s="29">
        <f t="shared" si="52"/>
        <v>0</v>
      </c>
      <c r="T196" s="29">
        <f t="shared" si="52"/>
        <v>0</v>
      </c>
      <c r="U196" s="29">
        <f t="shared" si="52"/>
        <v>0</v>
      </c>
      <c r="V196" s="29">
        <f t="shared" si="52"/>
        <v>0</v>
      </c>
      <c r="W196" s="29">
        <f t="shared" si="52"/>
        <v>0</v>
      </c>
      <c r="X196" s="29">
        <f t="shared" si="52"/>
        <v>0</v>
      </c>
      <c r="Y196" s="29">
        <f t="shared" si="52"/>
        <v>0</v>
      </c>
      <c r="Z196" s="29">
        <f t="shared" si="52"/>
        <v>0</v>
      </c>
      <c r="AA196" s="29">
        <f t="shared" si="52"/>
        <v>0</v>
      </c>
      <c r="AB196" s="29">
        <f t="shared" si="52"/>
        <v>0</v>
      </c>
      <c r="AC196" s="29">
        <f t="shared" si="52"/>
        <v>0</v>
      </c>
      <c r="AD196" s="29">
        <f t="shared" si="52"/>
        <v>0</v>
      </c>
      <c r="AE196" s="29">
        <f t="shared" si="52"/>
        <v>0</v>
      </c>
      <c r="AF196" s="23"/>
      <c r="AG196" s="24">
        <f t="shared" si="33"/>
        <v>0</v>
      </c>
    </row>
    <row r="197" spans="1:33" x14ac:dyDescent="0.3">
      <c r="A197" s="28" t="s">
        <v>29</v>
      </c>
      <c r="B197" s="29">
        <f t="shared" ref="B197:E199" si="53">B203+B209</f>
        <v>0</v>
      </c>
      <c r="C197" s="29">
        <f t="shared" si="53"/>
        <v>0</v>
      </c>
      <c r="D197" s="29">
        <f t="shared" si="53"/>
        <v>0</v>
      </c>
      <c r="E197" s="29">
        <f t="shared" si="53"/>
        <v>0</v>
      </c>
      <c r="F197" s="29"/>
      <c r="G197" s="29"/>
      <c r="H197" s="29">
        <f t="shared" si="52"/>
        <v>0</v>
      </c>
      <c r="I197" s="29">
        <f t="shared" si="52"/>
        <v>0</v>
      </c>
      <c r="J197" s="29">
        <f t="shared" si="52"/>
        <v>0</v>
      </c>
      <c r="K197" s="29">
        <f t="shared" si="52"/>
        <v>0</v>
      </c>
      <c r="L197" s="29">
        <f t="shared" si="52"/>
        <v>0</v>
      </c>
      <c r="M197" s="29">
        <f t="shared" si="52"/>
        <v>0</v>
      </c>
      <c r="N197" s="29">
        <f t="shared" si="52"/>
        <v>0</v>
      </c>
      <c r="O197" s="29">
        <f t="shared" si="52"/>
        <v>0</v>
      </c>
      <c r="P197" s="29">
        <f t="shared" si="52"/>
        <v>0</v>
      </c>
      <c r="Q197" s="29">
        <f t="shared" si="52"/>
        <v>0</v>
      </c>
      <c r="R197" s="29">
        <f t="shared" si="52"/>
        <v>0</v>
      </c>
      <c r="S197" s="29">
        <f t="shared" si="52"/>
        <v>0</v>
      </c>
      <c r="T197" s="29">
        <f t="shared" si="52"/>
        <v>0</v>
      </c>
      <c r="U197" s="29">
        <f t="shared" si="52"/>
        <v>0</v>
      </c>
      <c r="V197" s="29">
        <f t="shared" si="52"/>
        <v>0</v>
      </c>
      <c r="W197" s="29">
        <f t="shared" si="52"/>
        <v>0</v>
      </c>
      <c r="X197" s="29">
        <f t="shared" si="52"/>
        <v>0</v>
      </c>
      <c r="Y197" s="29">
        <f t="shared" si="52"/>
        <v>0</v>
      </c>
      <c r="Z197" s="29">
        <f t="shared" si="52"/>
        <v>0</v>
      </c>
      <c r="AA197" s="29">
        <f t="shared" si="52"/>
        <v>0</v>
      </c>
      <c r="AB197" s="29">
        <f t="shared" si="52"/>
        <v>0</v>
      </c>
      <c r="AC197" s="29">
        <f t="shared" si="52"/>
        <v>0</v>
      </c>
      <c r="AD197" s="29">
        <f t="shared" si="52"/>
        <v>0</v>
      </c>
      <c r="AE197" s="29">
        <f t="shared" si="52"/>
        <v>0</v>
      </c>
      <c r="AF197" s="23"/>
      <c r="AG197" s="24">
        <f t="shared" si="33"/>
        <v>0</v>
      </c>
    </row>
    <row r="198" spans="1:33" x14ac:dyDescent="0.3">
      <c r="A198" s="28" t="s">
        <v>30</v>
      </c>
      <c r="B198" s="29">
        <f t="shared" si="53"/>
        <v>1657.9500000000003</v>
      </c>
      <c r="C198" s="29">
        <f>C204+C210</f>
        <v>1323.7</v>
      </c>
      <c r="D198" s="29">
        <f t="shared" si="53"/>
        <v>1323.6999999999998</v>
      </c>
      <c r="E198" s="29">
        <f t="shared" si="53"/>
        <v>1323.6999999999998</v>
      </c>
      <c r="F198" s="29">
        <f>IFERROR(E198/B198*100,0)</f>
        <v>79.839560903525424</v>
      </c>
      <c r="G198" s="29">
        <f>IFERROR(E198/C198*100,0)</f>
        <v>99.999999999999972</v>
      </c>
      <c r="H198" s="29">
        <f t="shared" si="52"/>
        <v>100</v>
      </c>
      <c r="I198" s="29">
        <f t="shared" si="52"/>
        <v>100</v>
      </c>
      <c r="J198" s="29">
        <f t="shared" si="52"/>
        <v>383.5</v>
      </c>
      <c r="K198" s="29">
        <f t="shared" si="52"/>
        <v>0</v>
      </c>
      <c r="L198" s="29">
        <f t="shared" si="52"/>
        <v>487.2</v>
      </c>
      <c r="M198" s="29">
        <f t="shared" si="52"/>
        <v>0</v>
      </c>
      <c r="N198" s="29">
        <f t="shared" si="52"/>
        <v>108.2</v>
      </c>
      <c r="O198" s="29">
        <f t="shared" si="52"/>
        <v>978.9</v>
      </c>
      <c r="P198" s="29">
        <f t="shared" si="52"/>
        <v>100.2</v>
      </c>
      <c r="Q198" s="29">
        <f t="shared" si="52"/>
        <v>100.2</v>
      </c>
      <c r="R198" s="29">
        <f t="shared" si="52"/>
        <v>111.6</v>
      </c>
      <c r="S198" s="29">
        <f t="shared" si="52"/>
        <v>111.6</v>
      </c>
      <c r="T198" s="29">
        <f t="shared" si="52"/>
        <v>19.399999999999999</v>
      </c>
      <c r="U198" s="29">
        <f t="shared" si="52"/>
        <v>0</v>
      </c>
      <c r="V198" s="29">
        <f t="shared" si="52"/>
        <v>13.6</v>
      </c>
      <c r="W198" s="29">
        <f t="shared" si="52"/>
        <v>13.6</v>
      </c>
      <c r="X198" s="29">
        <f t="shared" si="52"/>
        <v>19.399999999999999</v>
      </c>
      <c r="Y198" s="29">
        <f t="shared" si="52"/>
        <v>19.399999999999999</v>
      </c>
      <c r="Z198" s="29">
        <f t="shared" si="52"/>
        <v>0</v>
      </c>
      <c r="AA198" s="29">
        <f t="shared" si="52"/>
        <v>0</v>
      </c>
      <c r="AB198" s="29">
        <f t="shared" si="52"/>
        <v>0</v>
      </c>
      <c r="AC198" s="29">
        <f t="shared" si="52"/>
        <v>0</v>
      </c>
      <c r="AD198" s="29">
        <f t="shared" si="52"/>
        <v>314.85000000000002</v>
      </c>
      <c r="AE198" s="29">
        <f t="shared" si="52"/>
        <v>0</v>
      </c>
      <c r="AF198" s="23"/>
      <c r="AG198" s="24">
        <f t="shared" si="33"/>
        <v>0</v>
      </c>
    </row>
    <row r="199" spans="1:33" x14ac:dyDescent="0.3">
      <c r="A199" s="28" t="s">
        <v>31</v>
      </c>
      <c r="B199" s="29">
        <f t="shared" si="53"/>
        <v>0</v>
      </c>
      <c r="C199" s="29">
        <f t="shared" si="53"/>
        <v>0</v>
      </c>
      <c r="D199" s="29">
        <f t="shared" si="53"/>
        <v>0</v>
      </c>
      <c r="E199" s="29">
        <f t="shared" si="53"/>
        <v>0</v>
      </c>
      <c r="F199" s="29"/>
      <c r="G199" s="29"/>
      <c r="H199" s="29">
        <f t="shared" si="52"/>
        <v>0</v>
      </c>
      <c r="I199" s="29">
        <f t="shared" si="52"/>
        <v>0</v>
      </c>
      <c r="J199" s="29">
        <f t="shared" si="52"/>
        <v>0</v>
      </c>
      <c r="K199" s="29">
        <f t="shared" si="52"/>
        <v>0</v>
      </c>
      <c r="L199" s="29">
        <f t="shared" si="52"/>
        <v>0</v>
      </c>
      <c r="M199" s="29">
        <f t="shared" si="52"/>
        <v>0</v>
      </c>
      <c r="N199" s="29">
        <f t="shared" si="52"/>
        <v>0</v>
      </c>
      <c r="O199" s="29">
        <f t="shared" si="52"/>
        <v>0</v>
      </c>
      <c r="P199" s="29">
        <f t="shared" si="52"/>
        <v>0</v>
      </c>
      <c r="Q199" s="29">
        <f t="shared" si="52"/>
        <v>0</v>
      </c>
      <c r="R199" s="29">
        <f t="shared" si="52"/>
        <v>0</v>
      </c>
      <c r="S199" s="29">
        <f t="shared" si="52"/>
        <v>0</v>
      </c>
      <c r="T199" s="29">
        <f t="shared" si="52"/>
        <v>0</v>
      </c>
      <c r="U199" s="29">
        <f t="shared" si="52"/>
        <v>0</v>
      </c>
      <c r="V199" s="29">
        <f t="shared" si="52"/>
        <v>0</v>
      </c>
      <c r="W199" s="29">
        <f t="shared" si="52"/>
        <v>0</v>
      </c>
      <c r="X199" s="29">
        <f t="shared" si="52"/>
        <v>0</v>
      </c>
      <c r="Y199" s="29">
        <f t="shared" si="52"/>
        <v>0</v>
      </c>
      <c r="Z199" s="29">
        <f t="shared" si="52"/>
        <v>0</v>
      </c>
      <c r="AA199" s="29">
        <f t="shared" si="52"/>
        <v>0</v>
      </c>
      <c r="AB199" s="29">
        <f t="shared" si="52"/>
        <v>0</v>
      </c>
      <c r="AC199" s="29">
        <f t="shared" si="52"/>
        <v>0</v>
      </c>
      <c r="AD199" s="29">
        <f t="shared" si="52"/>
        <v>0</v>
      </c>
      <c r="AE199" s="29">
        <f t="shared" si="52"/>
        <v>0</v>
      </c>
      <c r="AF199" s="23"/>
      <c r="AG199" s="24">
        <f t="shared" si="33"/>
        <v>0</v>
      </c>
    </row>
    <row r="200" spans="1:33" ht="80.25" customHeight="1" x14ac:dyDescent="0.3">
      <c r="A200" s="30" t="s">
        <v>70</v>
      </c>
      <c r="B200" s="31"/>
      <c r="C200" s="32"/>
      <c r="D200" s="32"/>
      <c r="E200" s="32"/>
      <c r="F200" s="32"/>
      <c r="G200" s="32"/>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4"/>
      <c r="AG200" s="24">
        <f t="shared" si="33"/>
        <v>0</v>
      </c>
    </row>
    <row r="201" spans="1:33" x14ac:dyDescent="0.3">
      <c r="A201" s="35" t="s">
        <v>27</v>
      </c>
      <c r="B201" s="36">
        <f>B203+B204+B202+B205</f>
        <v>1557.9500000000003</v>
      </c>
      <c r="C201" s="70">
        <f>C203+C204+C202+C205</f>
        <v>1223.7</v>
      </c>
      <c r="D201" s="92">
        <f>D203+D204+D202+D205</f>
        <v>1223.6999999999998</v>
      </c>
      <c r="E201" s="70">
        <f>E203+E204+E202+E205</f>
        <v>1223.6999999999998</v>
      </c>
      <c r="F201" s="70">
        <f>IFERROR(E201/B201*100,0)</f>
        <v>78.545524567540653</v>
      </c>
      <c r="G201" s="70">
        <f>IFERROR(E201/C201*100,0)</f>
        <v>99.999999999999972</v>
      </c>
      <c r="H201" s="70">
        <f t="shared" ref="H201:AE201" si="54">H203+H204+H202+H205</f>
        <v>0</v>
      </c>
      <c r="I201" s="70">
        <f t="shared" si="54"/>
        <v>0</v>
      </c>
      <c r="J201" s="70">
        <f t="shared" si="54"/>
        <v>383.5</v>
      </c>
      <c r="K201" s="70">
        <f t="shared" si="54"/>
        <v>0</v>
      </c>
      <c r="L201" s="70">
        <f t="shared" si="54"/>
        <v>487.2</v>
      </c>
      <c r="M201" s="70">
        <f t="shared" si="54"/>
        <v>0</v>
      </c>
      <c r="N201" s="70">
        <f t="shared" si="54"/>
        <v>108.2</v>
      </c>
      <c r="O201" s="70">
        <f t="shared" si="54"/>
        <v>978.9</v>
      </c>
      <c r="P201" s="70">
        <f t="shared" si="54"/>
        <v>100.2</v>
      </c>
      <c r="Q201" s="70">
        <f t="shared" si="54"/>
        <v>100.2</v>
      </c>
      <c r="R201" s="70">
        <f t="shared" si="54"/>
        <v>111.6</v>
      </c>
      <c r="S201" s="70">
        <f t="shared" si="54"/>
        <v>111.6</v>
      </c>
      <c r="T201" s="70">
        <f t="shared" si="54"/>
        <v>19.399999999999999</v>
      </c>
      <c r="U201" s="70">
        <f t="shared" si="54"/>
        <v>0</v>
      </c>
      <c r="V201" s="70">
        <f t="shared" si="54"/>
        <v>13.6</v>
      </c>
      <c r="W201" s="70">
        <f t="shared" si="54"/>
        <v>13.6</v>
      </c>
      <c r="X201" s="70">
        <f t="shared" si="54"/>
        <v>19.399999999999999</v>
      </c>
      <c r="Y201" s="70">
        <f t="shared" si="54"/>
        <v>19.399999999999999</v>
      </c>
      <c r="Z201" s="70">
        <f t="shared" si="54"/>
        <v>0</v>
      </c>
      <c r="AA201" s="70">
        <f t="shared" si="54"/>
        <v>0</v>
      </c>
      <c r="AB201" s="70">
        <f t="shared" si="54"/>
        <v>0</v>
      </c>
      <c r="AC201" s="70">
        <f t="shared" si="54"/>
        <v>0</v>
      </c>
      <c r="AD201" s="70">
        <f t="shared" si="54"/>
        <v>314.85000000000002</v>
      </c>
      <c r="AE201" s="70">
        <f t="shared" si="54"/>
        <v>0</v>
      </c>
      <c r="AF201" s="34"/>
      <c r="AG201" s="24">
        <f t="shared" si="33"/>
        <v>0</v>
      </c>
    </row>
    <row r="202" spans="1:33" x14ac:dyDescent="0.3">
      <c r="A202" s="42" t="s">
        <v>28</v>
      </c>
      <c r="B202" s="31">
        <f>J202+L202+N202+P202+R202+T202+V202+X202+Z202+AB202+AD202+H202</f>
        <v>0</v>
      </c>
      <c r="C202" s="48">
        <f>SUM(H202)</f>
        <v>0</v>
      </c>
      <c r="D202" s="49">
        <f>E202</f>
        <v>0</v>
      </c>
      <c r="E202" s="48">
        <f>SUM(I202,K202,M202,O202,Q202,S202,U202,W202,Y202,AA202,AC202,AE202)</f>
        <v>0</v>
      </c>
      <c r="F202" s="47">
        <f>IFERROR(E202/B202*100,0)</f>
        <v>0</v>
      </c>
      <c r="G202" s="47">
        <f>IFERROR(E202/C202*100,0)</f>
        <v>0</v>
      </c>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4"/>
      <c r="AG202" s="24">
        <f t="shared" si="33"/>
        <v>0</v>
      </c>
    </row>
    <row r="203" spans="1:33" x14ac:dyDescent="0.3">
      <c r="A203" s="42" t="s">
        <v>29</v>
      </c>
      <c r="B203" s="31">
        <f>J203+L203+N203+P203+R203+T203+V203+X203+Z203+AB203+AD203+H203</f>
        <v>0</v>
      </c>
      <c r="C203" s="48">
        <f>SUM(H203)</f>
        <v>0</v>
      </c>
      <c r="D203" s="49">
        <f>E203</f>
        <v>0</v>
      </c>
      <c r="E203" s="48">
        <f>SUM(I203,K203,M203,O203,Q203,S203,U203,W203,Y203,AA203,AC203,AE203)</f>
        <v>0</v>
      </c>
      <c r="F203" s="47">
        <f>IFERROR(E203/B203*100,0)</f>
        <v>0</v>
      </c>
      <c r="G203" s="47">
        <f>IFERROR(E203/C203*100,0)</f>
        <v>0</v>
      </c>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4"/>
      <c r="AG203" s="24">
        <f t="shared" si="33"/>
        <v>0</v>
      </c>
    </row>
    <row r="204" spans="1:33" x14ac:dyDescent="0.3">
      <c r="A204" s="42" t="s">
        <v>30</v>
      </c>
      <c r="B204" s="31">
        <f>J204+L204+N204+P204+R204+T204+V204+X204+Z204+AB204+AD204+H204</f>
        <v>1557.9500000000003</v>
      </c>
      <c r="C204" s="48">
        <f>H204+J204+L204+N204+P204+R204+T204+V204</f>
        <v>1223.7</v>
      </c>
      <c r="D204" s="49">
        <f>E204</f>
        <v>1223.6999999999998</v>
      </c>
      <c r="E204" s="48">
        <f>SUM(I204,K204,M204,O204,Q204,S204,U204,W204,Y204,AA204,AC204,AE204)</f>
        <v>1223.6999999999998</v>
      </c>
      <c r="F204" s="47">
        <f>IFERROR(E204/B204*100,0)</f>
        <v>78.545524567540653</v>
      </c>
      <c r="G204" s="47">
        <f>IFERROR(E204/C204*100,0)</f>
        <v>99.999999999999972</v>
      </c>
      <c r="H204" s="33"/>
      <c r="I204" s="33"/>
      <c r="J204" s="33">
        <v>383.5</v>
      </c>
      <c r="K204" s="33"/>
      <c r="L204" s="33">
        <v>487.2</v>
      </c>
      <c r="M204" s="33"/>
      <c r="N204" s="33">
        <v>108.2</v>
      </c>
      <c r="O204" s="33">
        <v>978.9</v>
      </c>
      <c r="P204" s="33">
        <v>100.2</v>
      </c>
      <c r="Q204" s="33">
        <v>100.2</v>
      </c>
      <c r="R204" s="33">
        <v>111.6</v>
      </c>
      <c r="S204" s="33">
        <v>111.6</v>
      </c>
      <c r="T204" s="33">
        <v>19.399999999999999</v>
      </c>
      <c r="U204" s="33"/>
      <c r="V204" s="33">
        <v>13.6</v>
      </c>
      <c r="W204" s="33">
        <v>13.6</v>
      </c>
      <c r="X204" s="33">
        <v>19.399999999999999</v>
      </c>
      <c r="Y204" s="33">
        <v>19.399999999999999</v>
      </c>
      <c r="Z204" s="33"/>
      <c r="AA204" s="33"/>
      <c r="AB204" s="33"/>
      <c r="AC204" s="33"/>
      <c r="AD204" s="33">
        <f>580-119.4-145.75</f>
        <v>314.85000000000002</v>
      </c>
      <c r="AE204" s="33"/>
      <c r="AF204" s="34"/>
      <c r="AG204" s="24">
        <f t="shared" si="33"/>
        <v>0</v>
      </c>
    </row>
    <row r="205" spans="1:33" x14ac:dyDescent="0.3">
      <c r="A205" s="42" t="s">
        <v>31</v>
      </c>
      <c r="B205" s="31"/>
      <c r="C205" s="48"/>
      <c r="D205" s="49"/>
      <c r="E205" s="48"/>
      <c r="F205" s="47"/>
      <c r="G205" s="47"/>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4"/>
      <c r="AG205" s="24">
        <f t="shared" si="33"/>
        <v>0</v>
      </c>
    </row>
    <row r="206" spans="1:33" ht="80.25" customHeight="1" x14ac:dyDescent="0.3">
      <c r="A206" s="30" t="s">
        <v>71</v>
      </c>
      <c r="B206" s="31"/>
      <c r="C206" s="32"/>
      <c r="D206" s="32"/>
      <c r="E206" s="32"/>
      <c r="F206" s="32"/>
      <c r="G206" s="32"/>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4"/>
      <c r="AG206" s="24">
        <f t="shared" si="33"/>
        <v>0</v>
      </c>
    </row>
    <row r="207" spans="1:33" x14ac:dyDescent="0.3">
      <c r="A207" s="35" t="s">
        <v>27</v>
      </c>
      <c r="B207" s="36">
        <f>B209+B210+B208+B211</f>
        <v>100</v>
      </c>
      <c r="C207" s="70">
        <f>C209+C210+C208+C211</f>
        <v>100</v>
      </c>
      <c r="D207" s="92">
        <f>D209+D210+D208+D211</f>
        <v>100</v>
      </c>
      <c r="E207" s="70">
        <f>E209+E210+E208+E211</f>
        <v>100</v>
      </c>
      <c r="F207" s="70">
        <f>IFERROR(E207/B207*100,0)</f>
        <v>100</v>
      </c>
      <c r="G207" s="70">
        <f>IFERROR(E207/C207*100,0)</f>
        <v>100</v>
      </c>
      <c r="H207" s="70">
        <f t="shared" ref="H207:AE207" si="55">H209+H210+H208+H211</f>
        <v>100</v>
      </c>
      <c r="I207" s="70">
        <f t="shared" si="55"/>
        <v>100</v>
      </c>
      <c r="J207" s="70">
        <f t="shared" si="55"/>
        <v>0</v>
      </c>
      <c r="K207" s="70">
        <f t="shared" si="55"/>
        <v>0</v>
      </c>
      <c r="L207" s="70">
        <f t="shared" si="55"/>
        <v>0</v>
      </c>
      <c r="M207" s="70">
        <f t="shared" si="55"/>
        <v>0</v>
      </c>
      <c r="N207" s="70">
        <f t="shared" si="55"/>
        <v>0</v>
      </c>
      <c r="O207" s="70">
        <f t="shared" si="55"/>
        <v>0</v>
      </c>
      <c r="P207" s="70">
        <f t="shared" si="55"/>
        <v>0</v>
      </c>
      <c r="Q207" s="70">
        <f t="shared" si="55"/>
        <v>0</v>
      </c>
      <c r="R207" s="70">
        <f t="shared" si="55"/>
        <v>0</v>
      </c>
      <c r="S207" s="70">
        <f t="shared" si="55"/>
        <v>0</v>
      </c>
      <c r="T207" s="70">
        <f t="shared" si="55"/>
        <v>0</v>
      </c>
      <c r="U207" s="70">
        <f t="shared" si="55"/>
        <v>0</v>
      </c>
      <c r="V207" s="70">
        <f t="shared" si="55"/>
        <v>0</v>
      </c>
      <c r="W207" s="70">
        <f t="shared" si="55"/>
        <v>0</v>
      </c>
      <c r="X207" s="70">
        <f t="shared" si="55"/>
        <v>0</v>
      </c>
      <c r="Y207" s="70">
        <f t="shared" si="55"/>
        <v>0</v>
      </c>
      <c r="Z207" s="70">
        <f t="shared" si="55"/>
        <v>0</v>
      </c>
      <c r="AA207" s="70">
        <f t="shared" si="55"/>
        <v>0</v>
      </c>
      <c r="AB207" s="70">
        <f t="shared" si="55"/>
        <v>0</v>
      </c>
      <c r="AC207" s="70">
        <f t="shared" si="55"/>
        <v>0</v>
      </c>
      <c r="AD207" s="70">
        <f t="shared" si="55"/>
        <v>0</v>
      </c>
      <c r="AE207" s="70">
        <f t="shared" si="55"/>
        <v>0</v>
      </c>
      <c r="AF207" s="34"/>
      <c r="AG207" s="24">
        <f t="shared" si="33"/>
        <v>0</v>
      </c>
    </row>
    <row r="208" spans="1:33" x14ac:dyDescent="0.3">
      <c r="A208" s="42" t="s">
        <v>28</v>
      </c>
      <c r="B208" s="31">
        <f>J208+L208+N208+P208+R208+T208+V208+X208+Z208+AB208+AD208+H208</f>
        <v>0</v>
      </c>
      <c r="C208" s="48">
        <f>SUM(H208)</f>
        <v>0</v>
      </c>
      <c r="D208" s="49">
        <f>E208</f>
        <v>0</v>
      </c>
      <c r="E208" s="48">
        <f>SUM(I208,K208,M208,O208,Q208,S208,U208,W208,Y208,AA208,AC208,AE208)</f>
        <v>0</v>
      </c>
      <c r="F208" s="47">
        <f>IFERROR(E208/B208*100,0)</f>
        <v>0</v>
      </c>
      <c r="G208" s="47">
        <f>IFERROR(E208/C208*100,0)</f>
        <v>0</v>
      </c>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4"/>
      <c r="AG208" s="24">
        <f t="shared" si="33"/>
        <v>0</v>
      </c>
    </row>
    <row r="209" spans="1:33" x14ac:dyDescent="0.3">
      <c r="A209" s="42" t="s">
        <v>29</v>
      </c>
      <c r="B209" s="31">
        <f>J209+L209+N209+P209+R209+T209+V209+X209+Z209+AB209+AD209+H209</f>
        <v>0</v>
      </c>
      <c r="C209" s="48">
        <f>SUM(H209)</f>
        <v>0</v>
      </c>
      <c r="D209" s="49">
        <f>E209</f>
        <v>0</v>
      </c>
      <c r="E209" s="48">
        <f>SUM(I209,K209,M209,O209,Q209,S209,U209,W209,Y209,AA209,AC209,AE209)</f>
        <v>0</v>
      </c>
      <c r="F209" s="47">
        <f>IFERROR(E209/B209*100,0)</f>
        <v>0</v>
      </c>
      <c r="G209" s="47">
        <f>IFERROR(E209/C209*100,0)</f>
        <v>0</v>
      </c>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4"/>
      <c r="AG209" s="24">
        <f t="shared" si="33"/>
        <v>0</v>
      </c>
    </row>
    <row r="210" spans="1:33" x14ac:dyDescent="0.3">
      <c r="A210" s="42" t="s">
        <v>30</v>
      </c>
      <c r="B210" s="31">
        <f>J210+L210+N210+P210+R210+T210+V210+X210+Z210+AB210+AD210+H210</f>
        <v>100</v>
      </c>
      <c r="C210" s="48">
        <f>SUM(H210)</f>
        <v>100</v>
      </c>
      <c r="D210" s="49">
        <f>E210</f>
        <v>100</v>
      </c>
      <c r="E210" s="48">
        <f>SUM(I210,K210,M210,O210,Q210,S210,U210,W210,Y210,AA210,AC210,AE210)</f>
        <v>100</v>
      </c>
      <c r="F210" s="47">
        <f>IFERROR(E210/B210*100,0)</f>
        <v>100</v>
      </c>
      <c r="G210" s="47">
        <f>IFERROR(E210/C210*100,0)</f>
        <v>100</v>
      </c>
      <c r="H210" s="33">
        <v>100</v>
      </c>
      <c r="I210" s="33">
        <v>100</v>
      </c>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4"/>
      <c r="AG210" s="24">
        <f t="shared" si="33"/>
        <v>0</v>
      </c>
    </row>
    <row r="211" spans="1:33" x14ac:dyDescent="0.3">
      <c r="A211" s="46" t="s">
        <v>31</v>
      </c>
      <c r="B211" s="47"/>
      <c r="C211" s="48"/>
      <c r="D211" s="49"/>
      <c r="E211" s="48"/>
      <c r="F211" s="47"/>
      <c r="G211" s="47"/>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4"/>
      <c r="AG211" s="24">
        <f t="shared" si="33"/>
        <v>0</v>
      </c>
    </row>
    <row r="212" spans="1:33" ht="75" x14ac:dyDescent="0.3">
      <c r="A212" s="93" t="s">
        <v>72</v>
      </c>
      <c r="B212" s="94"/>
      <c r="C212" s="95"/>
      <c r="D212" s="95"/>
      <c r="E212" s="95"/>
      <c r="F212" s="95"/>
      <c r="G212" s="95"/>
      <c r="H212" s="94"/>
      <c r="I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23"/>
      <c r="AG212" s="24">
        <f t="shared" si="33"/>
        <v>0</v>
      </c>
    </row>
    <row r="213" spans="1:33" x14ac:dyDescent="0.3">
      <c r="A213" s="25" t="s">
        <v>27</v>
      </c>
      <c r="B213" s="26">
        <f>B214+B215+B216+B217</f>
        <v>5991.1</v>
      </c>
      <c r="C213" s="26">
        <f>C214+C215+C216+C217</f>
        <v>5901.1</v>
      </c>
      <c r="D213" s="26">
        <f>D214+D215+D216+D217</f>
        <v>5864.63</v>
      </c>
      <c r="E213" s="26">
        <f>E214+E215+E216+E217</f>
        <v>5864.63</v>
      </c>
      <c r="F213" s="29">
        <f>IFERROR(E213/B213*100,0)</f>
        <v>97.889035402513727</v>
      </c>
      <c r="G213" s="29">
        <f>IFERROR(E213/C213*100,0)</f>
        <v>99.381979630916263</v>
      </c>
      <c r="H213" s="26">
        <f>H214+H215+H216+H217</f>
        <v>2992.1</v>
      </c>
      <c r="I213" s="26">
        <f t="shared" ref="I213:AE213" si="56">I214+I215+I216+I217</f>
        <v>2992.1</v>
      </c>
      <c r="J213" s="26">
        <f t="shared" si="56"/>
        <v>743.9</v>
      </c>
      <c r="K213" s="26">
        <f t="shared" si="56"/>
        <v>0</v>
      </c>
      <c r="L213" s="26">
        <f t="shared" si="56"/>
        <v>212.7</v>
      </c>
      <c r="M213" s="26">
        <f t="shared" si="56"/>
        <v>0</v>
      </c>
      <c r="N213" s="26">
        <f t="shared" si="56"/>
        <v>397.8</v>
      </c>
      <c r="O213" s="26">
        <f t="shared" si="56"/>
        <v>1354.3999999999999</v>
      </c>
      <c r="P213" s="26">
        <f t="shared" si="56"/>
        <v>600</v>
      </c>
      <c r="Q213" s="26">
        <f t="shared" si="56"/>
        <v>600</v>
      </c>
      <c r="R213" s="26">
        <f t="shared" si="56"/>
        <v>657.7</v>
      </c>
      <c r="S213" s="26">
        <f t="shared" si="56"/>
        <v>657.7</v>
      </c>
      <c r="T213" s="26">
        <f t="shared" si="56"/>
        <v>85</v>
      </c>
      <c r="U213" s="26">
        <f t="shared" si="56"/>
        <v>0</v>
      </c>
      <c r="V213" s="26">
        <f t="shared" si="56"/>
        <v>63</v>
      </c>
      <c r="W213" s="26">
        <f t="shared" si="56"/>
        <v>148</v>
      </c>
      <c r="X213" s="26">
        <f t="shared" si="56"/>
        <v>15</v>
      </c>
      <c r="Y213" s="26">
        <f t="shared" si="56"/>
        <v>15</v>
      </c>
      <c r="Z213" s="26">
        <f t="shared" si="56"/>
        <v>133.9</v>
      </c>
      <c r="AA213" s="26">
        <f t="shared" si="56"/>
        <v>97.429999999999993</v>
      </c>
      <c r="AB213" s="26">
        <f t="shared" si="56"/>
        <v>57.129999999999995</v>
      </c>
      <c r="AC213" s="26">
        <f t="shared" si="56"/>
        <v>0</v>
      </c>
      <c r="AD213" s="26">
        <f t="shared" si="56"/>
        <v>32.870000000000005</v>
      </c>
      <c r="AE213" s="26">
        <f t="shared" si="56"/>
        <v>0</v>
      </c>
      <c r="AF213" s="23"/>
      <c r="AG213" s="24">
        <f t="shared" si="33"/>
        <v>3.1263880373444408E-13</v>
      </c>
    </row>
    <row r="214" spans="1:33" x14ac:dyDescent="0.3">
      <c r="A214" s="28" t="s">
        <v>28</v>
      </c>
      <c r="B214" s="29">
        <f>B220+B226+B232+B238</f>
        <v>0</v>
      </c>
      <c r="C214" s="29">
        <f>C220+C226+C232+C238</f>
        <v>0</v>
      </c>
      <c r="D214" s="29">
        <f>D220+D226+D232+D238</f>
        <v>0</v>
      </c>
      <c r="E214" s="29">
        <f>E220+E226+E232+E238</f>
        <v>0</v>
      </c>
      <c r="F214" s="29"/>
      <c r="G214" s="29"/>
      <c r="H214" s="29">
        <f t="shared" ref="H214:AE217" si="57">H220+H226+H232+H238</f>
        <v>0</v>
      </c>
      <c r="I214" s="29">
        <f t="shared" si="57"/>
        <v>0</v>
      </c>
      <c r="J214" s="29">
        <f t="shared" si="57"/>
        <v>0</v>
      </c>
      <c r="K214" s="29">
        <f t="shared" si="57"/>
        <v>0</v>
      </c>
      <c r="L214" s="29">
        <f t="shared" si="57"/>
        <v>0</v>
      </c>
      <c r="M214" s="29">
        <f t="shared" si="57"/>
        <v>0</v>
      </c>
      <c r="N214" s="29">
        <f t="shared" si="57"/>
        <v>0</v>
      </c>
      <c r="O214" s="29">
        <f t="shared" si="57"/>
        <v>0</v>
      </c>
      <c r="P214" s="29">
        <f t="shared" si="57"/>
        <v>0</v>
      </c>
      <c r="Q214" s="29">
        <f t="shared" si="57"/>
        <v>0</v>
      </c>
      <c r="R214" s="29">
        <f t="shared" si="57"/>
        <v>0</v>
      </c>
      <c r="S214" s="29">
        <f t="shared" si="57"/>
        <v>0</v>
      </c>
      <c r="T214" s="29">
        <f t="shared" si="57"/>
        <v>0</v>
      </c>
      <c r="U214" s="29">
        <f t="shared" si="57"/>
        <v>0</v>
      </c>
      <c r="V214" s="29">
        <f t="shared" si="57"/>
        <v>0</v>
      </c>
      <c r="W214" s="29">
        <f t="shared" si="57"/>
        <v>0</v>
      </c>
      <c r="X214" s="29">
        <f t="shared" si="57"/>
        <v>0</v>
      </c>
      <c r="Y214" s="29">
        <f t="shared" si="57"/>
        <v>0</v>
      </c>
      <c r="Z214" s="29">
        <f t="shared" si="57"/>
        <v>0</v>
      </c>
      <c r="AA214" s="29">
        <f t="shared" si="57"/>
        <v>0</v>
      </c>
      <c r="AB214" s="29">
        <f t="shared" si="57"/>
        <v>0</v>
      </c>
      <c r="AC214" s="29">
        <f t="shared" si="57"/>
        <v>0</v>
      </c>
      <c r="AD214" s="29">
        <f t="shared" si="57"/>
        <v>0</v>
      </c>
      <c r="AE214" s="29">
        <f t="shared" si="57"/>
        <v>0</v>
      </c>
      <c r="AF214" s="23"/>
      <c r="AG214" s="24">
        <f t="shared" si="33"/>
        <v>0</v>
      </c>
    </row>
    <row r="215" spans="1:33" x14ac:dyDescent="0.3">
      <c r="A215" s="28" t="s">
        <v>29</v>
      </c>
      <c r="B215" s="29">
        <f t="shared" ref="B215:E217" si="58">B221+B227+B233+B239</f>
        <v>0</v>
      </c>
      <c r="C215" s="29">
        <f t="shared" si="58"/>
        <v>0</v>
      </c>
      <c r="D215" s="29">
        <f t="shared" si="58"/>
        <v>0</v>
      </c>
      <c r="E215" s="29">
        <f t="shared" si="58"/>
        <v>0</v>
      </c>
      <c r="F215" s="29"/>
      <c r="G215" s="29"/>
      <c r="H215" s="29">
        <f t="shared" si="57"/>
        <v>0</v>
      </c>
      <c r="I215" s="29">
        <f t="shared" si="57"/>
        <v>0</v>
      </c>
      <c r="J215" s="29">
        <f t="shared" si="57"/>
        <v>0</v>
      </c>
      <c r="K215" s="29">
        <f t="shared" si="57"/>
        <v>0</v>
      </c>
      <c r="L215" s="29">
        <f t="shared" si="57"/>
        <v>0</v>
      </c>
      <c r="M215" s="29">
        <f t="shared" si="57"/>
        <v>0</v>
      </c>
      <c r="N215" s="29">
        <f t="shared" si="57"/>
        <v>0</v>
      </c>
      <c r="O215" s="29">
        <f t="shared" si="57"/>
        <v>0</v>
      </c>
      <c r="P215" s="29">
        <f t="shared" si="57"/>
        <v>0</v>
      </c>
      <c r="Q215" s="29">
        <f t="shared" si="57"/>
        <v>0</v>
      </c>
      <c r="R215" s="29">
        <f t="shared" si="57"/>
        <v>0</v>
      </c>
      <c r="S215" s="29">
        <f t="shared" si="57"/>
        <v>0</v>
      </c>
      <c r="T215" s="29">
        <f t="shared" si="57"/>
        <v>0</v>
      </c>
      <c r="U215" s="29">
        <f t="shared" si="57"/>
        <v>0</v>
      </c>
      <c r="V215" s="29">
        <f t="shared" si="57"/>
        <v>0</v>
      </c>
      <c r="W215" s="29">
        <f t="shared" si="57"/>
        <v>0</v>
      </c>
      <c r="X215" s="29">
        <f t="shared" si="57"/>
        <v>0</v>
      </c>
      <c r="Y215" s="29">
        <f t="shared" si="57"/>
        <v>0</v>
      </c>
      <c r="Z215" s="29">
        <f t="shared" si="57"/>
        <v>0</v>
      </c>
      <c r="AA215" s="29">
        <f t="shared" si="57"/>
        <v>0</v>
      </c>
      <c r="AB215" s="29">
        <f t="shared" si="57"/>
        <v>0</v>
      </c>
      <c r="AC215" s="29">
        <f t="shared" si="57"/>
        <v>0</v>
      </c>
      <c r="AD215" s="29">
        <f t="shared" si="57"/>
        <v>0</v>
      </c>
      <c r="AE215" s="29">
        <f t="shared" si="57"/>
        <v>0</v>
      </c>
      <c r="AF215" s="23"/>
      <c r="AG215" s="24">
        <f t="shared" si="33"/>
        <v>0</v>
      </c>
    </row>
    <row r="216" spans="1:33" x14ac:dyDescent="0.3">
      <c r="A216" s="28" t="s">
        <v>30</v>
      </c>
      <c r="B216" s="29">
        <f>B222+B228+B234+B240</f>
        <v>5991.1</v>
      </c>
      <c r="C216" s="29">
        <f>C222+C228+C234+C240</f>
        <v>5901.1</v>
      </c>
      <c r="D216" s="29">
        <f t="shared" si="58"/>
        <v>5864.63</v>
      </c>
      <c r="E216" s="29">
        <f t="shared" si="58"/>
        <v>5864.63</v>
      </c>
      <c r="F216" s="29">
        <f>IFERROR(E216/B216*100,0)</f>
        <v>97.889035402513727</v>
      </c>
      <c r="G216" s="29">
        <f>IFERROR(E216/C216*100,0)</f>
        <v>99.381979630916263</v>
      </c>
      <c r="H216" s="29">
        <f t="shared" si="57"/>
        <v>2992.1</v>
      </c>
      <c r="I216" s="29">
        <f t="shared" si="57"/>
        <v>2992.1</v>
      </c>
      <c r="J216" s="29">
        <f t="shared" si="57"/>
        <v>743.9</v>
      </c>
      <c r="K216" s="29">
        <f t="shared" si="57"/>
        <v>0</v>
      </c>
      <c r="L216" s="29">
        <f t="shared" si="57"/>
        <v>212.7</v>
      </c>
      <c r="M216" s="29">
        <f t="shared" si="57"/>
        <v>0</v>
      </c>
      <c r="N216" s="29">
        <f t="shared" si="57"/>
        <v>397.8</v>
      </c>
      <c r="O216" s="29">
        <f t="shared" si="57"/>
        <v>1354.3999999999999</v>
      </c>
      <c r="P216" s="29">
        <f t="shared" si="57"/>
        <v>600</v>
      </c>
      <c r="Q216" s="29">
        <f t="shared" si="57"/>
        <v>600</v>
      </c>
      <c r="R216" s="29">
        <f t="shared" si="57"/>
        <v>657.7</v>
      </c>
      <c r="S216" s="29">
        <f t="shared" si="57"/>
        <v>657.7</v>
      </c>
      <c r="T216" s="29">
        <f t="shared" si="57"/>
        <v>85</v>
      </c>
      <c r="U216" s="29">
        <f t="shared" si="57"/>
        <v>0</v>
      </c>
      <c r="V216" s="29">
        <f t="shared" si="57"/>
        <v>63</v>
      </c>
      <c r="W216" s="29">
        <f t="shared" si="57"/>
        <v>148</v>
      </c>
      <c r="X216" s="29">
        <f t="shared" si="57"/>
        <v>15</v>
      </c>
      <c r="Y216" s="29">
        <f t="shared" si="57"/>
        <v>15</v>
      </c>
      <c r="Z216" s="29">
        <f t="shared" si="57"/>
        <v>133.9</v>
      </c>
      <c r="AA216" s="29">
        <f t="shared" si="57"/>
        <v>97.429999999999993</v>
      </c>
      <c r="AB216" s="29">
        <f t="shared" si="57"/>
        <v>57.129999999999995</v>
      </c>
      <c r="AC216" s="29">
        <f t="shared" si="57"/>
        <v>0</v>
      </c>
      <c r="AD216" s="29">
        <f t="shared" si="57"/>
        <v>32.870000000000005</v>
      </c>
      <c r="AE216" s="29">
        <f t="shared" si="57"/>
        <v>0</v>
      </c>
      <c r="AF216" s="23"/>
      <c r="AG216" s="24">
        <f t="shared" si="33"/>
        <v>3.1263880373444408E-13</v>
      </c>
    </row>
    <row r="217" spans="1:33" x14ac:dyDescent="0.3">
      <c r="A217" s="28" t="s">
        <v>31</v>
      </c>
      <c r="B217" s="29">
        <f t="shared" si="58"/>
        <v>0</v>
      </c>
      <c r="C217" s="29">
        <f t="shared" si="58"/>
        <v>0</v>
      </c>
      <c r="D217" s="29">
        <f t="shared" si="58"/>
        <v>0</v>
      </c>
      <c r="E217" s="29">
        <f t="shared" si="58"/>
        <v>0</v>
      </c>
      <c r="F217" s="29"/>
      <c r="G217" s="29"/>
      <c r="H217" s="29">
        <f t="shared" si="57"/>
        <v>0</v>
      </c>
      <c r="I217" s="29">
        <f t="shared" si="57"/>
        <v>0</v>
      </c>
      <c r="J217" s="29">
        <f t="shared" si="57"/>
        <v>0</v>
      </c>
      <c r="K217" s="29">
        <f t="shared" si="57"/>
        <v>0</v>
      </c>
      <c r="L217" s="29">
        <f t="shared" si="57"/>
        <v>0</v>
      </c>
      <c r="M217" s="29">
        <f t="shared" si="57"/>
        <v>0</v>
      </c>
      <c r="N217" s="29">
        <f t="shared" si="57"/>
        <v>0</v>
      </c>
      <c r="O217" s="29">
        <f t="shared" si="57"/>
        <v>0</v>
      </c>
      <c r="P217" s="29">
        <f t="shared" si="57"/>
        <v>0</v>
      </c>
      <c r="Q217" s="29">
        <f t="shared" si="57"/>
        <v>0</v>
      </c>
      <c r="R217" s="29">
        <f t="shared" si="57"/>
        <v>0</v>
      </c>
      <c r="S217" s="29">
        <f t="shared" si="57"/>
        <v>0</v>
      </c>
      <c r="T217" s="29">
        <f t="shared" si="57"/>
        <v>0</v>
      </c>
      <c r="U217" s="29">
        <f t="shared" si="57"/>
        <v>0</v>
      </c>
      <c r="V217" s="29">
        <f t="shared" si="57"/>
        <v>0</v>
      </c>
      <c r="W217" s="29">
        <f t="shared" si="57"/>
        <v>0</v>
      </c>
      <c r="X217" s="29">
        <f t="shared" si="57"/>
        <v>0</v>
      </c>
      <c r="Y217" s="29">
        <f t="shared" si="57"/>
        <v>0</v>
      </c>
      <c r="Z217" s="29">
        <f t="shared" si="57"/>
        <v>0</v>
      </c>
      <c r="AA217" s="29">
        <f t="shared" si="57"/>
        <v>0</v>
      </c>
      <c r="AB217" s="29">
        <f t="shared" si="57"/>
        <v>0</v>
      </c>
      <c r="AC217" s="29">
        <f t="shared" si="57"/>
        <v>0</v>
      </c>
      <c r="AD217" s="29">
        <f t="shared" si="57"/>
        <v>0</v>
      </c>
      <c r="AE217" s="29">
        <f t="shared" si="57"/>
        <v>0</v>
      </c>
      <c r="AF217" s="23"/>
      <c r="AG217" s="24">
        <f t="shared" si="33"/>
        <v>0</v>
      </c>
    </row>
    <row r="218" spans="1:33" ht="62.25" customHeight="1" x14ac:dyDescent="0.3">
      <c r="A218" s="30" t="s">
        <v>73</v>
      </c>
      <c r="B218" s="31"/>
      <c r="C218" s="32"/>
      <c r="D218" s="32"/>
      <c r="E218" s="32"/>
      <c r="F218" s="32"/>
      <c r="G218" s="32"/>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4"/>
      <c r="AG218" s="24">
        <f t="shared" si="33"/>
        <v>0</v>
      </c>
    </row>
    <row r="219" spans="1:33" x14ac:dyDescent="0.3">
      <c r="A219" s="35" t="s">
        <v>27</v>
      </c>
      <c r="B219" s="36">
        <f>B221+B222+B220+B223</f>
        <v>2524.3000000000002</v>
      </c>
      <c r="C219" s="70">
        <f>C221+C222+C220+C223</f>
        <v>2524.3000000000002</v>
      </c>
      <c r="D219" s="92">
        <f>D221+D222+D220+D223</f>
        <v>2524.3000000000002</v>
      </c>
      <c r="E219" s="70">
        <f>E221+E222+E220+E223</f>
        <v>2524.3000000000002</v>
      </c>
      <c r="F219" s="70">
        <f>IFERROR(E219/B219*100,0)</f>
        <v>100</v>
      </c>
      <c r="G219" s="70">
        <f>IFERROR(E219/C219*100,0)</f>
        <v>100</v>
      </c>
      <c r="H219" s="70">
        <f t="shared" ref="H219:AE219" si="59">H221+H222+H220+H223</f>
        <v>0</v>
      </c>
      <c r="I219" s="70">
        <f t="shared" si="59"/>
        <v>0</v>
      </c>
      <c r="J219" s="70">
        <f t="shared" si="59"/>
        <v>740.5</v>
      </c>
      <c r="K219" s="70">
        <f t="shared" si="59"/>
        <v>0</v>
      </c>
      <c r="L219" s="70">
        <f t="shared" si="59"/>
        <v>0</v>
      </c>
      <c r="M219" s="70">
        <f t="shared" si="59"/>
        <v>0</v>
      </c>
      <c r="N219" s="70">
        <f t="shared" si="59"/>
        <v>397.8</v>
      </c>
      <c r="O219" s="70">
        <f t="shared" si="59"/>
        <v>1138.3</v>
      </c>
      <c r="P219" s="70">
        <f t="shared" si="59"/>
        <v>600</v>
      </c>
      <c r="Q219" s="70">
        <f t="shared" si="59"/>
        <v>600</v>
      </c>
      <c r="R219" s="70">
        <f t="shared" si="59"/>
        <v>657.7</v>
      </c>
      <c r="S219" s="70">
        <f t="shared" si="59"/>
        <v>657.7</v>
      </c>
      <c r="T219" s="70">
        <f t="shared" si="59"/>
        <v>85</v>
      </c>
      <c r="U219" s="70">
        <f t="shared" si="59"/>
        <v>0</v>
      </c>
      <c r="V219" s="70">
        <f t="shared" si="59"/>
        <v>18</v>
      </c>
      <c r="W219" s="70">
        <f t="shared" si="59"/>
        <v>103</v>
      </c>
      <c r="X219" s="70">
        <f t="shared" si="59"/>
        <v>0</v>
      </c>
      <c r="Y219" s="70">
        <f t="shared" si="59"/>
        <v>0</v>
      </c>
      <c r="Z219" s="70">
        <f t="shared" si="59"/>
        <v>25.3</v>
      </c>
      <c r="AA219" s="70">
        <f t="shared" si="59"/>
        <v>25.3</v>
      </c>
      <c r="AB219" s="70">
        <f t="shared" si="59"/>
        <v>0</v>
      </c>
      <c r="AC219" s="70">
        <f t="shared" si="59"/>
        <v>0</v>
      </c>
      <c r="AD219" s="70">
        <f t="shared" si="59"/>
        <v>0</v>
      </c>
      <c r="AE219" s="70">
        <f t="shared" si="59"/>
        <v>0</v>
      </c>
      <c r="AF219" s="34"/>
      <c r="AG219" s="24">
        <f t="shared" si="33"/>
        <v>1.8118839761882555E-13</v>
      </c>
    </row>
    <row r="220" spans="1:33" x14ac:dyDescent="0.3">
      <c r="A220" s="42" t="s">
        <v>28</v>
      </c>
      <c r="B220" s="31">
        <f>J220+L220+N220+P220+R220+T220+V220+X220+Z220+AB220+AD220+H220</f>
        <v>0</v>
      </c>
      <c r="C220" s="48">
        <f>SUM(H220)</f>
        <v>0</v>
      </c>
      <c r="D220" s="49">
        <f>E220</f>
        <v>0</v>
      </c>
      <c r="E220" s="48">
        <f>SUM(I220,K220,M220,O220,Q220,S220,U220,W220,Y220,AA220,AC220,AE220)</f>
        <v>0</v>
      </c>
      <c r="F220" s="47">
        <f>IFERROR(E220/B220*100,0)</f>
        <v>0</v>
      </c>
      <c r="G220" s="47">
        <f>IFERROR(E220/C220*100,0)</f>
        <v>0</v>
      </c>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4"/>
      <c r="AG220" s="24">
        <f t="shared" si="33"/>
        <v>0</v>
      </c>
    </row>
    <row r="221" spans="1:33" x14ac:dyDescent="0.3">
      <c r="A221" s="42" t="s">
        <v>29</v>
      </c>
      <c r="B221" s="31">
        <f>J221+L221+N221+P221+R221+T221+V221+X221+Z221+AB221+AD221+H221</f>
        <v>0</v>
      </c>
      <c r="C221" s="48">
        <f>SUM(H221)</f>
        <v>0</v>
      </c>
      <c r="D221" s="49">
        <f>E221</f>
        <v>0</v>
      </c>
      <c r="E221" s="48">
        <f>SUM(I221,K221,M221,O221,Q221,S221,U221,W221,Y221,AA221,AC221,AE221)</f>
        <v>0</v>
      </c>
      <c r="F221" s="47">
        <f>IFERROR(E221/B221*100,0)</f>
        <v>0</v>
      </c>
      <c r="G221" s="47">
        <f>IFERROR(E221/C221*100,0)</f>
        <v>0</v>
      </c>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4"/>
      <c r="AG221" s="24">
        <f t="shared" si="33"/>
        <v>0</v>
      </c>
    </row>
    <row r="222" spans="1:33" x14ac:dyDescent="0.3">
      <c r="A222" s="42" t="s">
        <v>30</v>
      </c>
      <c r="B222" s="31">
        <f>J222+L222+N222+P222+R222+T222+V222+X222+Z222+AB222+AD222+H222</f>
        <v>2524.3000000000002</v>
      </c>
      <c r="C222" s="48">
        <f>H222+J222+L222+N222+P222+R222+T222+V222+Z222</f>
        <v>2524.3000000000002</v>
      </c>
      <c r="D222" s="49">
        <f>E222</f>
        <v>2524.3000000000002</v>
      </c>
      <c r="E222" s="48">
        <f>SUM(I222,K222,M222,O222,Q222,S222,U222,W222,Y222,AA222,AC222,AE222)</f>
        <v>2524.3000000000002</v>
      </c>
      <c r="F222" s="47">
        <f>IFERROR(E222/B222*100,0)</f>
        <v>100</v>
      </c>
      <c r="G222" s="47">
        <f>IFERROR(E222/C222*100,0)</f>
        <v>100</v>
      </c>
      <c r="H222" s="33"/>
      <c r="I222" s="33"/>
      <c r="J222" s="33">
        <v>740.5</v>
      </c>
      <c r="K222" s="33"/>
      <c r="L222" s="33"/>
      <c r="M222" s="33"/>
      <c r="N222" s="33">
        <v>397.8</v>
      </c>
      <c r="O222" s="33">
        <v>1138.3</v>
      </c>
      <c r="P222" s="33">
        <v>600</v>
      </c>
      <c r="Q222" s="33">
        <v>600</v>
      </c>
      <c r="R222" s="33">
        <v>657.7</v>
      </c>
      <c r="S222" s="33">
        <v>657.7</v>
      </c>
      <c r="T222" s="33">
        <v>85</v>
      </c>
      <c r="U222" s="33"/>
      <c r="V222" s="33">
        <v>18</v>
      </c>
      <c r="W222" s="33">
        <v>103</v>
      </c>
      <c r="X222" s="33"/>
      <c r="Y222" s="33"/>
      <c r="Z222" s="33">
        <v>25.3</v>
      </c>
      <c r="AA222" s="33">
        <v>25.3</v>
      </c>
      <c r="AB222" s="33"/>
      <c r="AC222" s="33"/>
      <c r="AD222" s="33"/>
      <c r="AE222" s="33"/>
      <c r="AF222" s="34"/>
      <c r="AG222" s="24">
        <f t="shared" si="33"/>
        <v>1.8118839761882555E-13</v>
      </c>
    </row>
    <row r="223" spans="1:33" x14ac:dyDescent="0.3">
      <c r="A223" s="42" t="s">
        <v>31</v>
      </c>
      <c r="B223" s="31"/>
      <c r="C223" s="48"/>
      <c r="D223" s="49"/>
      <c r="E223" s="48"/>
      <c r="F223" s="47"/>
      <c r="G223" s="47"/>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4"/>
      <c r="AG223" s="24">
        <f t="shared" si="33"/>
        <v>0</v>
      </c>
    </row>
    <row r="224" spans="1:33" ht="80.25" customHeight="1" x14ac:dyDescent="0.3">
      <c r="A224" s="30" t="s">
        <v>74</v>
      </c>
      <c r="B224" s="31"/>
      <c r="C224" s="32"/>
      <c r="D224" s="32"/>
      <c r="E224" s="32"/>
      <c r="F224" s="32"/>
      <c r="G224" s="32"/>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4"/>
      <c r="AG224" s="24">
        <f t="shared" si="33"/>
        <v>0</v>
      </c>
    </row>
    <row r="225" spans="1:33" x14ac:dyDescent="0.3">
      <c r="A225" s="35" t="s">
        <v>27</v>
      </c>
      <c r="B225" s="36">
        <f>B227+B228+B226+B229</f>
        <v>216.1</v>
      </c>
      <c r="C225" s="70">
        <f>C227+C228+C226+C229</f>
        <v>216.1</v>
      </c>
      <c r="D225" s="92">
        <f>D227+D228+D226+D229</f>
        <v>216.1</v>
      </c>
      <c r="E225" s="70">
        <f>E227+E228+E226+E229</f>
        <v>216.1</v>
      </c>
      <c r="F225" s="70">
        <f>IFERROR(E225/B225*100,0)</f>
        <v>100</v>
      </c>
      <c r="G225" s="70">
        <f>IFERROR(E225/C225*100,0)</f>
        <v>100</v>
      </c>
      <c r="H225" s="70">
        <f t="shared" ref="H225:AE225" si="60">H227+H228+H226+H229</f>
        <v>0</v>
      </c>
      <c r="I225" s="70">
        <f t="shared" si="60"/>
        <v>0</v>
      </c>
      <c r="J225" s="70">
        <f t="shared" si="60"/>
        <v>3.4</v>
      </c>
      <c r="K225" s="70">
        <f t="shared" si="60"/>
        <v>0</v>
      </c>
      <c r="L225" s="70">
        <f t="shared" si="60"/>
        <v>212.7</v>
      </c>
      <c r="M225" s="70">
        <f t="shared" si="60"/>
        <v>0</v>
      </c>
      <c r="N225" s="70">
        <f t="shared" si="60"/>
        <v>0</v>
      </c>
      <c r="O225" s="70">
        <f t="shared" si="60"/>
        <v>216.1</v>
      </c>
      <c r="P225" s="70">
        <f t="shared" si="60"/>
        <v>0</v>
      </c>
      <c r="Q225" s="70">
        <f t="shared" si="60"/>
        <v>0</v>
      </c>
      <c r="R225" s="70">
        <f t="shared" si="60"/>
        <v>0</v>
      </c>
      <c r="S225" s="70">
        <f t="shared" si="60"/>
        <v>0</v>
      </c>
      <c r="T225" s="70">
        <f t="shared" si="60"/>
        <v>0</v>
      </c>
      <c r="U225" s="70">
        <f t="shared" si="60"/>
        <v>0</v>
      </c>
      <c r="V225" s="70">
        <f t="shared" si="60"/>
        <v>0</v>
      </c>
      <c r="W225" s="70">
        <f t="shared" si="60"/>
        <v>0</v>
      </c>
      <c r="X225" s="70">
        <f t="shared" si="60"/>
        <v>0</v>
      </c>
      <c r="Y225" s="70">
        <f t="shared" si="60"/>
        <v>0</v>
      </c>
      <c r="Z225" s="70">
        <f t="shared" si="60"/>
        <v>0</v>
      </c>
      <c r="AA225" s="70">
        <f t="shared" si="60"/>
        <v>0</v>
      </c>
      <c r="AB225" s="70">
        <f t="shared" si="60"/>
        <v>0</v>
      </c>
      <c r="AC225" s="70">
        <f t="shared" si="60"/>
        <v>0</v>
      </c>
      <c r="AD225" s="70">
        <f t="shared" si="60"/>
        <v>0</v>
      </c>
      <c r="AE225" s="70">
        <f t="shared" si="60"/>
        <v>0</v>
      </c>
      <c r="AF225" s="34"/>
      <c r="AG225" s="24">
        <f t="shared" si="33"/>
        <v>0</v>
      </c>
    </row>
    <row r="226" spans="1:33" x14ac:dyDescent="0.3">
      <c r="A226" s="42" t="s">
        <v>28</v>
      </c>
      <c r="B226" s="31">
        <f>J226+L226+N226+P226+R226+T226+V226+X226+Z226+AB226+AD226+H226</f>
        <v>0</v>
      </c>
      <c r="C226" s="48">
        <f>SUM(H226)</f>
        <v>0</v>
      </c>
      <c r="D226" s="49">
        <f>E226</f>
        <v>0</v>
      </c>
      <c r="E226" s="48">
        <f>SUM(I226,K226,M226,O226,Q226,S226,U226,W226,Y226,AA226,AC226,AE226)</f>
        <v>0</v>
      </c>
      <c r="F226" s="47">
        <f>IFERROR(E226/B226*100,0)</f>
        <v>0</v>
      </c>
      <c r="G226" s="47">
        <f>IFERROR(E226/C226*100,0)</f>
        <v>0</v>
      </c>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4"/>
      <c r="AG226" s="24">
        <f t="shared" si="33"/>
        <v>0</v>
      </c>
    </row>
    <row r="227" spans="1:33" x14ac:dyDescent="0.3">
      <c r="A227" s="42" t="s">
        <v>29</v>
      </c>
      <c r="B227" s="31">
        <f>J227+L227+N227+P227+R227+T227+V227+X227+Z227+AB227+AD227+H227</f>
        <v>0</v>
      </c>
      <c r="C227" s="48">
        <f>SUM(H227)</f>
        <v>0</v>
      </c>
      <c r="D227" s="49">
        <f>E227</f>
        <v>0</v>
      </c>
      <c r="E227" s="48">
        <f>SUM(I227,K227,M227,O227,Q227,S227,U227,W227,Y227,AA227,AC227,AE227)</f>
        <v>0</v>
      </c>
      <c r="F227" s="47">
        <f>IFERROR(E227/B227*100,0)</f>
        <v>0</v>
      </c>
      <c r="G227" s="47">
        <f>IFERROR(E227/C227*100,0)</f>
        <v>0</v>
      </c>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4"/>
      <c r="AG227" s="24">
        <f t="shared" si="33"/>
        <v>0</v>
      </c>
    </row>
    <row r="228" spans="1:33" x14ac:dyDescent="0.3">
      <c r="A228" s="42" t="s">
        <v>30</v>
      </c>
      <c r="B228" s="31">
        <f>J228+L228+N228+P228+R228+T228+V228+X228+Z228+AB228+AD228+H228</f>
        <v>216.1</v>
      </c>
      <c r="C228" s="48">
        <f>H228+J228+L228+N228+P228+R228</f>
        <v>216.1</v>
      </c>
      <c r="D228" s="49">
        <f>E228</f>
        <v>216.1</v>
      </c>
      <c r="E228" s="48">
        <f>SUM(I228,K228,M228,O228,Q228,S228,U228,W228,Y228,AA228,AC228,AE228)</f>
        <v>216.1</v>
      </c>
      <c r="F228" s="47">
        <f>IFERROR(E228/B228*100,0)</f>
        <v>100</v>
      </c>
      <c r="G228" s="47">
        <f>IFERROR(E228/C228*100,0)</f>
        <v>100</v>
      </c>
      <c r="H228" s="33"/>
      <c r="I228" s="33"/>
      <c r="J228" s="33">
        <v>3.4</v>
      </c>
      <c r="K228" s="33"/>
      <c r="L228" s="33">
        <v>212.7</v>
      </c>
      <c r="M228" s="33"/>
      <c r="N228" s="33"/>
      <c r="O228" s="33">
        <v>216.1</v>
      </c>
      <c r="P228" s="33"/>
      <c r="Q228" s="33"/>
      <c r="R228" s="33"/>
      <c r="S228" s="33"/>
      <c r="T228" s="33"/>
      <c r="U228" s="33"/>
      <c r="V228" s="33"/>
      <c r="W228" s="33"/>
      <c r="X228" s="33"/>
      <c r="Y228" s="33"/>
      <c r="Z228" s="33"/>
      <c r="AA228" s="33"/>
      <c r="AB228" s="33"/>
      <c r="AC228" s="33"/>
      <c r="AD228" s="33"/>
      <c r="AE228" s="33"/>
      <c r="AF228" s="34"/>
      <c r="AG228" s="24">
        <f t="shared" si="33"/>
        <v>0</v>
      </c>
    </row>
    <row r="229" spans="1:33" x14ac:dyDescent="0.3">
      <c r="A229" s="42" t="s">
        <v>31</v>
      </c>
      <c r="B229" s="31"/>
      <c r="C229" s="48"/>
      <c r="D229" s="49"/>
      <c r="E229" s="48"/>
      <c r="F229" s="47"/>
      <c r="G229" s="47"/>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4"/>
      <c r="AG229" s="24">
        <f t="shared" si="33"/>
        <v>0</v>
      </c>
    </row>
    <row r="230" spans="1:33" ht="42.75" customHeight="1" x14ac:dyDescent="0.3">
      <c r="A230" s="30" t="s">
        <v>75</v>
      </c>
      <c r="B230" s="31"/>
      <c r="C230" s="32"/>
      <c r="D230" s="32"/>
      <c r="E230" s="32"/>
      <c r="F230" s="32"/>
      <c r="G230" s="32"/>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4"/>
      <c r="AG230" s="24">
        <f t="shared" si="33"/>
        <v>0</v>
      </c>
    </row>
    <row r="231" spans="1:33" x14ac:dyDescent="0.3">
      <c r="A231" s="35" t="s">
        <v>27</v>
      </c>
      <c r="B231" s="36">
        <f>B233+B234+B232+B235</f>
        <v>258.60000000000002</v>
      </c>
      <c r="C231" s="70">
        <f>C233+C234+C232+C235</f>
        <v>168.6</v>
      </c>
      <c r="D231" s="92">
        <f>D233+D234+D232+D235</f>
        <v>132.13</v>
      </c>
      <c r="E231" s="70">
        <f>E233+E234+E232+E235</f>
        <v>132.13</v>
      </c>
      <c r="F231" s="70">
        <f>IFERROR(E231/B231*100,0)</f>
        <v>51.094354215003854</v>
      </c>
      <c r="G231" s="70">
        <f>IFERROR(E231/C231*100,0)</f>
        <v>78.368920521945427</v>
      </c>
      <c r="H231" s="70">
        <f t="shared" ref="H231:AE231" si="61">H233+H234+H232+H235</f>
        <v>0</v>
      </c>
      <c r="I231" s="70">
        <f t="shared" si="61"/>
        <v>0</v>
      </c>
      <c r="J231" s="70">
        <f t="shared" si="61"/>
        <v>0</v>
      </c>
      <c r="K231" s="70">
        <f t="shared" si="61"/>
        <v>0</v>
      </c>
      <c r="L231" s="70">
        <f t="shared" si="61"/>
        <v>0</v>
      </c>
      <c r="M231" s="70">
        <f t="shared" si="61"/>
        <v>0</v>
      </c>
      <c r="N231" s="70">
        <f t="shared" si="61"/>
        <v>0</v>
      </c>
      <c r="O231" s="70">
        <f t="shared" si="61"/>
        <v>0</v>
      </c>
      <c r="P231" s="70">
        <f t="shared" si="61"/>
        <v>0</v>
      </c>
      <c r="Q231" s="70">
        <f t="shared" si="61"/>
        <v>0</v>
      </c>
      <c r="R231" s="70">
        <f t="shared" si="61"/>
        <v>0</v>
      </c>
      <c r="S231" s="70">
        <f t="shared" si="61"/>
        <v>0</v>
      </c>
      <c r="T231" s="70">
        <f t="shared" si="61"/>
        <v>0</v>
      </c>
      <c r="U231" s="70">
        <f t="shared" si="61"/>
        <v>0</v>
      </c>
      <c r="V231" s="70">
        <f t="shared" si="61"/>
        <v>45</v>
      </c>
      <c r="W231" s="70">
        <f t="shared" si="61"/>
        <v>45</v>
      </c>
      <c r="X231" s="70">
        <f t="shared" si="61"/>
        <v>15</v>
      </c>
      <c r="Y231" s="70">
        <f t="shared" si="61"/>
        <v>15</v>
      </c>
      <c r="Z231" s="70">
        <f t="shared" si="61"/>
        <v>108.6</v>
      </c>
      <c r="AA231" s="70">
        <f t="shared" si="61"/>
        <v>72.13</v>
      </c>
      <c r="AB231" s="70">
        <f t="shared" si="61"/>
        <v>57.129999999999995</v>
      </c>
      <c r="AC231" s="70">
        <f t="shared" si="61"/>
        <v>0</v>
      </c>
      <c r="AD231" s="70">
        <f t="shared" si="61"/>
        <v>32.870000000000005</v>
      </c>
      <c r="AE231" s="70">
        <f t="shared" si="61"/>
        <v>0</v>
      </c>
      <c r="AF231" s="34"/>
      <c r="AG231" s="24">
        <f t="shared" si="33"/>
        <v>0</v>
      </c>
    </row>
    <row r="232" spans="1:33" x14ac:dyDescent="0.3">
      <c r="A232" s="42" t="s">
        <v>28</v>
      </c>
      <c r="B232" s="31">
        <f>J232+L232+N232+P232+R232+T232+V232+X232+Z232+AB232+AD232+H232</f>
        <v>0</v>
      </c>
      <c r="C232" s="48">
        <f>SUM(H232)</f>
        <v>0</v>
      </c>
      <c r="D232" s="49">
        <f>E232</f>
        <v>0</v>
      </c>
      <c r="E232" s="48">
        <f>SUM(I232,K232,M232,O232,Q232,S232,U232,W232,Y232,AA232,AC232,AE232)</f>
        <v>0</v>
      </c>
      <c r="F232" s="47">
        <f>IFERROR(E232/B232*100,0)</f>
        <v>0</v>
      </c>
      <c r="G232" s="47">
        <f>IFERROR(E232/C232*100,0)</f>
        <v>0</v>
      </c>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4"/>
      <c r="AG232" s="24">
        <f t="shared" si="33"/>
        <v>0</v>
      </c>
    </row>
    <row r="233" spans="1:33" x14ac:dyDescent="0.3">
      <c r="A233" s="46" t="s">
        <v>29</v>
      </c>
      <c r="B233" s="47">
        <f>J233+L233+N233+P233+R233+T233+V233+X233+Z233+AB233+AD233+H233</f>
        <v>0</v>
      </c>
      <c r="C233" s="48">
        <f>SUM(H233)</f>
        <v>0</v>
      </c>
      <c r="D233" s="49">
        <f>E233</f>
        <v>0</v>
      </c>
      <c r="E233" s="48">
        <f>SUM(I233,K233,M233,O233,Q233,S233,U233,W233,Y233,AA233,AC233,AE233)</f>
        <v>0</v>
      </c>
      <c r="F233" s="47">
        <f>IFERROR(E233/B233*100,0)</f>
        <v>0</v>
      </c>
      <c r="G233" s="47">
        <f>IFERROR(E233/C233*100,0)</f>
        <v>0</v>
      </c>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4"/>
      <c r="AG233" s="24">
        <f t="shared" si="33"/>
        <v>0</v>
      </c>
    </row>
    <row r="234" spans="1:33" x14ac:dyDescent="0.3">
      <c r="A234" s="42" t="s">
        <v>30</v>
      </c>
      <c r="B234" s="31">
        <f>J234+L234+N234+P234+R234+T234+V234+X234+Z234+AB234+AD234+H234</f>
        <v>258.60000000000002</v>
      </c>
      <c r="C234" s="43">
        <f>H234+J234+L234+N234+P234+R234+T234+V234+X234+Z234</f>
        <v>168.6</v>
      </c>
      <c r="D234" s="44">
        <f>E234</f>
        <v>132.13</v>
      </c>
      <c r="E234" s="43">
        <f>SUM(I234,K234,M234,O234,Q234,S234,U234,W234,Y234,AA234,AC234,AE234)</f>
        <v>132.13</v>
      </c>
      <c r="F234" s="31">
        <f>IFERROR(E234/B234*100,0)</f>
        <v>51.094354215003854</v>
      </c>
      <c r="G234" s="31">
        <f>IFERROR(E234/C234*100,0)</f>
        <v>78.368920521945427</v>
      </c>
      <c r="H234" s="45"/>
      <c r="I234" s="45"/>
      <c r="J234" s="33"/>
      <c r="K234" s="33"/>
      <c r="L234" s="33"/>
      <c r="M234" s="33"/>
      <c r="N234" s="33"/>
      <c r="O234" s="33"/>
      <c r="P234" s="33"/>
      <c r="Q234" s="33"/>
      <c r="R234" s="33"/>
      <c r="S234" s="33"/>
      <c r="T234" s="33"/>
      <c r="U234" s="33"/>
      <c r="V234" s="33">
        <v>45</v>
      </c>
      <c r="W234" s="33">
        <v>45</v>
      </c>
      <c r="X234" s="33">
        <v>15</v>
      </c>
      <c r="Y234" s="33">
        <v>15</v>
      </c>
      <c r="Z234" s="33">
        <f>36.47+72.13</f>
        <v>108.6</v>
      </c>
      <c r="AA234" s="33">
        <v>72.13</v>
      </c>
      <c r="AB234" s="33">
        <f>93.6-36.47</f>
        <v>57.129999999999995</v>
      </c>
      <c r="AC234" s="33"/>
      <c r="AD234" s="33">
        <f>150-45-72.13</f>
        <v>32.870000000000005</v>
      </c>
      <c r="AE234" s="33"/>
      <c r="AF234" s="34"/>
      <c r="AG234" s="24">
        <f t="shared" si="33"/>
        <v>0</v>
      </c>
    </row>
    <row r="235" spans="1:33" x14ac:dyDescent="0.3">
      <c r="A235" s="42" t="s">
        <v>31</v>
      </c>
      <c r="B235" s="31"/>
      <c r="C235" s="43"/>
      <c r="D235" s="44"/>
      <c r="E235" s="43"/>
      <c r="F235" s="31"/>
      <c r="G235" s="31"/>
      <c r="H235" s="45"/>
      <c r="I235" s="45"/>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4"/>
      <c r="AG235" s="24">
        <f t="shared" si="33"/>
        <v>0</v>
      </c>
    </row>
    <row r="236" spans="1:33" ht="114.75" customHeight="1" x14ac:dyDescent="0.3">
      <c r="A236" s="30" t="s">
        <v>76</v>
      </c>
      <c r="B236" s="31"/>
      <c r="C236" s="50"/>
      <c r="D236" s="50"/>
      <c r="E236" s="50"/>
      <c r="F236" s="50"/>
      <c r="G236" s="50"/>
      <c r="H236" s="45"/>
      <c r="I236" s="45"/>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4"/>
      <c r="AG236" s="24">
        <f t="shared" si="33"/>
        <v>0</v>
      </c>
    </row>
    <row r="237" spans="1:33" x14ac:dyDescent="0.3">
      <c r="A237" s="35" t="s">
        <v>27</v>
      </c>
      <c r="B237" s="36">
        <f>B239+B240+B238+B241</f>
        <v>2992.1</v>
      </c>
      <c r="C237" s="36">
        <f>C239+C240+C238+C241</f>
        <v>2992.1</v>
      </c>
      <c r="D237" s="37">
        <f>D239+D240+D238+D241</f>
        <v>2992.1</v>
      </c>
      <c r="E237" s="36">
        <f>E239+E240+E238+E241</f>
        <v>2992.1</v>
      </c>
      <c r="F237" s="36">
        <f>IFERROR(E237/B237*100,0)</f>
        <v>100</v>
      </c>
      <c r="G237" s="36">
        <f>IFERROR(E237/C237*100,0)</f>
        <v>100</v>
      </c>
      <c r="H237" s="36">
        <f t="shared" ref="H237:AE237" si="62">H239+H240+H238+H241</f>
        <v>2992.1</v>
      </c>
      <c r="I237" s="36">
        <f t="shared" si="62"/>
        <v>2992.1</v>
      </c>
      <c r="J237" s="70">
        <f t="shared" si="62"/>
        <v>0</v>
      </c>
      <c r="K237" s="70">
        <f t="shared" si="62"/>
        <v>0</v>
      </c>
      <c r="L237" s="70">
        <f t="shared" si="62"/>
        <v>0</v>
      </c>
      <c r="M237" s="70">
        <f t="shared" si="62"/>
        <v>0</v>
      </c>
      <c r="N237" s="70">
        <f t="shared" si="62"/>
        <v>0</v>
      </c>
      <c r="O237" s="70">
        <f t="shared" si="62"/>
        <v>0</v>
      </c>
      <c r="P237" s="70">
        <f t="shared" si="62"/>
        <v>0</v>
      </c>
      <c r="Q237" s="70">
        <f t="shared" si="62"/>
        <v>0</v>
      </c>
      <c r="R237" s="70">
        <f t="shared" si="62"/>
        <v>0</v>
      </c>
      <c r="S237" s="70">
        <f t="shared" si="62"/>
        <v>0</v>
      </c>
      <c r="T237" s="70">
        <f t="shared" si="62"/>
        <v>0</v>
      </c>
      <c r="U237" s="70">
        <f t="shared" si="62"/>
        <v>0</v>
      </c>
      <c r="V237" s="70">
        <f t="shared" si="62"/>
        <v>0</v>
      </c>
      <c r="W237" s="70">
        <f t="shared" si="62"/>
        <v>0</v>
      </c>
      <c r="X237" s="70">
        <f t="shared" si="62"/>
        <v>0</v>
      </c>
      <c r="Y237" s="70">
        <f t="shared" si="62"/>
        <v>0</v>
      </c>
      <c r="Z237" s="70">
        <f t="shared" si="62"/>
        <v>0</v>
      </c>
      <c r="AA237" s="70">
        <f t="shared" si="62"/>
        <v>0</v>
      </c>
      <c r="AB237" s="70">
        <f t="shared" si="62"/>
        <v>0</v>
      </c>
      <c r="AC237" s="70">
        <f t="shared" si="62"/>
        <v>0</v>
      </c>
      <c r="AD237" s="70">
        <f t="shared" si="62"/>
        <v>0</v>
      </c>
      <c r="AE237" s="70">
        <f t="shared" si="62"/>
        <v>0</v>
      </c>
      <c r="AF237" s="34"/>
      <c r="AG237" s="24">
        <f t="shared" si="33"/>
        <v>0</v>
      </c>
    </row>
    <row r="238" spans="1:33" x14ac:dyDescent="0.3">
      <c r="A238" s="42" t="s">
        <v>28</v>
      </c>
      <c r="B238" s="31">
        <f>J238+L238+N238+P238+R238+T238+V238+X238+Z238+AB238+AD238+H238</f>
        <v>0</v>
      </c>
      <c r="C238" s="43">
        <f>SUM(H238)</f>
        <v>0</v>
      </c>
      <c r="D238" s="44">
        <f>E238</f>
        <v>0</v>
      </c>
      <c r="E238" s="43">
        <f>SUM(I238,K238,M238,O238,Q238,S238,U238,W238,Y238,AA238,AC238,AE238)</f>
        <v>0</v>
      </c>
      <c r="F238" s="31">
        <f>IFERROR(E238/B238*100,0)</f>
        <v>0</v>
      </c>
      <c r="G238" s="31">
        <f>IFERROR(E238/C238*100,0)</f>
        <v>0</v>
      </c>
      <c r="H238" s="45"/>
      <c r="I238" s="45"/>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4"/>
      <c r="AG238" s="24">
        <f t="shared" si="33"/>
        <v>0</v>
      </c>
    </row>
    <row r="239" spans="1:33" x14ac:dyDescent="0.3">
      <c r="A239" s="42" t="s">
        <v>29</v>
      </c>
      <c r="B239" s="31">
        <f>J239+L239+N239+P239+R239+T239+V239+X239+Z239+AB239+AD239+H239</f>
        <v>0</v>
      </c>
      <c r="C239" s="43">
        <f>SUM(H239)</f>
        <v>0</v>
      </c>
      <c r="D239" s="44">
        <f>E239</f>
        <v>0</v>
      </c>
      <c r="E239" s="43">
        <f>SUM(I239,K239,M239,O239,Q239,S239,U239,W239,Y239,AA239,AC239,AE239)</f>
        <v>0</v>
      </c>
      <c r="F239" s="31">
        <f>IFERROR(E239/B239*100,0)</f>
        <v>0</v>
      </c>
      <c r="G239" s="31">
        <f>IFERROR(E239/C239*100,0)</f>
        <v>0</v>
      </c>
      <c r="H239" s="45"/>
      <c r="I239" s="45"/>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4"/>
      <c r="AG239" s="24">
        <f t="shared" si="33"/>
        <v>0</v>
      </c>
    </row>
    <row r="240" spans="1:33" x14ac:dyDescent="0.3">
      <c r="A240" s="42" t="s">
        <v>30</v>
      </c>
      <c r="B240" s="31">
        <f>J240+L240+N240+P240+R240+T240+V240+X240+Z240+AB240+AD240+H240</f>
        <v>2992.1</v>
      </c>
      <c r="C240" s="43">
        <f>SUM(H240)</f>
        <v>2992.1</v>
      </c>
      <c r="D240" s="44">
        <f>E240</f>
        <v>2992.1</v>
      </c>
      <c r="E240" s="43">
        <f>SUM(I240,K240,M240,O240,Q240,S240,U240,W240,Y240,AA240,AC240,AE240)</f>
        <v>2992.1</v>
      </c>
      <c r="F240" s="31">
        <f>IFERROR(E240/B240*100,0)</f>
        <v>100</v>
      </c>
      <c r="G240" s="31">
        <f>IFERROR(E240/C240*100,0)</f>
        <v>100</v>
      </c>
      <c r="H240" s="45">
        <v>2992.1</v>
      </c>
      <c r="I240" s="45">
        <v>2992.1</v>
      </c>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4"/>
      <c r="AG240" s="24">
        <f t="shared" si="33"/>
        <v>0</v>
      </c>
    </row>
    <row r="241" spans="1:33" x14ac:dyDescent="0.3">
      <c r="A241" s="46" t="s">
        <v>31</v>
      </c>
      <c r="B241" s="47"/>
      <c r="C241" s="48"/>
      <c r="D241" s="49"/>
      <c r="E241" s="48"/>
      <c r="F241" s="47"/>
      <c r="G241" s="47"/>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4"/>
      <c r="AG241" s="24">
        <f t="shared" si="33"/>
        <v>0</v>
      </c>
    </row>
    <row r="242" spans="1:33" ht="56.25" x14ac:dyDescent="0.3">
      <c r="A242" s="93" t="s">
        <v>77</v>
      </c>
      <c r="B242" s="94"/>
      <c r="C242" s="95"/>
      <c r="D242" s="95"/>
      <c r="E242" s="95"/>
      <c r="F242" s="95"/>
      <c r="G242" s="95"/>
      <c r="H242" s="94"/>
      <c r="I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23"/>
      <c r="AG242" s="24">
        <f t="shared" si="33"/>
        <v>0</v>
      </c>
    </row>
    <row r="243" spans="1:33" x14ac:dyDescent="0.3">
      <c r="A243" s="25" t="s">
        <v>27</v>
      </c>
      <c r="B243" s="26">
        <f>B244+B245+B246+B247</f>
        <v>64613.032820000015</v>
      </c>
      <c r="C243" s="26">
        <f>C244+C245+C246+C247</f>
        <v>56949.734880000004</v>
      </c>
      <c r="D243" s="26">
        <f>D244+D245+D246+D247</f>
        <v>55854.087299999999</v>
      </c>
      <c r="E243" s="26">
        <f>E244+E245+E246+E247</f>
        <v>55854.087299999999</v>
      </c>
      <c r="F243" s="29">
        <f>IFERROR(E243/B243*100,0)</f>
        <v>86.443995680560576</v>
      </c>
      <c r="G243" s="29">
        <f>IFERROR(E243/C243*100,0)</f>
        <v>98.076114696040875</v>
      </c>
      <c r="H243" s="26">
        <f>H244+H245+H246+H247</f>
        <v>2008.0666200000001</v>
      </c>
      <c r="I243" s="26">
        <f t="shared" ref="I243:AE243" si="63">I244+I245+I246+I247</f>
        <v>1472.63</v>
      </c>
      <c r="J243" s="26">
        <f t="shared" si="63"/>
        <v>4844.0766199999998</v>
      </c>
      <c r="K243" s="26">
        <f t="shared" si="63"/>
        <v>4844.08</v>
      </c>
      <c r="L243" s="26">
        <f t="shared" si="63"/>
        <v>8715.1966200000006</v>
      </c>
      <c r="M243" s="26">
        <f t="shared" si="63"/>
        <v>8717.51</v>
      </c>
      <c r="N243" s="26">
        <f t="shared" si="63"/>
        <v>11384.37</v>
      </c>
      <c r="O243" s="26">
        <f t="shared" si="63"/>
        <v>11046.580000000002</v>
      </c>
      <c r="P243" s="26">
        <f t="shared" si="63"/>
        <v>4503.6915099999997</v>
      </c>
      <c r="Q243" s="26">
        <f t="shared" si="63"/>
        <v>4503.6899999999996</v>
      </c>
      <c r="R243" s="26">
        <f t="shared" si="63"/>
        <v>5380.8022900000005</v>
      </c>
      <c r="S243" s="26">
        <f t="shared" si="63"/>
        <v>5665.47</v>
      </c>
      <c r="T243" s="26">
        <f t="shared" si="63"/>
        <v>5320.5766200000007</v>
      </c>
      <c r="U243" s="26">
        <f t="shared" si="63"/>
        <v>5320.58</v>
      </c>
      <c r="V243" s="26">
        <f t="shared" si="63"/>
        <v>5905.4991300000002</v>
      </c>
      <c r="W243" s="26">
        <f t="shared" si="63"/>
        <v>5581.5</v>
      </c>
      <c r="X243" s="26">
        <f t="shared" si="63"/>
        <v>3462.58662</v>
      </c>
      <c r="Y243" s="26">
        <f t="shared" si="63"/>
        <v>3494.4472999999998</v>
      </c>
      <c r="Z243" s="26">
        <f t="shared" si="63"/>
        <v>5424.8688499999989</v>
      </c>
      <c r="AA243" s="26">
        <f t="shared" si="63"/>
        <v>5207.6000000000004</v>
      </c>
      <c r="AB243" s="26">
        <f t="shared" si="63"/>
        <v>6347.4296200000008</v>
      </c>
      <c r="AC243" s="26">
        <f t="shared" si="63"/>
        <v>0</v>
      </c>
      <c r="AD243" s="26">
        <f t="shared" si="63"/>
        <v>1315.86832</v>
      </c>
      <c r="AE243" s="26">
        <f t="shared" si="63"/>
        <v>0</v>
      </c>
      <c r="AF243" s="23"/>
      <c r="AG243" s="24">
        <f t="shared" si="33"/>
        <v>1.5916157281026244E-11</v>
      </c>
    </row>
    <row r="244" spans="1:33" x14ac:dyDescent="0.3">
      <c r="A244" s="28" t="s">
        <v>28</v>
      </c>
      <c r="B244" s="29">
        <f>B250+B256</f>
        <v>0</v>
      </c>
      <c r="C244" s="29">
        <f>C250+C256</f>
        <v>0</v>
      </c>
      <c r="D244" s="29">
        <f>D250+D256</f>
        <v>0</v>
      </c>
      <c r="E244" s="29">
        <f>E250+E256</f>
        <v>0</v>
      </c>
      <c r="F244" s="29"/>
      <c r="G244" s="29"/>
      <c r="H244" s="29">
        <f t="shared" ref="H244:AE247" si="64">H250+H256</f>
        <v>0</v>
      </c>
      <c r="I244" s="29">
        <f t="shared" si="64"/>
        <v>0</v>
      </c>
      <c r="J244" s="29">
        <f t="shared" si="64"/>
        <v>0</v>
      </c>
      <c r="K244" s="29">
        <f t="shared" si="64"/>
        <v>0</v>
      </c>
      <c r="L244" s="29">
        <f t="shared" si="64"/>
        <v>0</v>
      </c>
      <c r="M244" s="29">
        <f t="shared" si="64"/>
        <v>0</v>
      </c>
      <c r="N244" s="29">
        <f t="shared" si="64"/>
        <v>0</v>
      </c>
      <c r="O244" s="29">
        <f t="shared" si="64"/>
        <v>0</v>
      </c>
      <c r="P244" s="29">
        <f t="shared" si="64"/>
        <v>0</v>
      </c>
      <c r="Q244" s="29">
        <f t="shared" si="64"/>
        <v>0</v>
      </c>
      <c r="R244" s="29">
        <f t="shared" si="64"/>
        <v>0</v>
      </c>
      <c r="S244" s="29">
        <f t="shared" si="64"/>
        <v>0</v>
      </c>
      <c r="T244" s="29">
        <f t="shared" si="64"/>
        <v>0</v>
      </c>
      <c r="U244" s="29">
        <f t="shared" si="64"/>
        <v>0</v>
      </c>
      <c r="V244" s="29">
        <f t="shared" si="64"/>
        <v>0</v>
      </c>
      <c r="W244" s="29">
        <f t="shared" si="64"/>
        <v>0</v>
      </c>
      <c r="X244" s="29">
        <f t="shared" si="64"/>
        <v>0</v>
      </c>
      <c r="Y244" s="29">
        <f t="shared" si="64"/>
        <v>0</v>
      </c>
      <c r="Z244" s="29">
        <f t="shared" si="64"/>
        <v>0</v>
      </c>
      <c r="AA244" s="29">
        <f t="shared" si="64"/>
        <v>0</v>
      </c>
      <c r="AB244" s="29">
        <f t="shared" si="64"/>
        <v>0</v>
      </c>
      <c r="AC244" s="29">
        <f t="shared" si="64"/>
        <v>0</v>
      </c>
      <c r="AD244" s="29">
        <f t="shared" si="64"/>
        <v>0</v>
      </c>
      <c r="AE244" s="29">
        <f t="shared" si="64"/>
        <v>0</v>
      </c>
      <c r="AF244" s="23"/>
      <c r="AG244" s="24">
        <f t="shared" si="33"/>
        <v>0</v>
      </c>
    </row>
    <row r="245" spans="1:33" x14ac:dyDescent="0.3">
      <c r="A245" s="28" t="s">
        <v>29</v>
      </c>
      <c r="B245" s="29">
        <f t="shared" ref="B245:E247" si="65">B251+B257</f>
        <v>0</v>
      </c>
      <c r="C245" s="29">
        <f t="shared" si="65"/>
        <v>0</v>
      </c>
      <c r="D245" s="29">
        <f t="shared" si="65"/>
        <v>0</v>
      </c>
      <c r="E245" s="29">
        <f t="shared" si="65"/>
        <v>0</v>
      </c>
      <c r="F245" s="29"/>
      <c r="G245" s="29"/>
      <c r="H245" s="29">
        <f t="shared" si="64"/>
        <v>0</v>
      </c>
      <c r="I245" s="29">
        <f t="shared" si="64"/>
        <v>0</v>
      </c>
      <c r="J245" s="29">
        <f t="shared" si="64"/>
        <v>0</v>
      </c>
      <c r="K245" s="29">
        <f t="shared" si="64"/>
        <v>0</v>
      </c>
      <c r="L245" s="29">
        <f t="shared" si="64"/>
        <v>0</v>
      </c>
      <c r="M245" s="29">
        <f t="shared" si="64"/>
        <v>0</v>
      </c>
      <c r="N245" s="29">
        <f t="shared" si="64"/>
        <v>0</v>
      </c>
      <c r="O245" s="29">
        <f t="shared" si="64"/>
        <v>0</v>
      </c>
      <c r="P245" s="29">
        <f t="shared" si="64"/>
        <v>0</v>
      </c>
      <c r="Q245" s="29">
        <f t="shared" si="64"/>
        <v>0</v>
      </c>
      <c r="R245" s="29">
        <f t="shared" si="64"/>
        <v>0</v>
      </c>
      <c r="S245" s="29">
        <f t="shared" si="64"/>
        <v>0</v>
      </c>
      <c r="T245" s="29">
        <f t="shared" si="64"/>
        <v>0</v>
      </c>
      <c r="U245" s="29">
        <f t="shared" si="64"/>
        <v>0</v>
      </c>
      <c r="V245" s="29">
        <f t="shared" si="64"/>
        <v>0</v>
      </c>
      <c r="W245" s="29">
        <f t="shared" si="64"/>
        <v>0</v>
      </c>
      <c r="X245" s="29">
        <f t="shared" si="64"/>
        <v>0</v>
      </c>
      <c r="Y245" s="29">
        <f t="shared" si="64"/>
        <v>0</v>
      </c>
      <c r="Z245" s="29">
        <f t="shared" si="64"/>
        <v>0</v>
      </c>
      <c r="AA245" s="29">
        <f t="shared" si="64"/>
        <v>0</v>
      </c>
      <c r="AB245" s="29">
        <f t="shared" si="64"/>
        <v>0</v>
      </c>
      <c r="AC245" s="29">
        <f t="shared" si="64"/>
        <v>0</v>
      </c>
      <c r="AD245" s="29">
        <f t="shared" si="64"/>
        <v>0</v>
      </c>
      <c r="AE245" s="29">
        <f t="shared" si="64"/>
        <v>0</v>
      </c>
      <c r="AF245" s="23"/>
      <c r="AG245" s="24">
        <f t="shared" si="33"/>
        <v>0</v>
      </c>
    </row>
    <row r="246" spans="1:33" x14ac:dyDescent="0.3">
      <c r="A246" s="28" t="s">
        <v>30</v>
      </c>
      <c r="B246" s="29">
        <f t="shared" si="65"/>
        <v>64613.032820000015</v>
      </c>
      <c r="C246" s="29">
        <f>C252+C258</f>
        <v>56949.734880000004</v>
      </c>
      <c r="D246" s="29">
        <f t="shared" si="65"/>
        <v>55854.087299999999</v>
      </c>
      <c r="E246" s="29">
        <f t="shared" si="65"/>
        <v>55854.087299999999</v>
      </c>
      <c r="F246" s="29">
        <f>IFERROR(E246/B246*100,0)</f>
        <v>86.443995680560576</v>
      </c>
      <c r="G246" s="29">
        <f>IFERROR(E246/C246*100,0)</f>
        <v>98.076114696040875</v>
      </c>
      <c r="H246" s="29">
        <f t="shared" si="64"/>
        <v>2008.0666200000001</v>
      </c>
      <c r="I246" s="29">
        <f t="shared" si="64"/>
        <v>1472.63</v>
      </c>
      <c r="J246" s="29">
        <f t="shared" si="64"/>
        <v>4844.0766199999998</v>
      </c>
      <c r="K246" s="29">
        <f t="shared" si="64"/>
        <v>4844.08</v>
      </c>
      <c r="L246" s="29">
        <f t="shared" si="64"/>
        <v>8715.1966200000006</v>
      </c>
      <c r="M246" s="29">
        <f t="shared" si="64"/>
        <v>8717.51</v>
      </c>
      <c r="N246" s="29">
        <f t="shared" si="64"/>
        <v>11384.37</v>
      </c>
      <c r="O246" s="29">
        <f t="shared" si="64"/>
        <v>11046.580000000002</v>
      </c>
      <c r="P246" s="29">
        <f t="shared" si="64"/>
        <v>4503.6915099999997</v>
      </c>
      <c r="Q246" s="29">
        <f t="shared" si="64"/>
        <v>4503.6899999999996</v>
      </c>
      <c r="R246" s="29">
        <f t="shared" si="64"/>
        <v>5380.8022900000005</v>
      </c>
      <c r="S246" s="29">
        <f t="shared" si="64"/>
        <v>5665.47</v>
      </c>
      <c r="T246" s="29">
        <f t="shared" si="64"/>
        <v>5320.5766200000007</v>
      </c>
      <c r="U246" s="29">
        <f t="shared" si="64"/>
        <v>5320.58</v>
      </c>
      <c r="V246" s="29">
        <f t="shared" si="64"/>
        <v>5905.4991300000002</v>
      </c>
      <c r="W246" s="29">
        <f t="shared" si="64"/>
        <v>5581.5</v>
      </c>
      <c r="X246" s="29">
        <f t="shared" si="64"/>
        <v>3462.58662</v>
      </c>
      <c r="Y246" s="29">
        <f t="shared" si="64"/>
        <v>3494.4472999999998</v>
      </c>
      <c r="Z246" s="29">
        <f t="shared" si="64"/>
        <v>5424.8688499999989</v>
      </c>
      <c r="AA246" s="29">
        <f t="shared" si="64"/>
        <v>5207.6000000000004</v>
      </c>
      <c r="AB246" s="29">
        <f t="shared" si="64"/>
        <v>6347.4296200000008</v>
      </c>
      <c r="AC246" s="29">
        <f t="shared" si="64"/>
        <v>0</v>
      </c>
      <c r="AD246" s="29">
        <f t="shared" si="64"/>
        <v>1315.86832</v>
      </c>
      <c r="AE246" s="29">
        <f t="shared" si="64"/>
        <v>0</v>
      </c>
      <c r="AF246" s="23"/>
      <c r="AG246" s="24">
        <f t="shared" si="33"/>
        <v>1.5916157281026244E-11</v>
      </c>
    </row>
    <row r="247" spans="1:33" x14ac:dyDescent="0.3">
      <c r="A247" s="28" t="s">
        <v>31</v>
      </c>
      <c r="B247" s="29">
        <f t="shared" si="65"/>
        <v>0</v>
      </c>
      <c r="C247" s="29">
        <f t="shared" si="65"/>
        <v>0</v>
      </c>
      <c r="D247" s="29">
        <f t="shared" si="65"/>
        <v>0</v>
      </c>
      <c r="E247" s="29">
        <f t="shared" si="65"/>
        <v>0</v>
      </c>
      <c r="F247" s="29"/>
      <c r="G247" s="29"/>
      <c r="H247" s="29">
        <f t="shared" si="64"/>
        <v>0</v>
      </c>
      <c r="I247" s="29">
        <f t="shared" si="64"/>
        <v>0</v>
      </c>
      <c r="J247" s="29">
        <f t="shared" si="64"/>
        <v>0</v>
      </c>
      <c r="K247" s="29">
        <f t="shared" si="64"/>
        <v>0</v>
      </c>
      <c r="L247" s="29">
        <f t="shared" si="64"/>
        <v>0</v>
      </c>
      <c r="M247" s="29">
        <f t="shared" si="64"/>
        <v>0</v>
      </c>
      <c r="N247" s="29">
        <f t="shared" si="64"/>
        <v>0</v>
      </c>
      <c r="O247" s="29">
        <f t="shared" si="64"/>
        <v>0</v>
      </c>
      <c r="P247" s="29">
        <f t="shared" si="64"/>
        <v>0</v>
      </c>
      <c r="Q247" s="29">
        <f t="shared" si="64"/>
        <v>0</v>
      </c>
      <c r="R247" s="29">
        <f t="shared" si="64"/>
        <v>0</v>
      </c>
      <c r="S247" s="29">
        <f t="shared" si="64"/>
        <v>0</v>
      </c>
      <c r="T247" s="29">
        <f t="shared" si="64"/>
        <v>0</v>
      </c>
      <c r="U247" s="29">
        <f t="shared" si="64"/>
        <v>0</v>
      </c>
      <c r="V247" s="29">
        <f t="shared" si="64"/>
        <v>0</v>
      </c>
      <c r="W247" s="29">
        <f t="shared" si="64"/>
        <v>0</v>
      </c>
      <c r="X247" s="29">
        <f t="shared" si="64"/>
        <v>0</v>
      </c>
      <c r="Y247" s="29">
        <f t="shared" si="64"/>
        <v>0</v>
      </c>
      <c r="Z247" s="29">
        <f t="shared" si="64"/>
        <v>0</v>
      </c>
      <c r="AA247" s="29">
        <f t="shared" si="64"/>
        <v>0</v>
      </c>
      <c r="AB247" s="29">
        <f t="shared" si="64"/>
        <v>0</v>
      </c>
      <c r="AC247" s="29">
        <f t="shared" si="64"/>
        <v>0</v>
      </c>
      <c r="AD247" s="29">
        <f t="shared" si="64"/>
        <v>0</v>
      </c>
      <c r="AE247" s="29">
        <f t="shared" si="64"/>
        <v>0</v>
      </c>
      <c r="AF247" s="23"/>
      <c r="AG247" s="24">
        <f t="shared" si="33"/>
        <v>0</v>
      </c>
    </row>
    <row r="248" spans="1:33" ht="61.5" customHeight="1" x14ac:dyDescent="0.3">
      <c r="A248" s="30" t="s">
        <v>78</v>
      </c>
      <c r="B248" s="91"/>
      <c r="C248" s="32"/>
      <c r="D248" s="32"/>
      <c r="E248" s="32"/>
      <c r="F248" s="32"/>
      <c r="G248" s="32"/>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4"/>
      <c r="AG248" s="24">
        <f t="shared" si="33"/>
        <v>0</v>
      </c>
    </row>
    <row r="249" spans="1:33" x14ac:dyDescent="0.3">
      <c r="A249" s="71" t="s">
        <v>27</v>
      </c>
      <c r="B249" s="70">
        <f>B251+B252+B250+B253</f>
        <v>52103.100000000013</v>
      </c>
      <c r="C249" s="70">
        <f>C251+C252+C250+C253</f>
        <v>46795.83</v>
      </c>
      <c r="D249" s="92">
        <f>D251+D252+D250+D253</f>
        <v>46795.832499999997</v>
      </c>
      <c r="E249" s="70">
        <f>E251+E252+E250+E253</f>
        <v>46795.832499999997</v>
      </c>
      <c r="F249" s="70">
        <f>IFERROR(E249/B249*100,0)</f>
        <v>89.813912224032705</v>
      </c>
      <c r="G249" s="70">
        <f>IFERROR(E249/C249*100,0)</f>
        <v>100.00000534235636</v>
      </c>
      <c r="H249" s="70">
        <f t="shared" ref="H249:AE249" si="66">H251+H252+H250+H253</f>
        <v>1347.73</v>
      </c>
      <c r="I249" s="70">
        <f t="shared" si="66"/>
        <v>1347.73</v>
      </c>
      <c r="J249" s="70">
        <f t="shared" si="66"/>
        <v>3827.1</v>
      </c>
      <c r="K249" s="70">
        <f t="shared" si="66"/>
        <v>3827.1</v>
      </c>
      <c r="L249" s="70">
        <f t="shared" si="66"/>
        <v>7698.22</v>
      </c>
      <c r="M249" s="70">
        <f t="shared" si="66"/>
        <v>7698.22</v>
      </c>
      <c r="N249" s="70">
        <f t="shared" si="66"/>
        <v>10213.620000000001</v>
      </c>
      <c r="O249" s="70">
        <f t="shared" si="66"/>
        <v>10213.620000000001</v>
      </c>
      <c r="P249" s="70">
        <f t="shared" si="66"/>
        <v>3322.2</v>
      </c>
      <c r="Q249" s="70">
        <f t="shared" si="66"/>
        <v>3322.2</v>
      </c>
      <c r="R249" s="70">
        <f t="shared" si="66"/>
        <v>4351.7700000000004</v>
      </c>
      <c r="S249" s="70">
        <f t="shared" si="66"/>
        <v>4351.7700000000004</v>
      </c>
      <c r="T249" s="70">
        <f t="shared" si="66"/>
        <v>4303.6000000000004</v>
      </c>
      <c r="U249" s="70">
        <f t="shared" si="66"/>
        <v>4303.6000000000004</v>
      </c>
      <c r="V249" s="70">
        <f t="shared" si="66"/>
        <v>4886.1900000000005</v>
      </c>
      <c r="W249" s="70">
        <f t="shared" si="66"/>
        <v>4618.58</v>
      </c>
      <c r="X249" s="70">
        <f t="shared" si="66"/>
        <v>2447.9</v>
      </c>
      <c r="Y249" s="70">
        <f t="shared" si="66"/>
        <v>2715.5124999999998</v>
      </c>
      <c r="Z249" s="70">
        <f t="shared" si="66"/>
        <v>4397.4999999999991</v>
      </c>
      <c r="AA249" s="70">
        <f t="shared" si="66"/>
        <v>4397.5</v>
      </c>
      <c r="AB249" s="70">
        <f t="shared" si="66"/>
        <v>5307.27</v>
      </c>
      <c r="AC249" s="70">
        <f t="shared" si="66"/>
        <v>0</v>
      </c>
      <c r="AD249" s="70">
        <f t="shared" si="66"/>
        <v>0</v>
      </c>
      <c r="AE249" s="70">
        <f t="shared" si="66"/>
        <v>0</v>
      </c>
      <c r="AF249" s="34"/>
      <c r="AG249" s="24">
        <f t="shared" si="33"/>
        <v>8.1854523159563541E-12</v>
      </c>
    </row>
    <row r="250" spans="1:33" x14ac:dyDescent="0.3">
      <c r="A250" s="46" t="s">
        <v>28</v>
      </c>
      <c r="B250" s="47">
        <f>J250+L250+N250+P250+R250+T250+V250+X250+Z250+AB250+AD250+H250</f>
        <v>0</v>
      </c>
      <c r="C250" s="48">
        <f>SUM(H250)</f>
        <v>0</v>
      </c>
      <c r="D250" s="49">
        <f>E250</f>
        <v>0</v>
      </c>
      <c r="E250" s="48">
        <f>SUM(I250,K250,M250,O250,Q250,S250,U250,W250,Y250,AA250,AC250,AE250)</f>
        <v>0</v>
      </c>
      <c r="F250" s="47">
        <f>IFERROR(E250/B250*100,0)</f>
        <v>0</v>
      </c>
      <c r="G250" s="47">
        <f>IFERROR(E250/C250*100,0)</f>
        <v>0</v>
      </c>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4"/>
      <c r="AG250" s="24">
        <f t="shared" si="33"/>
        <v>0</v>
      </c>
    </row>
    <row r="251" spans="1:33" ht="42" customHeight="1" x14ac:dyDescent="0.3">
      <c r="A251" s="46" t="s">
        <v>29</v>
      </c>
      <c r="B251" s="47">
        <f>J251+L251+N251+P251+R251+T251+V251+X251+Z251+AB251+AD251+H251</f>
        <v>0</v>
      </c>
      <c r="C251" s="48">
        <f>SUM(H251)</f>
        <v>0</v>
      </c>
      <c r="D251" s="49">
        <f>E251</f>
        <v>0</v>
      </c>
      <c r="E251" s="48">
        <f>SUM(I251,K251,M251,O251,Q251,S251,U251,W251,Y251,AA251,AC251,AE251)</f>
        <v>0</v>
      </c>
      <c r="F251" s="47">
        <f>IFERROR(E251/B251*100,0)</f>
        <v>0</v>
      </c>
      <c r="G251" s="47">
        <f>IFERROR(E251/C251*100,0)</f>
        <v>0</v>
      </c>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4"/>
      <c r="AG251" s="24">
        <f t="shared" si="33"/>
        <v>0</v>
      </c>
    </row>
    <row r="252" spans="1:33" x14ac:dyDescent="0.3">
      <c r="A252" s="46" t="s">
        <v>30</v>
      </c>
      <c r="B252" s="47">
        <f>J252+L252+N252+P252+R252+T252+V252+X252+Z252+AB252+AD252+H252</f>
        <v>52103.100000000013</v>
      </c>
      <c r="C252" s="48">
        <f>H252+J252+L252+N252+P252+R252+T252+V252+X252+Z252</f>
        <v>46795.83</v>
      </c>
      <c r="D252" s="49">
        <f>E252</f>
        <v>46795.832499999997</v>
      </c>
      <c r="E252" s="48">
        <f>SUM(I252,K252,M252,O252,Q252,S252,U252,W252,Y252,AA252,AC252,AE252)</f>
        <v>46795.832499999997</v>
      </c>
      <c r="F252" s="47">
        <f>IFERROR(E252/B252*100,0)</f>
        <v>89.813912224032705</v>
      </c>
      <c r="G252" s="47">
        <f>IFERROR(E252/C252*100,0)</f>
        <v>100.00000534235636</v>
      </c>
      <c r="H252" s="45">
        <v>1347.73</v>
      </c>
      <c r="I252" s="45">
        <v>1347.73</v>
      </c>
      <c r="J252" s="45">
        <v>3827.1</v>
      </c>
      <c r="K252" s="33">
        <v>3827.1</v>
      </c>
      <c r="L252" s="33">
        <v>7698.22</v>
      </c>
      <c r="M252" s="33">
        <v>7698.22</v>
      </c>
      <c r="N252" s="33">
        <v>10213.620000000001</v>
      </c>
      <c r="O252" s="33">
        <v>10213.620000000001</v>
      </c>
      <c r="P252" s="33">
        <v>3322.2</v>
      </c>
      <c r="Q252" s="33">
        <v>3322.2</v>
      </c>
      <c r="R252" s="33">
        <f>965.27+3386.5</f>
        <v>4351.7700000000004</v>
      </c>
      <c r="S252" s="33">
        <v>4351.7700000000004</v>
      </c>
      <c r="T252" s="33">
        <v>4303.6000000000004</v>
      </c>
      <c r="U252" s="33">
        <v>4303.6000000000004</v>
      </c>
      <c r="V252" s="33">
        <f>4932.89+2401.2-2447.9</f>
        <v>4886.1900000000005</v>
      </c>
      <c r="W252" s="33">
        <v>4618.58</v>
      </c>
      <c r="X252" s="33">
        <v>2447.9</v>
      </c>
      <c r="Y252" s="33">
        <v>2715.5124999999998</v>
      </c>
      <c r="Z252" s="33">
        <f>3713.5+5033.28-1489.91-2859.37</f>
        <v>4397.4999999999991</v>
      </c>
      <c r="AA252" s="33">
        <v>4397.5</v>
      </c>
      <c r="AB252" s="33">
        <f>2859.37+2447.9</f>
        <v>5307.27</v>
      </c>
      <c r="AC252" s="33"/>
      <c r="AD252" s="33"/>
      <c r="AE252" s="33"/>
      <c r="AF252" s="34"/>
      <c r="AG252" s="24">
        <f t="shared" si="33"/>
        <v>8.1854523159563541E-12</v>
      </c>
    </row>
    <row r="253" spans="1:33" x14ac:dyDescent="0.3">
      <c r="A253" s="46" t="s">
        <v>31</v>
      </c>
      <c r="B253" s="47"/>
      <c r="C253" s="48"/>
      <c r="D253" s="49"/>
      <c r="E253" s="48"/>
      <c r="F253" s="47"/>
      <c r="G253" s="47"/>
      <c r="H253" s="45"/>
      <c r="I253" s="45"/>
      <c r="J253" s="45"/>
      <c r="K253" s="33"/>
      <c r="L253" s="33"/>
      <c r="M253" s="33"/>
      <c r="N253" s="33"/>
      <c r="O253" s="33"/>
      <c r="P253" s="33"/>
      <c r="Q253" s="33"/>
      <c r="R253" s="33"/>
      <c r="S253" s="33"/>
      <c r="T253" s="33"/>
      <c r="U253" s="33"/>
      <c r="V253" s="33"/>
      <c r="W253" s="33"/>
      <c r="X253" s="33"/>
      <c r="Y253" s="33"/>
      <c r="Z253" s="33"/>
      <c r="AA253" s="33"/>
      <c r="AB253" s="33"/>
      <c r="AC253" s="33"/>
      <c r="AD253" s="33"/>
      <c r="AE253" s="33"/>
      <c r="AF253" s="34"/>
      <c r="AG253" s="24">
        <f t="shared" si="33"/>
        <v>0</v>
      </c>
    </row>
    <row r="254" spans="1:33" ht="64.5" customHeight="1" x14ac:dyDescent="0.3">
      <c r="A254" s="30" t="s">
        <v>79</v>
      </c>
      <c r="B254" s="91"/>
      <c r="C254" s="32"/>
      <c r="D254" s="32"/>
      <c r="E254" s="32"/>
      <c r="F254" s="32"/>
      <c r="G254" s="32"/>
      <c r="H254" s="45"/>
      <c r="I254" s="45"/>
      <c r="J254" s="45"/>
      <c r="K254" s="33"/>
      <c r="L254" s="33"/>
      <c r="M254" s="33"/>
      <c r="N254" s="33"/>
      <c r="O254" s="33"/>
      <c r="P254" s="33"/>
      <c r="Q254" s="33"/>
      <c r="R254" s="33"/>
      <c r="S254" s="33"/>
      <c r="T254" s="33"/>
      <c r="U254" s="33"/>
      <c r="V254" s="33"/>
      <c r="W254" s="33"/>
      <c r="X254" s="33"/>
      <c r="Y254" s="33"/>
      <c r="Z254" s="33"/>
      <c r="AA254" s="33"/>
      <c r="AB254" s="33"/>
      <c r="AC254" s="33"/>
      <c r="AD254" s="33"/>
      <c r="AE254" s="33"/>
      <c r="AF254" s="34"/>
      <c r="AG254" s="24">
        <f t="shared" si="33"/>
        <v>0</v>
      </c>
    </row>
    <row r="255" spans="1:33" x14ac:dyDescent="0.3">
      <c r="A255" s="71" t="s">
        <v>27</v>
      </c>
      <c r="B255" s="70">
        <f>B257+B258+B256+B259</f>
        <v>12509.93282</v>
      </c>
      <c r="C255" s="70">
        <f>C257+C258+C256+C259</f>
        <v>10153.90488</v>
      </c>
      <c r="D255" s="92">
        <f>D257+D258+D256+D259</f>
        <v>9058.2548000000006</v>
      </c>
      <c r="E255" s="70">
        <f>E257+E258+E256+E259</f>
        <v>9058.2548000000006</v>
      </c>
      <c r="F255" s="70">
        <f>IFERROR(E255/B255*100,0)</f>
        <v>72.408500751645136</v>
      </c>
      <c r="G255" s="70">
        <f>IFERROR(E255/C255*100,0)</f>
        <v>89.209569195806765</v>
      </c>
      <c r="H255" s="38">
        <f t="shared" ref="H255:AE255" si="67">H257+H258+H256+H259</f>
        <v>660.33662000000004</v>
      </c>
      <c r="I255" s="38">
        <f t="shared" si="67"/>
        <v>124.9</v>
      </c>
      <c r="J255" s="38">
        <f t="shared" si="67"/>
        <v>1016.97662</v>
      </c>
      <c r="K255" s="70">
        <f t="shared" si="67"/>
        <v>1016.98</v>
      </c>
      <c r="L255" s="70">
        <f t="shared" si="67"/>
        <v>1016.97662</v>
      </c>
      <c r="M255" s="70">
        <f t="shared" si="67"/>
        <v>1019.29</v>
      </c>
      <c r="N255" s="70">
        <f t="shared" si="67"/>
        <v>1170.75</v>
      </c>
      <c r="O255" s="70">
        <f t="shared" si="67"/>
        <v>832.96</v>
      </c>
      <c r="P255" s="70">
        <f t="shared" si="67"/>
        <v>1181.4915100000001</v>
      </c>
      <c r="Q255" s="70">
        <f t="shared" si="67"/>
        <v>1181.49</v>
      </c>
      <c r="R255" s="70">
        <f t="shared" si="67"/>
        <v>1029.0322899999999</v>
      </c>
      <c r="S255" s="70">
        <f t="shared" si="67"/>
        <v>1313.7</v>
      </c>
      <c r="T255" s="70">
        <f t="shared" si="67"/>
        <v>1016.97662</v>
      </c>
      <c r="U255" s="70">
        <f t="shared" si="67"/>
        <v>1016.98</v>
      </c>
      <c r="V255" s="70">
        <f t="shared" si="67"/>
        <v>1019.30913</v>
      </c>
      <c r="W255" s="70">
        <f t="shared" si="67"/>
        <v>962.92</v>
      </c>
      <c r="X255" s="70">
        <f t="shared" si="67"/>
        <v>1014.6866200000001</v>
      </c>
      <c r="Y255" s="70">
        <f t="shared" si="67"/>
        <v>778.9348</v>
      </c>
      <c r="Z255" s="70">
        <f t="shared" si="67"/>
        <v>1027.3688500000001</v>
      </c>
      <c r="AA255" s="70">
        <f t="shared" si="67"/>
        <v>810.1</v>
      </c>
      <c r="AB255" s="70">
        <f t="shared" si="67"/>
        <v>1040.1596200000001</v>
      </c>
      <c r="AC255" s="70">
        <f t="shared" si="67"/>
        <v>0</v>
      </c>
      <c r="AD255" s="70">
        <f t="shared" si="67"/>
        <v>1315.86832</v>
      </c>
      <c r="AE255" s="70">
        <f t="shared" si="67"/>
        <v>0</v>
      </c>
      <c r="AF255" s="34"/>
      <c r="AG255" s="24">
        <f t="shared" si="33"/>
        <v>0</v>
      </c>
    </row>
    <row r="256" spans="1:33" x14ac:dyDescent="0.3">
      <c r="A256" s="46" t="s">
        <v>28</v>
      </c>
      <c r="B256" s="47">
        <f>J256+L256+N256+P256+R256+T256+V256+X256+Z256+AB256+AD256+H256</f>
        <v>0</v>
      </c>
      <c r="C256" s="48">
        <f>SUM(H256)</f>
        <v>0</v>
      </c>
      <c r="D256" s="49">
        <f>E256</f>
        <v>0</v>
      </c>
      <c r="E256" s="48">
        <f>SUM(I256,K256,M256,O256,Q256,S256,U256,W256,Y256,AA256,AC256,AE256)</f>
        <v>0</v>
      </c>
      <c r="F256" s="47">
        <f>IFERROR(E256/B256*100,0)</f>
        <v>0</v>
      </c>
      <c r="G256" s="47">
        <f>IFERROR(E256/C256*100,0)</f>
        <v>0</v>
      </c>
      <c r="H256" s="45"/>
      <c r="I256" s="45"/>
      <c r="J256" s="45"/>
      <c r="K256" s="33"/>
      <c r="L256" s="33"/>
      <c r="M256" s="33"/>
      <c r="N256" s="33"/>
      <c r="O256" s="33"/>
      <c r="P256" s="33"/>
      <c r="Q256" s="33"/>
      <c r="R256" s="33"/>
      <c r="S256" s="33"/>
      <c r="T256" s="33"/>
      <c r="U256" s="33"/>
      <c r="V256" s="33"/>
      <c r="W256" s="33"/>
      <c r="X256" s="33"/>
      <c r="Y256" s="33"/>
      <c r="Z256" s="33"/>
      <c r="AA256" s="33"/>
      <c r="AB256" s="33"/>
      <c r="AC256" s="33"/>
      <c r="AD256" s="33"/>
      <c r="AE256" s="33"/>
      <c r="AF256" s="34"/>
      <c r="AG256" s="24">
        <f t="shared" si="33"/>
        <v>0</v>
      </c>
    </row>
    <row r="257" spans="1:33" x14ac:dyDescent="0.3">
      <c r="A257" s="46" t="s">
        <v>29</v>
      </c>
      <c r="B257" s="47">
        <f>J257+L257+N257+P257+R257+T257+V257+X257+Z257+AB257+AD257+H257</f>
        <v>0</v>
      </c>
      <c r="C257" s="48">
        <f>SUM(H257)</f>
        <v>0</v>
      </c>
      <c r="D257" s="49">
        <f>E257</f>
        <v>0</v>
      </c>
      <c r="E257" s="48">
        <f>SUM(I257,K257,M257,O257,Q257,S257,U257,W257,Y257,AA257,AC257,AE257)</f>
        <v>0</v>
      </c>
      <c r="F257" s="47">
        <f>IFERROR(E257/B257*100,0)</f>
        <v>0</v>
      </c>
      <c r="G257" s="47">
        <f>IFERROR(E257/C257*100,0)</f>
        <v>0</v>
      </c>
      <c r="H257" s="45"/>
      <c r="I257" s="45"/>
      <c r="J257" s="45"/>
      <c r="K257" s="33"/>
      <c r="L257" s="33"/>
      <c r="M257" s="33"/>
      <c r="N257" s="33"/>
      <c r="O257" s="33"/>
      <c r="P257" s="33"/>
      <c r="Q257" s="33"/>
      <c r="R257" s="33"/>
      <c r="S257" s="33"/>
      <c r="T257" s="33"/>
      <c r="U257" s="33"/>
      <c r="V257" s="33"/>
      <c r="W257" s="33"/>
      <c r="X257" s="33"/>
      <c r="Y257" s="33"/>
      <c r="Z257" s="33"/>
      <c r="AA257" s="33"/>
      <c r="AB257" s="33"/>
      <c r="AC257" s="33"/>
      <c r="AD257" s="33"/>
      <c r="AE257" s="33"/>
      <c r="AF257" s="34"/>
      <c r="AG257" s="24">
        <f t="shared" si="33"/>
        <v>0</v>
      </c>
    </row>
    <row r="258" spans="1:33" x14ac:dyDescent="0.3">
      <c r="A258" s="46" t="s">
        <v>30</v>
      </c>
      <c r="B258" s="31">
        <f>J258+L258+N258+P258+R258+T258+V258+X258+Z258+AB258+AD258+H258</f>
        <v>12509.93282</v>
      </c>
      <c r="C258" s="48">
        <f>H258+J258+L258+N258+P258+R258+T258+V258+X258+Z258</f>
        <v>10153.90488</v>
      </c>
      <c r="D258" s="49">
        <f>E258</f>
        <v>9058.2548000000006</v>
      </c>
      <c r="E258" s="48">
        <f>SUM(I258,K258,M258,O258,Q258,S258,U258,W258,Y258,AA258,AC258,AE258)</f>
        <v>9058.2548000000006</v>
      </c>
      <c r="F258" s="47">
        <f>IFERROR(E258/B258*100,0)</f>
        <v>72.408500751645136</v>
      </c>
      <c r="G258" s="47">
        <f>IFERROR(E258/C258*100,0)</f>
        <v>89.209569195806765</v>
      </c>
      <c r="H258" s="45">
        <v>660.33662000000004</v>
      </c>
      <c r="I258" s="45">
        <v>124.9</v>
      </c>
      <c r="J258" s="45">
        <v>1016.97662</v>
      </c>
      <c r="K258" s="33">
        <v>1016.98</v>
      </c>
      <c r="L258" s="33">
        <v>1016.97662</v>
      </c>
      <c r="M258" s="33">
        <f>2.31+1016.98</f>
        <v>1019.29</v>
      </c>
      <c r="N258" s="33">
        <v>1170.75</v>
      </c>
      <c r="O258" s="33">
        <v>832.96</v>
      </c>
      <c r="P258" s="33">
        <v>1181.4915100000001</v>
      </c>
      <c r="Q258" s="33">
        <v>1181.49</v>
      </c>
      <c r="R258" s="33">
        <f>2.29+1026.74229</f>
        <v>1029.0322899999999</v>
      </c>
      <c r="S258" s="33">
        <v>1313.7</v>
      </c>
      <c r="T258" s="33">
        <v>1016.97662</v>
      </c>
      <c r="U258" s="33">
        <v>1016.98</v>
      </c>
      <c r="V258" s="33">
        <f>1003.45+1030.54083-1014.6817</f>
        <v>1019.30913</v>
      </c>
      <c r="W258" s="33">
        <v>962.92</v>
      </c>
      <c r="X258" s="33">
        <f>1016.97662-2.29</f>
        <v>1014.6866200000001</v>
      </c>
      <c r="Y258" s="33">
        <v>778.9348</v>
      </c>
      <c r="Z258" s="33">
        <v>1027.3688500000001</v>
      </c>
      <c r="AA258" s="33">
        <v>810.1</v>
      </c>
      <c r="AB258" s="33">
        <f>1061.43962-21.28</f>
        <v>1040.1596200000001</v>
      </c>
      <c r="AC258" s="33"/>
      <c r="AD258" s="33">
        <f>1304.63662-1003.45+1014.6817</f>
        <v>1315.86832</v>
      </c>
      <c r="AE258" s="33"/>
      <c r="AF258" s="34"/>
      <c r="AG258" s="24">
        <f t="shared" si="33"/>
        <v>0</v>
      </c>
    </row>
    <row r="259" spans="1:33" x14ac:dyDescent="0.3">
      <c r="A259" s="46" t="s">
        <v>31</v>
      </c>
      <c r="B259" s="47"/>
      <c r="C259" s="48"/>
      <c r="D259" s="49"/>
      <c r="E259" s="48"/>
      <c r="F259" s="47"/>
      <c r="G259" s="47"/>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4"/>
      <c r="AG259" s="24">
        <f t="shared" si="33"/>
        <v>0</v>
      </c>
    </row>
    <row r="260" spans="1:33" x14ac:dyDescent="0.3">
      <c r="A260" s="16" t="s">
        <v>80</v>
      </c>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8"/>
      <c r="AG260" s="24">
        <f t="shared" si="33"/>
        <v>0</v>
      </c>
    </row>
    <row r="261" spans="1:33" s="19" customFormat="1" x14ac:dyDescent="0.3">
      <c r="A261" s="16" t="s">
        <v>25</v>
      </c>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8"/>
    </row>
    <row r="262" spans="1:33" ht="56.25" customHeight="1" x14ac:dyDescent="0.3">
      <c r="A262" s="20" t="s">
        <v>81</v>
      </c>
      <c r="B262" s="21"/>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3"/>
      <c r="AG262" s="24">
        <f>B262-H262-J262-L262-N262-P262-R262-T262-V262-X262-Z262-AB262-AD262</f>
        <v>0</v>
      </c>
    </row>
    <row r="263" spans="1:33" x14ac:dyDescent="0.3">
      <c r="A263" s="25" t="s">
        <v>27</v>
      </c>
      <c r="B263" s="26">
        <f>B264+B265+B266+B267</f>
        <v>1055046.4300000002</v>
      </c>
      <c r="C263" s="26">
        <f>C264+C265+C266+C267</f>
        <v>48677.57</v>
      </c>
      <c r="D263" s="26">
        <f>D264+D265+D266+D267</f>
        <v>48677.57</v>
      </c>
      <c r="E263" s="26">
        <f>E264+E265+E266+E267</f>
        <v>48677.57</v>
      </c>
      <c r="F263" s="27">
        <f>IFERROR(E263/B263*100,0)</f>
        <v>4.6137846274689531</v>
      </c>
      <c r="G263" s="27">
        <f>IFERROR(E263/C263*100,0)</f>
        <v>100</v>
      </c>
      <c r="H263" s="26">
        <f>H264+H265+H266+H267</f>
        <v>0</v>
      </c>
      <c r="I263" s="26">
        <f t="shared" ref="I263:AE263" si="68">I264+I265+I266+I267</f>
        <v>0</v>
      </c>
      <c r="J263" s="26">
        <f t="shared" si="68"/>
        <v>0</v>
      </c>
      <c r="K263" s="26">
        <f t="shared" si="68"/>
        <v>0</v>
      </c>
      <c r="L263" s="26">
        <f t="shared" si="68"/>
        <v>0</v>
      </c>
      <c r="M263" s="26">
        <f t="shared" si="68"/>
        <v>0</v>
      </c>
      <c r="N263" s="26">
        <f t="shared" si="68"/>
        <v>0</v>
      </c>
      <c r="O263" s="26">
        <f t="shared" si="68"/>
        <v>0</v>
      </c>
      <c r="P263" s="26">
        <f t="shared" si="68"/>
        <v>0</v>
      </c>
      <c r="Q263" s="26">
        <f t="shared" si="68"/>
        <v>0</v>
      </c>
      <c r="R263" s="26">
        <f t="shared" si="68"/>
        <v>0</v>
      </c>
      <c r="S263" s="26">
        <f t="shared" si="68"/>
        <v>0</v>
      </c>
      <c r="T263" s="26">
        <f t="shared" si="68"/>
        <v>0</v>
      </c>
      <c r="U263" s="26">
        <f t="shared" si="68"/>
        <v>0</v>
      </c>
      <c r="V263" s="26">
        <f t="shared" si="68"/>
        <v>0</v>
      </c>
      <c r="W263" s="26">
        <f t="shared" si="68"/>
        <v>0</v>
      </c>
      <c r="X263" s="26">
        <f t="shared" si="68"/>
        <v>48677.57</v>
      </c>
      <c r="Y263" s="26">
        <f t="shared" si="68"/>
        <v>48677.57</v>
      </c>
      <c r="Z263" s="26">
        <f t="shared" si="68"/>
        <v>0</v>
      </c>
      <c r="AA263" s="26">
        <f t="shared" si="68"/>
        <v>0</v>
      </c>
      <c r="AB263" s="26">
        <f t="shared" si="68"/>
        <v>508729.27</v>
      </c>
      <c r="AC263" s="26">
        <f t="shared" si="68"/>
        <v>0</v>
      </c>
      <c r="AD263" s="26">
        <f t="shared" si="68"/>
        <v>497639.59000000008</v>
      </c>
      <c r="AE263" s="26">
        <f t="shared" si="68"/>
        <v>0</v>
      </c>
      <c r="AF263" s="23"/>
      <c r="AG263" s="24">
        <f t="shared" ref="AG263:AG279" si="69">B263-H263-J263-L263-N263-P263-R263-T263-V263-X263-Z263-AB263-AD263</f>
        <v>0</v>
      </c>
    </row>
    <row r="264" spans="1:33" x14ac:dyDescent="0.3">
      <c r="A264" s="28" t="s">
        <v>28</v>
      </c>
      <c r="B264" s="29">
        <f>B270</f>
        <v>221676.30000000002</v>
      </c>
      <c r="C264" s="29">
        <f>C270</f>
        <v>19714.41</v>
      </c>
      <c r="D264" s="29">
        <f>D270</f>
        <v>19714.41</v>
      </c>
      <c r="E264" s="29">
        <f>E270</f>
        <v>19714.41</v>
      </c>
      <c r="F264" s="29">
        <f>IFERROR(E264/B264*100,0)</f>
        <v>8.8933323048066022</v>
      </c>
      <c r="G264" s="29">
        <f>IFERROR(E264/C264*100,0)</f>
        <v>100</v>
      </c>
      <c r="H264" s="29">
        <f t="shared" ref="H264:AE267" si="70">H270</f>
        <v>0</v>
      </c>
      <c r="I264" s="29">
        <f t="shared" si="70"/>
        <v>0</v>
      </c>
      <c r="J264" s="29">
        <f t="shared" si="70"/>
        <v>0</v>
      </c>
      <c r="K264" s="29">
        <f t="shared" si="70"/>
        <v>0</v>
      </c>
      <c r="L264" s="29">
        <f t="shared" si="70"/>
        <v>0</v>
      </c>
      <c r="M264" s="29">
        <f t="shared" si="70"/>
        <v>0</v>
      </c>
      <c r="N264" s="29">
        <f t="shared" si="70"/>
        <v>0</v>
      </c>
      <c r="O264" s="29">
        <f t="shared" si="70"/>
        <v>0</v>
      </c>
      <c r="P264" s="29">
        <f t="shared" si="70"/>
        <v>0</v>
      </c>
      <c r="Q264" s="29">
        <f t="shared" si="70"/>
        <v>0</v>
      </c>
      <c r="R264" s="29">
        <f t="shared" si="70"/>
        <v>0</v>
      </c>
      <c r="S264" s="29">
        <f t="shared" si="70"/>
        <v>0</v>
      </c>
      <c r="T264" s="29">
        <f t="shared" si="70"/>
        <v>0</v>
      </c>
      <c r="U264" s="29">
        <f t="shared" si="70"/>
        <v>0</v>
      </c>
      <c r="V264" s="29">
        <f t="shared" si="70"/>
        <v>0</v>
      </c>
      <c r="W264" s="29">
        <f t="shared" si="70"/>
        <v>0</v>
      </c>
      <c r="X264" s="29">
        <f t="shared" si="70"/>
        <v>19714.41</v>
      </c>
      <c r="Y264" s="29">
        <f t="shared" si="70"/>
        <v>19714.41</v>
      </c>
      <c r="Z264" s="29">
        <f t="shared" si="70"/>
        <v>0</v>
      </c>
      <c r="AA264" s="29">
        <f t="shared" si="70"/>
        <v>0</v>
      </c>
      <c r="AB264" s="29">
        <f t="shared" si="70"/>
        <v>201961.89</v>
      </c>
      <c r="AC264" s="29">
        <f t="shared" si="70"/>
        <v>0</v>
      </c>
      <c r="AD264" s="29">
        <f t="shared" si="70"/>
        <v>0</v>
      </c>
      <c r="AE264" s="29">
        <f t="shared" si="70"/>
        <v>0</v>
      </c>
      <c r="AF264" s="23"/>
      <c r="AG264" s="24">
        <f t="shared" si="69"/>
        <v>0</v>
      </c>
    </row>
    <row r="265" spans="1:33" x14ac:dyDescent="0.3">
      <c r="A265" s="28" t="s">
        <v>29</v>
      </c>
      <c r="B265" s="29">
        <f t="shared" ref="B265:E267" si="71">B271</f>
        <v>438248.00000000006</v>
      </c>
      <c r="C265" s="29">
        <f t="shared" si="71"/>
        <v>24095.4</v>
      </c>
      <c r="D265" s="29">
        <f t="shared" si="71"/>
        <v>24095.4</v>
      </c>
      <c r="E265" s="29">
        <f t="shared" si="71"/>
        <v>24095.4</v>
      </c>
      <c r="F265" s="29">
        <f>IFERROR(E265/B265*100,0)</f>
        <v>5.4981197860572095</v>
      </c>
      <c r="G265" s="29">
        <f>IFERROR(E265/C265*100,0)</f>
        <v>100</v>
      </c>
      <c r="H265" s="29">
        <f t="shared" si="70"/>
        <v>0</v>
      </c>
      <c r="I265" s="29">
        <f t="shared" si="70"/>
        <v>0</v>
      </c>
      <c r="J265" s="29">
        <f t="shared" si="70"/>
        <v>0</v>
      </c>
      <c r="K265" s="29">
        <f t="shared" si="70"/>
        <v>0</v>
      </c>
      <c r="L265" s="29">
        <f t="shared" si="70"/>
        <v>0</v>
      </c>
      <c r="M265" s="29">
        <f t="shared" si="70"/>
        <v>0</v>
      </c>
      <c r="N265" s="29">
        <f t="shared" si="70"/>
        <v>0</v>
      </c>
      <c r="O265" s="29">
        <f t="shared" si="70"/>
        <v>0</v>
      </c>
      <c r="P265" s="29">
        <f t="shared" si="70"/>
        <v>0</v>
      </c>
      <c r="Q265" s="29">
        <f t="shared" si="70"/>
        <v>0</v>
      </c>
      <c r="R265" s="29">
        <f t="shared" si="70"/>
        <v>0</v>
      </c>
      <c r="S265" s="29">
        <f t="shared" si="70"/>
        <v>0</v>
      </c>
      <c r="T265" s="29">
        <f t="shared" si="70"/>
        <v>0</v>
      </c>
      <c r="U265" s="29">
        <f t="shared" si="70"/>
        <v>0</v>
      </c>
      <c r="V265" s="29">
        <f t="shared" si="70"/>
        <v>0</v>
      </c>
      <c r="W265" s="29">
        <f t="shared" si="70"/>
        <v>0</v>
      </c>
      <c r="X265" s="29">
        <f t="shared" si="70"/>
        <v>24095.4</v>
      </c>
      <c r="Y265" s="29">
        <f t="shared" si="70"/>
        <v>24095.4</v>
      </c>
      <c r="Z265" s="29">
        <f t="shared" si="70"/>
        <v>0</v>
      </c>
      <c r="AA265" s="29">
        <f t="shared" si="70"/>
        <v>0</v>
      </c>
      <c r="AB265" s="29">
        <f t="shared" si="70"/>
        <v>246842.3</v>
      </c>
      <c r="AC265" s="29">
        <f t="shared" si="70"/>
        <v>0</v>
      </c>
      <c r="AD265" s="29">
        <f t="shared" si="70"/>
        <v>167310.30000000005</v>
      </c>
      <c r="AE265" s="29">
        <f t="shared" si="70"/>
        <v>0</v>
      </c>
      <c r="AF265" s="23"/>
      <c r="AG265" s="24">
        <f t="shared" si="69"/>
        <v>0</v>
      </c>
    </row>
    <row r="266" spans="1:33" x14ac:dyDescent="0.3">
      <c r="A266" s="28" t="s">
        <v>30</v>
      </c>
      <c r="B266" s="29">
        <f>B272</f>
        <v>73333.13</v>
      </c>
      <c r="C266" s="29">
        <f t="shared" si="71"/>
        <v>4867.76</v>
      </c>
      <c r="D266" s="29">
        <f t="shared" si="71"/>
        <v>4867.76</v>
      </c>
      <c r="E266" s="29">
        <f t="shared" si="71"/>
        <v>4867.76</v>
      </c>
      <c r="F266" s="29">
        <f>IFERROR(E266/B266*100,0)</f>
        <v>6.6378729504659075</v>
      </c>
      <c r="G266" s="29">
        <f>IFERROR(E266/C266*100,0)</f>
        <v>100</v>
      </c>
      <c r="H266" s="29">
        <f t="shared" si="70"/>
        <v>0</v>
      </c>
      <c r="I266" s="29">
        <f t="shared" si="70"/>
        <v>0</v>
      </c>
      <c r="J266" s="29">
        <f t="shared" si="70"/>
        <v>0</v>
      </c>
      <c r="K266" s="29">
        <f t="shared" si="70"/>
        <v>0</v>
      </c>
      <c r="L266" s="29">
        <f t="shared" si="70"/>
        <v>0</v>
      </c>
      <c r="M266" s="29">
        <f t="shared" si="70"/>
        <v>0</v>
      </c>
      <c r="N266" s="29">
        <f t="shared" si="70"/>
        <v>0</v>
      </c>
      <c r="O266" s="29">
        <f t="shared" si="70"/>
        <v>0</v>
      </c>
      <c r="P266" s="29">
        <f t="shared" si="70"/>
        <v>0</v>
      </c>
      <c r="Q266" s="29">
        <f t="shared" si="70"/>
        <v>0</v>
      </c>
      <c r="R266" s="29">
        <f t="shared" si="70"/>
        <v>0</v>
      </c>
      <c r="S266" s="29">
        <f t="shared" si="70"/>
        <v>0</v>
      </c>
      <c r="T266" s="29">
        <f t="shared" si="70"/>
        <v>0</v>
      </c>
      <c r="U266" s="29">
        <f t="shared" si="70"/>
        <v>0</v>
      </c>
      <c r="V266" s="29">
        <f t="shared" si="70"/>
        <v>0</v>
      </c>
      <c r="W266" s="29">
        <f t="shared" si="70"/>
        <v>0</v>
      </c>
      <c r="X266" s="29">
        <f t="shared" si="70"/>
        <v>4867.76</v>
      </c>
      <c r="Y266" s="29">
        <f t="shared" si="70"/>
        <v>4867.76</v>
      </c>
      <c r="Z266" s="29">
        <f t="shared" si="70"/>
        <v>0</v>
      </c>
      <c r="AA266" s="29">
        <f t="shared" si="70"/>
        <v>0</v>
      </c>
      <c r="AB266" s="29">
        <f t="shared" si="70"/>
        <v>49867.14</v>
      </c>
      <c r="AC266" s="29">
        <f t="shared" si="70"/>
        <v>0</v>
      </c>
      <c r="AD266" s="29">
        <f>AD272</f>
        <v>18598.230000000003</v>
      </c>
      <c r="AE266" s="29">
        <f t="shared" si="70"/>
        <v>0</v>
      </c>
      <c r="AF266" s="23"/>
      <c r="AG266" s="24">
        <f t="shared" si="69"/>
        <v>0</v>
      </c>
    </row>
    <row r="267" spans="1:33" x14ac:dyDescent="0.3">
      <c r="A267" s="28" t="s">
        <v>31</v>
      </c>
      <c r="B267" s="29">
        <f t="shared" si="71"/>
        <v>321789</v>
      </c>
      <c r="C267" s="29">
        <f t="shared" si="71"/>
        <v>0</v>
      </c>
      <c r="D267" s="29">
        <f t="shared" si="71"/>
        <v>0</v>
      </c>
      <c r="E267" s="29">
        <f t="shared" si="71"/>
        <v>0</v>
      </c>
      <c r="F267" s="29">
        <f>IFERROR(E267/B267*100,0)</f>
        <v>0</v>
      </c>
      <c r="G267" s="29">
        <f>IFERROR(E267/C267*100,0)</f>
        <v>0</v>
      </c>
      <c r="H267" s="29">
        <f t="shared" si="70"/>
        <v>0</v>
      </c>
      <c r="I267" s="29">
        <f t="shared" si="70"/>
        <v>0</v>
      </c>
      <c r="J267" s="29">
        <f t="shared" si="70"/>
        <v>0</v>
      </c>
      <c r="K267" s="29">
        <f t="shared" si="70"/>
        <v>0</v>
      </c>
      <c r="L267" s="29">
        <f t="shared" si="70"/>
        <v>0</v>
      </c>
      <c r="M267" s="29">
        <f t="shared" si="70"/>
        <v>0</v>
      </c>
      <c r="N267" s="29">
        <f t="shared" si="70"/>
        <v>0</v>
      </c>
      <c r="O267" s="29">
        <f t="shared" si="70"/>
        <v>0</v>
      </c>
      <c r="P267" s="29">
        <f t="shared" si="70"/>
        <v>0</v>
      </c>
      <c r="Q267" s="29">
        <f t="shared" si="70"/>
        <v>0</v>
      </c>
      <c r="R267" s="29">
        <f t="shared" si="70"/>
        <v>0</v>
      </c>
      <c r="S267" s="29">
        <f t="shared" si="70"/>
        <v>0</v>
      </c>
      <c r="T267" s="29">
        <f t="shared" si="70"/>
        <v>0</v>
      </c>
      <c r="U267" s="29">
        <f t="shared" si="70"/>
        <v>0</v>
      </c>
      <c r="V267" s="29">
        <f t="shared" si="70"/>
        <v>0</v>
      </c>
      <c r="W267" s="29">
        <f t="shared" si="70"/>
        <v>0</v>
      </c>
      <c r="X267" s="29">
        <f t="shared" si="70"/>
        <v>0</v>
      </c>
      <c r="Y267" s="29">
        <f t="shared" si="70"/>
        <v>0</v>
      </c>
      <c r="Z267" s="29">
        <f t="shared" si="70"/>
        <v>0</v>
      </c>
      <c r="AA267" s="29">
        <f t="shared" si="70"/>
        <v>0</v>
      </c>
      <c r="AB267" s="29">
        <f t="shared" si="70"/>
        <v>10057.94</v>
      </c>
      <c r="AC267" s="29">
        <f t="shared" si="70"/>
        <v>0</v>
      </c>
      <c r="AD267" s="29">
        <f t="shared" si="70"/>
        <v>311731.06</v>
      </c>
      <c r="AE267" s="29">
        <f t="shared" si="70"/>
        <v>0</v>
      </c>
      <c r="AF267" s="23"/>
      <c r="AG267" s="24">
        <f t="shared" si="69"/>
        <v>0</v>
      </c>
    </row>
    <row r="268" spans="1:33" ht="203.25" customHeight="1" x14ac:dyDescent="0.3">
      <c r="A268" s="30" t="s">
        <v>82</v>
      </c>
      <c r="B268" s="91"/>
      <c r="C268" s="32"/>
      <c r="D268" s="32"/>
      <c r="E268" s="32"/>
      <c r="F268" s="32"/>
      <c r="G268" s="32"/>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58" t="s">
        <v>83</v>
      </c>
      <c r="AG268" s="24">
        <f t="shared" si="69"/>
        <v>0</v>
      </c>
    </row>
    <row r="269" spans="1:33" x14ac:dyDescent="0.3">
      <c r="A269" s="71" t="s">
        <v>27</v>
      </c>
      <c r="B269" s="70">
        <f>B271+B272+B270+B273</f>
        <v>1055046.4300000002</v>
      </c>
      <c r="C269" s="70">
        <f>C271+C272+C270+C273</f>
        <v>48677.570000000007</v>
      </c>
      <c r="D269" s="92">
        <f>D271+D272+D270+D273</f>
        <v>48677.570000000007</v>
      </c>
      <c r="E269" s="70">
        <f>E271+E272+E270+E273</f>
        <v>48677.570000000007</v>
      </c>
      <c r="F269" s="70">
        <f>IFERROR(E269/B269*100,0)</f>
        <v>4.613784627468954</v>
      </c>
      <c r="G269" s="70">
        <f>IFERROR(E269/C269*100,0)</f>
        <v>100</v>
      </c>
      <c r="H269" s="70">
        <f t="shared" ref="H269:AE269" si="72">H271+H272+H270+H273</f>
        <v>0</v>
      </c>
      <c r="I269" s="70">
        <f t="shared" si="72"/>
        <v>0</v>
      </c>
      <c r="J269" s="70">
        <f t="shared" si="72"/>
        <v>0</v>
      </c>
      <c r="K269" s="70">
        <f t="shared" si="72"/>
        <v>0</v>
      </c>
      <c r="L269" s="70">
        <f t="shared" si="72"/>
        <v>0</v>
      </c>
      <c r="M269" s="70">
        <f t="shared" si="72"/>
        <v>0</v>
      </c>
      <c r="N269" s="70">
        <f t="shared" si="72"/>
        <v>0</v>
      </c>
      <c r="O269" s="70">
        <f t="shared" si="72"/>
        <v>0</v>
      </c>
      <c r="P269" s="70">
        <f t="shared" si="72"/>
        <v>0</v>
      </c>
      <c r="Q269" s="70">
        <f t="shared" si="72"/>
        <v>0</v>
      </c>
      <c r="R269" s="70">
        <f t="shared" si="72"/>
        <v>0</v>
      </c>
      <c r="S269" s="70">
        <f t="shared" si="72"/>
        <v>0</v>
      </c>
      <c r="T269" s="70">
        <f t="shared" si="72"/>
        <v>0</v>
      </c>
      <c r="U269" s="70">
        <f t="shared" si="72"/>
        <v>0</v>
      </c>
      <c r="V269" s="70">
        <f t="shared" si="72"/>
        <v>0</v>
      </c>
      <c r="W269" s="70">
        <f t="shared" si="72"/>
        <v>0</v>
      </c>
      <c r="X269" s="70">
        <f t="shared" si="72"/>
        <v>48677.570000000007</v>
      </c>
      <c r="Y269" s="70">
        <f t="shared" si="72"/>
        <v>48677.570000000007</v>
      </c>
      <c r="Z269" s="70">
        <f t="shared" si="72"/>
        <v>0</v>
      </c>
      <c r="AA269" s="70">
        <f t="shared" si="72"/>
        <v>0</v>
      </c>
      <c r="AB269" s="70">
        <f>AB271+AB272+AB270+AB273</f>
        <v>508729.27</v>
      </c>
      <c r="AC269" s="70">
        <f t="shared" si="72"/>
        <v>0</v>
      </c>
      <c r="AD269" s="70">
        <f t="shared" si="72"/>
        <v>497639.59000000008</v>
      </c>
      <c r="AE269" s="70">
        <f t="shared" si="72"/>
        <v>0</v>
      </c>
      <c r="AF269" s="34"/>
      <c r="AG269" s="24">
        <f t="shared" si="69"/>
        <v>0</v>
      </c>
    </row>
    <row r="270" spans="1:33" x14ac:dyDescent="0.3">
      <c r="A270" s="46" t="s">
        <v>28</v>
      </c>
      <c r="B270" s="47">
        <f>J270+L270+N270+P270+R270+T270+V270+X270+Z270+AB270+AD270+H270</f>
        <v>221676.30000000002</v>
      </c>
      <c r="C270" s="48">
        <f>SUM(H270+J270+L270+N270+P270+R270+T270+V270+X270+Z270)</f>
        <v>19714.41</v>
      </c>
      <c r="D270" s="44">
        <f>E270</f>
        <v>19714.41</v>
      </c>
      <c r="E270" s="48">
        <f>SUM(I270,K270,M270,O270,Q270,S270,U270,W270,Y270,AA270,AC270,AE270)</f>
        <v>19714.41</v>
      </c>
      <c r="F270" s="47">
        <f>IFERROR(E270/B270*100,0)</f>
        <v>8.8933323048066022</v>
      </c>
      <c r="G270" s="47">
        <f>IFERROR(E270/C270*100,0)</f>
        <v>100</v>
      </c>
      <c r="H270" s="33"/>
      <c r="I270" s="33"/>
      <c r="J270" s="33"/>
      <c r="K270" s="33"/>
      <c r="L270" s="33"/>
      <c r="M270" s="33"/>
      <c r="N270" s="33"/>
      <c r="O270" s="33"/>
      <c r="P270" s="33"/>
      <c r="Q270" s="33"/>
      <c r="R270" s="33"/>
      <c r="S270" s="33"/>
      <c r="T270" s="33"/>
      <c r="U270" s="33"/>
      <c r="V270" s="33"/>
      <c r="W270" s="33"/>
      <c r="X270" s="33">
        <v>19714.41</v>
      </c>
      <c r="Y270" s="33">
        <v>19714.41</v>
      </c>
      <c r="Z270" s="33"/>
      <c r="AA270" s="33"/>
      <c r="AB270" s="33">
        <v>201961.89</v>
      </c>
      <c r="AC270" s="33"/>
      <c r="AD270" s="33"/>
      <c r="AE270" s="33"/>
      <c r="AF270" s="34"/>
      <c r="AG270" s="24">
        <f t="shared" si="69"/>
        <v>0</v>
      </c>
    </row>
    <row r="271" spans="1:33" x14ac:dyDescent="0.3">
      <c r="A271" s="46" t="s">
        <v>29</v>
      </c>
      <c r="B271" s="31">
        <f>J271+L271+N271+P271+R271+T271+V271+X271+Z271+AB271+AD271+H271</f>
        <v>438248.00000000006</v>
      </c>
      <c r="C271" s="48">
        <f t="shared" ref="C271:C273" si="73">SUM(H271+J271+L271+N271+P271+R271+T271+V271+X271+Z271)</f>
        <v>24095.4</v>
      </c>
      <c r="D271" s="49">
        <f>E271</f>
        <v>24095.4</v>
      </c>
      <c r="E271" s="48">
        <f>SUM(I271,K271,M271,O271,Q271,S271,U271,W271,Y271,AA271,AC271,AE271)</f>
        <v>24095.4</v>
      </c>
      <c r="F271" s="47">
        <f>IFERROR(E271/B271*100,0)</f>
        <v>5.4981197860572095</v>
      </c>
      <c r="G271" s="47">
        <f>IFERROR(E271/C271*100,0)</f>
        <v>100</v>
      </c>
      <c r="H271" s="33"/>
      <c r="I271" s="33"/>
      <c r="J271" s="33"/>
      <c r="K271" s="33"/>
      <c r="L271" s="33"/>
      <c r="M271" s="33"/>
      <c r="N271" s="33"/>
      <c r="O271" s="33"/>
      <c r="P271" s="33"/>
      <c r="Q271" s="33"/>
      <c r="R271" s="33"/>
      <c r="S271" s="33"/>
      <c r="T271" s="33"/>
      <c r="U271" s="33"/>
      <c r="V271" s="33"/>
      <c r="W271" s="33"/>
      <c r="X271" s="33">
        <v>24095.4</v>
      </c>
      <c r="Y271" s="33">
        <v>24095.4</v>
      </c>
      <c r="Z271" s="33"/>
      <c r="AA271" s="33"/>
      <c r="AB271" s="33">
        <v>246842.3</v>
      </c>
      <c r="AC271" s="33"/>
      <c r="AD271" s="33">
        <f>659924.3-492614</f>
        <v>167310.30000000005</v>
      </c>
      <c r="AE271" s="33"/>
      <c r="AF271" s="34"/>
      <c r="AG271" s="24">
        <f t="shared" si="69"/>
        <v>0</v>
      </c>
    </row>
    <row r="272" spans="1:33" x14ac:dyDescent="0.3">
      <c r="A272" s="46" t="s">
        <v>30</v>
      </c>
      <c r="B272" s="31">
        <f>J272+L272+N272+P272+R272+T272+V272+X272+Z272+AB272+AD272+H272</f>
        <v>73333.13</v>
      </c>
      <c r="C272" s="48">
        <f t="shared" si="73"/>
        <v>4867.76</v>
      </c>
      <c r="D272" s="49">
        <f>E272</f>
        <v>4867.76</v>
      </c>
      <c r="E272" s="48">
        <f>SUM(I272,K272,M272,O272,Q272,S272,U272,W272,Y272,AA272,AC272,AE272)</f>
        <v>4867.76</v>
      </c>
      <c r="F272" s="47">
        <f>IFERROR(E272/B272*100,0)</f>
        <v>6.6378729504659075</v>
      </c>
      <c r="G272" s="47">
        <f>IFERROR(E272/C272*100,0)</f>
        <v>100</v>
      </c>
      <c r="H272" s="33"/>
      <c r="I272" s="33"/>
      <c r="J272" s="33"/>
      <c r="K272" s="33"/>
      <c r="L272" s="33"/>
      <c r="M272" s="33"/>
      <c r="N272" s="33"/>
      <c r="O272" s="33"/>
      <c r="P272" s="33"/>
      <c r="Q272" s="33"/>
      <c r="R272" s="33"/>
      <c r="S272" s="33"/>
      <c r="T272" s="33"/>
      <c r="U272" s="33"/>
      <c r="V272" s="33"/>
      <c r="W272" s="33"/>
      <c r="X272" s="33">
        <v>4867.76</v>
      </c>
      <c r="Y272" s="33">
        <v>4867.76</v>
      </c>
      <c r="Z272" s="33"/>
      <c r="AA272" s="33"/>
      <c r="AB272" s="33">
        <v>49867.14</v>
      </c>
      <c r="AC272" s="33"/>
      <c r="AD272" s="33">
        <f>27464.63-8866.4</f>
        <v>18598.230000000003</v>
      </c>
      <c r="AE272" s="33"/>
      <c r="AF272" s="34"/>
      <c r="AG272" s="24">
        <f t="shared" si="69"/>
        <v>0</v>
      </c>
    </row>
    <row r="273" spans="1:33" x14ac:dyDescent="0.3">
      <c r="A273" s="46" t="s">
        <v>31</v>
      </c>
      <c r="B273" s="31">
        <f>J273+L273+N273+P273+R273+T273+V273+X273+Z273+AB273+AD273+H273</f>
        <v>321789</v>
      </c>
      <c r="C273" s="48">
        <f t="shared" si="73"/>
        <v>0</v>
      </c>
      <c r="D273" s="49"/>
      <c r="E273" s="48"/>
      <c r="F273" s="47"/>
      <c r="G273" s="47"/>
      <c r="H273" s="33"/>
      <c r="I273" s="33"/>
      <c r="J273" s="33"/>
      <c r="K273" s="33"/>
      <c r="L273" s="33"/>
      <c r="M273" s="33"/>
      <c r="N273" s="33"/>
      <c r="O273" s="33"/>
      <c r="P273" s="33"/>
      <c r="Q273" s="33"/>
      <c r="R273" s="33"/>
      <c r="S273" s="33"/>
      <c r="T273" s="33"/>
      <c r="U273" s="33"/>
      <c r="V273" s="33"/>
      <c r="W273" s="33"/>
      <c r="X273" s="33"/>
      <c r="Y273" s="33"/>
      <c r="Z273" s="33"/>
      <c r="AA273" s="33"/>
      <c r="AB273" s="33">
        <v>10057.94</v>
      </c>
      <c r="AC273" s="33"/>
      <c r="AD273" s="33">
        <v>311731.06</v>
      </c>
      <c r="AE273" s="33"/>
      <c r="AF273" s="34"/>
      <c r="AG273" s="24">
        <f t="shared" si="69"/>
        <v>0</v>
      </c>
    </row>
    <row r="274" spans="1:33" ht="56.25" customHeight="1" x14ac:dyDescent="0.3">
      <c r="A274" s="20" t="s">
        <v>84</v>
      </c>
      <c r="B274" s="21"/>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3"/>
      <c r="AG274" s="24">
        <f t="shared" si="69"/>
        <v>0</v>
      </c>
    </row>
    <row r="275" spans="1:33" x14ac:dyDescent="0.3">
      <c r="A275" s="25" t="s">
        <v>27</v>
      </c>
      <c r="B275" s="26">
        <f>B276+B277+B278+B279</f>
        <v>0</v>
      </c>
      <c r="C275" s="26">
        <f>C276+C277+C278+C279</f>
        <v>0</v>
      </c>
      <c r="D275" s="26">
        <f>D276+D277+D278+D279</f>
        <v>0</v>
      </c>
      <c r="E275" s="26">
        <f>E276+E277+E278+E279</f>
        <v>0</v>
      </c>
      <c r="F275" s="27">
        <f>IFERROR(E275/B275*100,0)</f>
        <v>0</v>
      </c>
      <c r="G275" s="27">
        <f>IFERROR(E275/C275*100,0)</f>
        <v>0</v>
      </c>
      <c r="H275" s="26">
        <f>H276+H277+H278+H279</f>
        <v>0</v>
      </c>
      <c r="I275" s="26">
        <f t="shared" ref="I275:AE275" si="74">I276+I277+I278+I279</f>
        <v>0</v>
      </c>
      <c r="J275" s="26">
        <f t="shared" si="74"/>
        <v>0</v>
      </c>
      <c r="K275" s="26">
        <f t="shared" si="74"/>
        <v>0</v>
      </c>
      <c r="L275" s="26">
        <f t="shared" si="74"/>
        <v>0</v>
      </c>
      <c r="M275" s="26">
        <f t="shared" si="74"/>
        <v>0</v>
      </c>
      <c r="N275" s="26">
        <f t="shared" si="74"/>
        <v>0</v>
      </c>
      <c r="O275" s="26">
        <f t="shared" si="74"/>
        <v>0</v>
      </c>
      <c r="P275" s="26">
        <f t="shared" si="74"/>
        <v>0</v>
      </c>
      <c r="Q275" s="26">
        <f t="shared" si="74"/>
        <v>0</v>
      </c>
      <c r="R275" s="26">
        <f t="shared" si="74"/>
        <v>0</v>
      </c>
      <c r="S275" s="26">
        <f t="shared" si="74"/>
        <v>0</v>
      </c>
      <c r="T275" s="26">
        <f t="shared" si="74"/>
        <v>0</v>
      </c>
      <c r="U275" s="26">
        <f t="shared" si="74"/>
        <v>0</v>
      </c>
      <c r="V275" s="26">
        <f t="shared" si="74"/>
        <v>0</v>
      </c>
      <c r="W275" s="26">
        <f t="shared" si="74"/>
        <v>0</v>
      </c>
      <c r="X275" s="26">
        <f t="shared" si="74"/>
        <v>0</v>
      </c>
      <c r="Y275" s="26">
        <f t="shared" si="74"/>
        <v>0</v>
      </c>
      <c r="Z275" s="26">
        <f t="shared" si="74"/>
        <v>0</v>
      </c>
      <c r="AA275" s="26">
        <f t="shared" si="74"/>
        <v>0</v>
      </c>
      <c r="AB275" s="26">
        <f t="shared" si="74"/>
        <v>0</v>
      </c>
      <c r="AC275" s="26">
        <f t="shared" si="74"/>
        <v>0</v>
      </c>
      <c r="AD275" s="26">
        <f t="shared" si="74"/>
        <v>0</v>
      </c>
      <c r="AE275" s="26">
        <f t="shared" si="74"/>
        <v>0</v>
      </c>
      <c r="AF275" s="23"/>
      <c r="AG275" s="24">
        <f t="shared" si="69"/>
        <v>0</v>
      </c>
    </row>
    <row r="276" spans="1:33" x14ac:dyDescent="0.3">
      <c r="A276" s="28" t="s">
        <v>28</v>
      </c>
      <c r="B276" s="29">
        <f>J276+L276+N276+P276+R276+T276+V276+X276+Z276+AB276+AD276+H276</f>
        <v>0</v>
      </c>
      <c r="C276" s="29">
        <f>SUM(H276)</f>
        <v>0</v>
      </c>
      <c r="D276" s="29">
        <f>E276</f>
        <v>0</v>
      </c>
      <c r="E276" s="29">
        <f>SUM(I276,K276,M276,O276,Q276,S276,U276,W276,Y276,AA276,AC276,AE276)</f>
        <v>0</v>
      </c>
      <c r="F276" s="29">
        <f>IFERROR(E276/B276*100,0)</f>
        <v>0</v>
      </c>
      <c r="G276" s="29">
        <f>IFERROR(E276/C276*100,0)</f>
        <v>0</v>
      </c>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3"/>
      <c r="AG276" s="24">
        <f t="shared" si="69"/>
        <v>0</v>
      </c>
    </row>
    <row r="277" spans="1:33" x14ac:dyDescent="0.3">
      <c r="A277" s="28" t="s">
        <v>29</v>
      </c>
      <c r="B277" s="29">
        <f>J277+L277+N277+P277+R277+T277+V277+X277+Z277+AB277+AD277+H277</f>
        <v>0</v>
      </c>
      <c r="C277" s="29">
        <f>SUM(H277)</f>
        <v>0</v>
      </c>
      <c r="D277" s="29">
        <f>E277</f>
        <v>0</v>
      </c>
      <c r="E277" s="29">
        <f>SUM(I277,K277,M277,O277,Q277,S277,U277,W277,Y277,AA277,AC277,AE277)</f>
        <v>0</v>
      </c>
      <c r="F277" s="29">
        <f>IFERROR(E277/B277*100,0)</f>
        <v>0</v>
      </c>
      <c r="G277" s="29">
        <f>IFERROR(E277/C277*100,0)</f>
        <v>0</v>
      </c>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3"/>
      <c r="AG277" s="24">
        <f t="shared" si="69"/>
        <v>0</v>
      </c>
    </row>
    <row r="278" spans="1:33" x14ac:dyDescent="0.3">
      <c r="A278" s="28" t="s">
        <v>30</v>
      </c>
      <c r="B278" s="29">
        <f>J278+L278+N278+P278+R278+T278+V278+X278+Z278+AB278+AD278+H278</f>
        <v>0</v>
      </c>
      <c r="C278" s="29">
        <f>SUM(H278)</f>
        <v>0</v>
      </c>
      <c r="D278" s="29">
        <f>E278</f>
        <v>0</v>
      </c>
      <c r="E278" s="29">
        <f>SUM(I278,K278,M278,O278,Q278,S278,U278,W278,Y278,AA278,AC278,AE278)</f>
        <v>0</v>
      </c>
      <c r="F278" s="29">
        <f>IFERROR(E278/B278*100,0)</f>
        <v>0</v>
      </c>
      <c r="G278" s="29">
        <f>IFERROR(E278/C278*100,0)</f>
        <v>0</v>
      </c>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3"/>
      <c r="AG278" s="24">
        <f t="shared" si="69"/>
        <v>0</v>
      </c>
    </row>
    <row r="279" spans="1:33" x14ac:dyDescent="0.3">
      <c r="A279" s="28" t="s">
        <v>31</v>
      </c>
      <c r="B279" s="29">
        <f>J279+L279+N279+P279+R279+T279+V279+X279+Z279+AB279+AD279+H279</f>
        <v>0</v>
      </c>
      <c r="C279" s="29">
        <f>SUM(H279)</f>
        <v>0</v>
      </c>
      <c r="D279" s="29">
        <f>E279</f>
        <v>0</v>
      </c>
      <c r="E279" s="29">
        <f>SUM(I279,K279,M279,O279,Q279,S279,U279,W279,Y279,AA279,AC279,AE279)</f>
        <v>0</v>
      </c>
      <c r="F279" s="29">
        <f>IFERROR(E279/B279*100,0)</f>
        <v>0</v>
      </c>
      <c r="G279" s="29">
        <f>IFERROR(E279/C279*100,0)</f>
        <v>0</v>
      </c>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3"/>
      <c r="AG279" s="24">
        <f t="shared" si="69"/>
        <v>0</v>
      </c>
    </row>
    <row r="280" spans="1:33" x14ac:dyDescent="0.3">
      <c r="A280" s="16" t="s">
        <v>34</v>
      </c>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8"/>
      <c r="AG280" s="24">
        <f t="shared" si="33"/>
        <v>0</v>
      </c>
    </row>
    <row r="281" spans="1:33" ht="56.25" x14ac:dyDescent="0.3">
      <c r="A281" s="20" t="s">
        <v>85</v>
      </c>
      <c r="B281" s="96"/>
      <c r="C281" s="97"/>
      <c r="D281" s="97"/>
      <c r="E281" s="97"/>
      <c r="F281" s="97"/>
      <c r="G281" s="97"/>
      <c r="H281" s="96"/>
      <c r="I281" s="96"/>
      <c r="J281" s="96"/>
      <c r="K281" s="96"/>
      <c r="L281" s="96"/>
      <c r="M281" s="96"/>
      <c r="N281" s="96"/>
      <c r="O281" s="96"/>
      <c r="P281" s="96"/>
      <c r="Q281" s="96"/>
      <c r="R281" s="96"/>
      <c r="S281" s="96"/>
      <c r="T281" s="96"/>
      <c r="U281" s="96"/>
      <c r="V281" s="96"/>
      <c r="W281" s="96"/>
      <c r="X281" s="96"/>
      <c r="Y281" s="96"/>
      <c r="Z281" s="96"/>
      <c r="AA281" s="96"/>
      <c r="AB281" s="96"/>
      <c r="AC281" s="96"/>
      <c r="AD281" s="96"/>
      <c r="AE281" s="96"/>
      <c r="AF281" s="23"/>
      <c r="AG281" s="24">
        <f t="shared" si="33"/>
        <v>0</v>
      </c>
    </row>
    <row r="282" spans="1:33" x14ac:dyDescent="0.3">
      <c r="A282" s="98" t="s">
        <v>27</v>
      </c>
      <c r="B282" s="26">
        <f>B283+B284+B285+B286</f>
        <v>64712.258399999999</v>
      </c>
      <c r="C282" s="26">
        <f>C283+C284+C285+C286</f>
        <v>23302.041000000001</v>
      </c>
      <c r="D282" s="26">
        <f>D283+D284+D285+D286</f>
        <v>53143.573749999996</v>
      </c>
      <c r="E282" s="26">
        <f>E283+E284+E285+E286</f>
        <v>53143.573749999996</v>
      </c>
      <c r="F282" s="29">
        <f>IFERROR(E282/B282*100,0)</f>
        <v>82.122885314106114</v>
      </c>
      <c r="G282" s="29">
        <f>IFERROR(E282/C282*100,0)</f>
        <v>228.06402988476412</v>
      </c>
      <c r="H282" s="26">
        <f t="shared" ref="H282:AE282" si="75">H283+H284+H285+H286</f>
        <v>5906.3990000000003</v>
      </c>
      <c r="I282" s="26">
        <f t="shared" si="75"/>
        <v>4337.3</v>
      </c>
      <c r="J282" s="26">
        <f t="shared" si="75"/>
        <v>7622.0030000000006</v>
      </c>
      <c r="K282" s="26">
        <f t="shared" si="75"/>
        <v>8336</v>
      </c>
      <c r="L282" s="26">
        <f t="shared" si="75"/>
        <v>5109.2690000000002</v>
      </c>
      <c r="M282" s="26">
        <f t="shared" si="75"/>
        <v>4409.41</v>
      </c>
      <c r="N282" s="26">
        <f t="shared" si="75"/>
        <v>4664.37</v>
      </c>
      <c r="O282" s="26">
        <f t="shared" si="75"/>
        <v>4500.7299999999996</v>
      </c>
      <c r="P282" s="26">
        <f t="shared" si="75"/>
        <v>10298.341</v>
      </c>
      <c r="Q282" s="26">
        <f t="shared" si="75"/>
        <v>8298.34</v>
      </c>
      <c r="R282" s="26">
        <f t="shared" si="75"/>
        <v>9085.4714000000004</v>
      </c>
      <c r="S282" s="26">
        <f t="shared" si="75"/>
        <v>4137.1899999999996</v>
      </c>
      <c r="T282" s="26">
        <f t="shared" si="75"/>
        <v>4383.4030000000002</v>
      </c>
      <c r="U282" s="26">
        <f t="shared" si="75"/>
        <v>4383.3999999999996</v>
      </c>
      <c r="V282" s="26">
        <f t="shared" si="75"/>
        <v>4824.5928000000004</v>
      </c>
      <c r="W282" s="26">
        <f t="shared" si="75"/>
        <v>4784.6000000000004</v>
      </c>
      <c r="X282" s="26">
        <f t="shared" si="75"/>
        <v>4590.5887999999995</v>
      </c>
      <c r="Y282" s="26">
        <f t="shared" si="75"/>
        <v>5183.8337499999998</v>
      </c>
      <c r="Z282" s="26">
        <f t="shared" si="75"/>
        <v>3838.1251999999999</v>
      </c>
      <c r="AA282" s="26">
        <f t="shared" si="75"/>
        <v>4772.7700000000004</v>
      </c>
      <c r="AB282" s="26">
        <f t="shared" si="75"/>
        <v>1989</v>
      </c>
      <c r="AC282" s="26">
        <f t="shared" si="75"/>
        <v>0</v>
      </c>
      <c r="AD282" s="26">
        <f t="shared" si="75"/>
        <v>2400.6952000000001</v>
      </c>
      <c r="AE282" s="26">
        <f t="shared" si="75"/>
        <v>0</v>
      </c>
      <c r="AF282" s="23"/>
      <c r="AG282" s="24">
        <f t="shared" si="33"/>
        <v>0</v>
      </c>
    </row>
    <row r="283" spans="1:33" x14ac:dyDescent="0.3">
      <c r="A283" s="99" t="s">
        <v>28</v>
      </c>
      <c r="B283" s="29">
        <f>J283+L283+N283+P283+R283+T283+V283+X283+Z283+AB283+AD283+H283</f>
        <v>0</v>
      </c>
      <c r="C283" s="29">
        <f>SUM(H283)</f>
        <v>0</v>
      </c>
      <c r="D283" s="29">
        <f>E283</f>
        <v>0</v>
      </c>
      <c r="E283" s="29">
        <f>SUM(I283,K283,M283,O283,Q283,S283,U283,W283,Y283,AA283,AC283,AE283)</f>
        <v>0</v>
      </c>
      <c r="F283" s="29">
        <f>IFERROR(E283/B283*100,0)</f>
        <v>0</v>
      </c>
      <c r="G283" s="29">
        <f>IFERROR(E283/C283*100,0)</f>
        <v>0</v>
      </c>
      <c r="H283" s="29">
        <f>H289+H295+H301</f>
        <v>0</v>
      </c>
      <c r="I283" s="29">
        <f t="shared" ref="I283:AE286" si="76">I289+I295+I301</f>
        <v>0</v>
      </c>
      <c r="J283" s="29">
        <f t="shared" si="76"/>
        <v>0</v>
      </c>
      <c r="K283" s="29">
        <f t="shared" si="76"/>
        <v>0</v>
      </c>
      <c r="L283" s="29">
        <f t="shared" si="76"/>
        <v>0</v>
      </c>
      <c r="M283" s="29">
        <f t="shared" si="76"/>
        <v>0</v>
      </c>
      <c r="N283" s="29">
        <f t="shared" si="76"/>
        <v>0</v>
      </c>
      <c r="O283" s="29">
        <f t="shared" si="76"/>
        <v>0</v>
      </c>
      <c r="P283" s="29">
        <f t="shared" si="76"/>
        <v>0</v>
      </c>
      <c r="Q283" s="29">
        <f t="shared" si="76"/>
        <v>0</v>
      </c>
      <c r="R283" s="29">
        <f t="shared" si="76"/>
        <v>0</v>
      </c>
      <c r="S283" s="29">
        <f t="shared" si="76"/>
        <v>0</v>
      </c>
      <c r="T283" s="29">
        <f t="shared" si="76"/>
        <v>0</v>
      </c>
      <c r="U283" s="29">
        <f t="shared" si="76"/>
        <v>0</v>
      </c>
      <c r="V283" s="29">
        <f t="shared" si="76"/>
        <v>0</v>
      </c>
      <c r="W283" s="29">
        <f t="shared" si="76"/>
        <v>0</v>
      </c>
      <c r="X283" s="29">
        <f>X289+X295+X301</f>
        <v>0</v>
      </c>
      <c r="Y283" s="29">
        <f t="shared" si="76"/>
        <v>0</v>
      </c>
      <c r="Z283" s="29">
        <f t="shared" si="76"/>
        <v>0</v>
      </c>
      <c r="AA283" s="29">
        <f t="shared" si="76"/>
        <v>0</v>
      </c>
      <c r="AB283" s="29">
        <f t="shared" si="76"/>
        <v>0</v>
      </c>
      <c r="AC283" s="29">
        <f t="shared" si="76"/>
        <v>0</v>
      </c>
      <c r="AD283" s="29">
        <f t="shared" si="76"/>
        <v>0</v>
      </c>
      <c r="AE283" s="29">
        <f t="shared" si="76"/>
        <v>0</v>
      </c>
      <c r="AF283" s="23"/>
      <c r="AG283" s="24">
        <f t="shared" si="33"/>
        <v>0</v>
      </c>
    </row>
    <row r="284" spans="1:33" x14ac:dyDescent="0.3">
      <c r="A284" s="99" t="s">
        <v>29</v>
      </c>
      <c r="B284" s="29">
        <f>J284+L284+N284+P284+R284+T284+V284+X284+Z284+AB284+AD284+H284</f>
        <v>120.89</v>
      </c>
      <c r="C284" s="29">
        <f>SUM(H284)</f>
        <v>0</v>
      </c>
      <c r="D284" s="29">
        <f>E284</f>
        <v>120.89</v>
      </c>
      <c r="E284" s="29">
        <f>SUM(I284,K284,M284,O284,Q284,S284,U284,W284,Y284,AA284,AC284,AE284)</f>
        <v>120.89</v>
      </c>
      <c r="F284" s="29">
        <f>IFERROR(E284/B284*100,0)</f>
        <v>100</v>
      </c>
      <c r="G284" s="29">
        <f>IFERROR(E284/C284*100,0)</f>
        <v>0</v>
      </c>
      <c r="H284" s="29">
        <f>H290+H296+H302</f>
        <v>0</v>
      </c>
      <c r="I284" s="29">
        <f t="shared" si="76"/>
        <v>0</v>
      </c>
      <c r="J284" s="29">
        <f t="shared" si="76"/>
        <v>0</v>
      </c>
      <c r="K284" s="29">
        <f t="shared" si="76"/>
        <v>0</v>
      </c>
      <c r="L284" s="29">
        <f t="shared" si="76"/>
        <v>0</v>
      </c>
      <c r="M284" s="29">
        <f t="shared" si="76"/>
        <v>0</v>
      </c>
      <c r="N284" s="29">
        <f t="shared" si="76"/>
        <v>0</v>
      </c>
      <c r="O284" s="29">
        <f t="shared" si="76"/>
        <v>0</v>
      </c>
      <c r="P284" s="29">
        <f t="shared" si="76"/>
        <v>120.89</v>
      </c>
      <c r="Q284" s="29">
        <f t="shared" si="76"/>
        <v>120.89</v>
      </c>
      <c r="R284" s="29">
        <f t="shared" si="76"/>
        <v>0</v>
      </c>
      <c r="S284" s="29">
        <f t="shared" si="76"/>
        <v>0</v>
      </c>
      <c r="T284" s="29">
        <f t="shared" si="76"/>
        <v>0</v>
      </c>
      <c r="U284" s="29">
        <f t="shared" si="76"/>
        <v>0</v>
      </c>
      <c r="V284" s="29">
        <f t="shared" si="76"/>
        <v>0</v>
      </c>
      <c r="W284" s="29">
        <f t="shared" si="76"/>
        <v>0</v>
      </c>
      <c r="X284" s="29">
        <f t="shared" si="76"/>
        <v>0</v>
      </c>
      <c r="Y284" s="29">
        <f t="shared" si="76"/>
        <v>0</v>
      </c>
      <c r="Z284" s="29">
        <f t="shared" si="76"/>
        <v>0</v>
      </c>
      <c r="AA284" s="29">
        <f t="shared" si="76"/>
        <v>0</v>
      </c>
      <c r="AB284" s="29">
        <f t="shared" si="76"/>
        <v>0</v>
      </c>
      <c r="AC284" s="29">
        <f t="shared" si="76"/>
        <v>0</v>
      </c>
      <c r="AD284" s="29">
        <f t="shared" si="76"/>
        <v>0</v>
      </c>
      <c r="AE284" s="29">
        <f t="shared" si="76"/>
        <v>0</v>
      </c>
      <c r="AF284" s="23"/>
      <c r="AG284" s="24">
        <f t="shared" si="33"/>
        <v>0</v>
      </c>
    </row>
    <row r="285" spans="1:33" x14ac:dyDescent="0.3">
      <c r="A285" s="99" t="s">
        <v>30</v>
      </c>
      <c r="B285" s="29">
        <f>J285+L285+N285+P285+R285+T285+V285+X285+Z285+AB285+AD285+H285</f>
        <v>64591.368399999999</v>
      </c>
      <c r="C285" s="29">
        <f>SUM(H285+J285+L285+N285)</f>
        <v>23302.041000000001</v>
      </c>
      <c r="D285" s="29">
        <f>E285</f>
        <v>53022.683749999997</v>
      </c>
      <c r="E285" s="29">
        <f>SUM(I285,K285,M285,O285,Q285,S285,U285,W285,Y285,AA285,AC285,AE285)</f>
        <v>53022.683749999997</v>
      </c>
      <c r="F285" s="29">
        <f>IFERROR(E285/B285*100,0)</f>
        <v>82.089426286252817</v>
      </c>
      <c r="G285" s="29">
        <f>IFERROR(E285/C285*100,0)</f>
        <v>227.54523412777442</v>
      </c>
      <c r="H285" s="29">
        <f>H291+H297+H303</f>
        <v>5906.3990000000003</v>
      </c>
      <c r="I285" s="29">
        <f t="shared" si="76"/>
        <v>4337.3</v>
      </c>
      <c r="J285" s="29">
        <f>J291+J297+J303</f>
        <v>7622.0030000000006</v>
      </c>
      <c r="K285" s="29">
        <f t="shared" si="76"/>
        <v>8336</v>
      </c>
      <c r="L285" s="29">
        <f t="shared" si="76"/>
        <v>5109.2690000000002</v>
      </c>
      <c r="M285" s="29">
        <f t="shared" si="76"/>
        <v>4409.41</v>
      </c>
      <c r="N285" s="29">
        <f t="shared" si="76"/>
        <v>4664.37</v>
      </c>
      <c r="O285" s="29">
        <f t="shared" si="76"/>
        <v>4500.7299999999996</v>
      </c>
      <c r="P285" s="29">
        <f t="shared" si="76"/>
        <v>10177.451000000001</v>
      </c>
      <c r="Q285" s="29">
        <f t="shared" si="76"/>
        <v>8177.45</v>
      </c>
      <c r="R285" s="29">
        <f t="shared" si="76"/>
        <v>9085.4714000000004</v>
      </c>
      <c r="S285" s="29">
        <f t="shared" si="76"/>
        <v>4137.1899999999996</v>
      </c>
      <c r="T285" s="29">
        <f t="shared" si="76"/>
        <v>4383.4030000000002</v>
      </c>
      <c r="U285" s="29">
        <f t="shared" si="76"/>
        <v>4383.3999999999996</v>
      </c>
      <c r="V285" s="29">
        <f t="shared" si="76"/>
        <v>4824.5928000000004</v>
      </c>
      <c r="W285" s="29">
        <f t="shared" si="76"/>
        <v>4784.6000000000004</v>
      </c>
      <c r="X285" s="29">
        <f t="shared" si="76"/>
        <v>4590.5887999999995</v>
      </c>
      <c r="Y285" s="29">
        <f t="shared" si="76"/>
        <v>5183.8337499999998</v>
      </c>
      <c r="Z285" s="29">
        <f t="shared" si="76"/>
        <v>3838.1251999999999</v>
      </c>
      <c r="AA285" s="29">
        <f t="shared" si="76"/>
        <v>4772.7700000000004</v>
      </c>
      <c r="AB285" s="29">
        <f t="shared" si="76"/>
        <v>1989</v>
      </c>
      <c r="AC285" s="29">
        <f t="shared" si="76"/>
        <v>0</v>
      </c>
      <c r="AD285" s="29">
        <f t="shared" si="76"/>
        <v>2400.6952000000001</v>
      </c>
      <c r="AE285" s="29">
        <f t="shared" si="76"/>
        <v>0</v>
      </c>
      <c r="AF285" s="23"/>
      <c r="AG285" s="24">
        <f t="shared" si="33"/>
        <v>0</v>
      </c>
    </row>
    <row r="286" spans="1:33" x14ac:dyDescent="0.3">
      <c r="A286" s="99" t="s">
        <v>31</v>
      </c>
      <c r="B286" s="29">
        <f>J286+L286+N286+P286+R286+T286+V286+X286+Z286+AB286+AD286+H286</f>
        <v>0</v>
      </c>
      <c r="C286" s="29">
        <f>SUM(H286)</f>
        <v>0</v>
      </c>
      <c r="D286" s="29">
        <f>E286</f>
        <v>0</v>
      </c>
      <c r="E286" s="29">
        <f>SUM(I286,K286,M286,O286,Q286,S286,U286,W286,Y286,AA286,AC286,AE286)</f>
        <v>0</v>
      </c>
      <c r="F286" s="29">
        <f>IFERROR(E286/B286*100,0)</f>
        <v>0</v>
      </c>
      <c r="G286" s="29">
        <f>IFERROR(E286/C286*100,0)</f>
        <v>0</v>
      </c>
      <c r="H286" s="29">
        <f>H292+H298+H304</f>
        <v>0</v>
      </c>
      <c r="I286" s="29">
        <f t="shared" si="76"/>
        <v>0</v>
      </c>
      <c r="J286" s="29">
        <f t="shared" si="76"/>
        <v>0</v>
      </c>
      <c r="K286" s="29">
        <f t="shared" si="76"/>
        <v>0</v>
      </c>
      <c r="L286" s="29">
        <f t="shared" si="76"/>
        <v>0</v>
      </c>
      <c r="M286" s="29">
        <f t="shared" si="76"/>
        <v>0</v>
      </c>
      <c r="N286" s="29">
        <f t="shared" si="76"/>
        <v>0</v>
      </c>
      <c r="O286" s="29">
        <f t="shared" si="76"/>
        <v>0</v>
      </c>
      <c r="P286" s="29">
        <f t="shared" si="76"/>
        <v>0</v>
      </c>
      <c r="Q286" s="29">
        <f t="shared" si="76"/>
        <v>0</v>
      </c>
      <c r="R286" s="29">
        <f t="shared" si="76"/>
        <v>0</v>
      </c>
      <c r="S286" s="29">
        <f t="shared" si="76"/>
        <v>0</v>
      </c>
      <c r="T286" s="29">
        <f t="shared" si="76"/>
        <v>0</v>
      </c>
      <c r="U286" s="29">
        <f t="shared" si="76"/>
        <v>0</v>
      </c>
      <c r="V286" s="29">
        <f t="shared" si="76"/>
        <v>0</v>
      </c>
      <c r="W286" s="29">
        <f t="shared" si="76"/>
        <v>0</v>
      </c>
      <c r="X286" s="29">
        <f t="shared" si="76"/>
        <v>0</v>
      </c>
      <c r="Y286" s="29">
        <f t="shared" si="76"/>
        <v>0</v>
      </c>
      <c r="Z286" s="29">
        <f t="shared" si="76"/>
        <v>0</v>
      </c>
      <c r="AA286" s="29">
        <f t="shared" si="76"/>
        <v>0</v>
      </c>
      <c r="AB286" s="29">
        <f t="shared" si="76"/>
        <v>0</v>
      </c>
      <c r="AC286" s="29">
        <f t="shared" si="76"/>
        <v>0</v>
      </c>
      <c r="AD286" s="29">
        <f t="shared" si="76"/>
        <v>0</v>
      </c>
      <c r="AE286" s="29">
        <f t="shared" si="76"/>
        <v>0</v>
      </c>
      <c r="AF286" s="23"/>
      <c r="AG286" s="24">
        <f t="shared" si="33"/>
        <v>0</v>
      </c>
    </row>
    <row r="287" spans="1:33" ht="134.25" customHeight="1" x14ac:dyDescent="0.3">
      <c r="A287" s="30" t="s">
        <v>86</v>
      </c>
      <c r="B287" s="31"/>
      <c r="C287" s="50"/>
      <c r="D287" s="32"/>
      <c r="E287" s="32"/>
      <c r="F287" s="32"/>
      <c r="G287" s="32"/>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4"/>
      <c r="AG287" s="24">
        <f t="shared" si="33"/>
        <v>0</v>
      </c>
    </row>
    <row r="288" spans="1:33" x14ac:dyDescent="0.3">
      <c r="A288" s="35" t="s">
        <v>27</v>
      </c>
      <c r="B288" s="36">
        <f>B290+B291+B289+B292</f>
        <v>49613.264000000003</v>
      </c>
      <c r="C288" s="36">
        <f>C290+C291+C289+C292</f>
        <v>45243.568800000001</v>
      </c>
      <c r="D288" s="92">
        <f>D290+D291+D289+D292</f>
        <v>38483.269199999988</v>
      </c>
      <c r="E288" s="70">
        <f>E290+E291+E289+E292</f>
        <v>38483.269199999988</v>
      </c>
      <c r="F288" s="70">
        <f>IFERROR(E288/B288*100,0)</f>
        <v>77.566493508671357</v>
      </c>
      <c r="G288" s="70">
        <f>IFERROR(E288/C288*100,0)</f>
        <v>85.057987733275326</v>
      </c>
      <c r="H288" s="70">
        <f t="shared" ref="H288:AE288" si="77">H290+H291+H289+H292</f>
        <v>4939</v>
      </c>
      <c r="I288" s="70">
        <f t="shared" si="77"/>
        <v>3369.9</v>
      </c>
      <c r="J288" s="70">
        <f t="shared" si="77"/>
        <v>3643.4</v>
      </c>
      <c r="K288" s="70">
        <f t="shared" si="77"/>
        <v>4397.3999999999996</v>
      </c>
      <c r="L288" s="70">
        <f t="shared" si="77"/>
        <v>3950.48</v>
      </c>
      <c r="M288" s="70">
        <f>M290+M291+M289+M292</f>
        <v>3250.62</v>
      </c>
      <c r="N288" s="70">
        <f t="shared" si="77"/>
        <v>3420.2</v>
      </c>
      <c r="O288" s="70">
        <f t="shared" si="77"/>
        <v>3256.56</v>
      </c>
      <c r="P288" s="70">
        <f>P290+P291+P289+P292</f>
        <v>8182.89</v>
      </c>
      <c r="Q288" s="70">
        <f>Q290+Q291+Q289+Q292</f>
        <v>6182.89</v>
      </c>
      <c r="R288" s="70">
        <f t="shared" si="77"/>
        <v>7847.4683999999997</v>
      </c>
      <c r="S288" s="70">
        <f t="shared" si="77"/>
        <v>2899.18</v>
      </c>
      <c r="T288" s="70">
        <f t="shared" si="77"/>
        <v>3461</v>
      </c>
      <c r="U288" s="70">
        <f t="shared" si="77"/>
        <v>3461</v>
      </c>
      <c r="V288" s="70">
        <f t="shared" si="77"/>
        <v>3890.1163999999999</v>
      </c>
      <c r="W288" s="70">
        <f t="shared" si="77"/>
        <v>3890.12</v>
      </c>
      <c r="X288" s="70">
        <f t="shared" si="77"/>
        <v>2110.8888000000002</v>
      </c>
      <c r="Y288" s="70">
        <f t="shared" si="77"/>
        <v>4290.9691999999995</v>
      </c>
      <c r="Z288" s="70">
        <f t="shared" si="77"/>
        <v>3798.1251999999999</v>
      </c>
      <c r="AA288" s="70">
        <f t="shared" si="77"/>
        <v>3484.63</v>
      </c>
      <c r="AB288" s="70">
        <f t="shared" si="77"/>
        <v>1969</v>
      </c>
      <c r="AC288" s="70">
        <f t="shared" si="77"/>
        <v>0</v>
      </c>
      <c r="AD288" s="70">
        <f t="shared" si="77"/>
        <v>2400.6952000000001</v>
      </c>
      <c r="AE288" s="70">
        <f t="shared" si="77"/>
        <v>0</v>
      </c>
      <c r="AF288" s="34"/>
      <c r="AG288" s="24">
        <f t="shared" si="33"/>
        <v>3.637978807091713E-12</v>
      </c>
    </row>
    <row r="289" spans="1:33" x14ac:dyDescent="0.3">
      <c r="A289" s="42" t="s">
        <v>28</v>
      </c>
      <c r="B289" s="31">
        <f>J289+L289+N289+P289+R289+T289+V289+X289+Z289+AB289+AD289+H289</f>
        <v>0</v>
      </c>
      <c r="C289" s="43">
        <f>SUM(H289)</f>
        <v>0</v>
      </c>
      <c r="D289" s="49">
        <f>E289</f>
        <v>0</v>
      </c>
      <c r="E289" s="48">
        <f>SUM(I289,K289,M289,O289,Q289,S289,U289,W289,Y289,AA289,AC289,AE289)</f>
        <v>0</v>
      </c>
      <c r="F289" s="47">
        <f>IFERROR(E289/B289*100,0)</f>
        <v>0</v>
      </c>
      <c r="G289" s="47">
        <f>IFERROR(E289/C289*100,0)</f>
        <v>0</v>
      </c>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4"/>
      <c r="AG289" s="24">
        <f t="shared" si="33"/>
        <v>0</v>
      </c>
    </row>
    <row r="290" spans="1:33" x14ac:dyDescent="0.3">
      <c r="A290" s="42" t="s">
        <v>29</v>
      </c>
      <c r="B290" s="31">
        <f>J290+L290+N290+P290+R290+T290+V290+X290+Z290+AB290+AD290+H290</f>
        <v>120.89</v>
      </c>
      <c r="C290" s="43">
        <f>SUM(H290+J290+L290+N290+P290)</f>
        <v>120.89</v>
      </c>
      <c r="D290" s="49">
        <f>E290</f>
        <v>120.89</v>
      </c>
      <c r="E290" s="48">
        <f>SUM(I290,K290,M290,O290,Q290,S290,U290,W290,Y290,AA290,AC290,AE290)</f>
        <v>120.89</v>
      </c>
      <c r="F290" s="47">
        <f>IFERROR(E290/B290*100,0)</f>
        <v>100</v>
      </c>
      <c r="G290" s="47">
        <f>IFERROR(E290/C290*100,0)</f>
        <v>100</v>
      </c>
      <c r="H290" s="33"/>
      <c r="I290" s="33"/>
      <c r="J290" s="33"/>
      <c r="K290" s="33"/>
      <c r="L290" s="33"/>
      <c r="M290" s="33"/>
      <c r="N290" s="33"/>
      <c r="O290" s="33"/>
      <c r="P290" s="33">
        <v>120.89</v>
      </c>
      <c r="Q290" s="33">
        <v>120.89</v>
      </c>
      <c r="R290" s="33"/>
      <c r="S290" s="33"/>
      <c r="T290" s="33"/>
      <c r="U290" s="33"/>
      <c r="V290" s="33"/>
      <c r="W290" s="33"/>
      <c r="X290" s="33"/>
      <c r="Y290" s="33"/>
      <c r="Z290" s="33"/>
      <c r="AA290" s="33"/>
      <c r="AB290" s="33"/>
      <c r="AC290" s="33"/>
      <c r="AD290" s="33"/>
      <c r="AE290" s="33"/>
      <c r="AF290" s="34"/>
      <c r="AG290" s="24">
        <f t="shared" si="33"/>
        <v>0</v>
      </c>
    </row>
    <row r="291" spans="1:33" x14ac:dyDescent="0.3">
      <c r="A291" s="42" t="s">
        <v>30</v>
      </c>
      <c r="B291" s="31">
        <f>J291+L291+N291+P291+R291+T291+V291+X291+Z291+AB291+AD291+H291</f>
        <v>49492.374000000003</v>
      </c>
      <c r="C291" s="43">
        <f>H291+J291+L291+N291+P291+R291+T291+V291+X291+Z291</f>
        <v>45122.678800000002</v>
      </c>
      <c r="D291" s="49">
        <f>E291</f>
        <v>38362.379199999988</v>
      </c>
      <c r="E291" s="48">
        <f>SUM(I291,K291,M291,O291,Q291,S291,U291,W291,Y291,AA291,AC291,AE291)</f>
        <v>38362.379199999988</v>
      </c>
      <c r="F291" s="47">
        <f>IFERROR(E291/B291*100,0)</f>
        <v>77.511697458683201</v>
      </c>
      <c r="G291" s="47">
        <f>IFERROR(E291/C291*100,0)</f>
        <v>85.01795598181549</v>
      </c>
      <c r="H291" s="33">
        <v>4939</v>
      </c>
      <c r="I291" s="33">
        <v>3369.9</v>
      </c>
      <c r="J291" s="33">
        <f>1024.4+2619</f>
        <v>3643.4</v>
      </c>
      <c r="K291" s="33">
        <v>4397.3999999999996</v>
      </c>
      <c r="L291" s="33">
        <f>20.48+3930</f>
        <v>3950.48</v>
      </c>
      <c r="M291" s="33">
        <v>3250.62</v>
      </c>
      <c r="N291" s="33">
        <v>3420.2</v>
      </c>
      <c r="O291" s="33">
        <v>3256.56</v>
      </c>
      <c r="P291" s="33">
        <v>8062</v>
      </c>
      <c r="Q291" s="33">
        <v>6062</v>
      </c>
      <c r="R291" s="33">
        <f>7265.0884-20.48+602.86</f>
        <v>7847.4683999999997</v>
      </c>
      <c r="S291" s="33">
        <v>2899.18</v>
      </c>
      <c r="T291" s="33">
        <v>3461</v>
      </c>
      <c r="U291" s="33">
        <v>3461</v>
      </c>
      <c r="V291" s="33">
        <v>3890.1163999999999</v>
      </c>
      <c r="W291" s="33">
        <v>3890.12</v>
      </c>
      <c r="X291" s="33">
        <f>86.8888+2024</f>
        <v>2110.8888000000002</v>
      </c>
      <c r="Y291" s="33">
        <v>4290.9691999999995</v>
      </c>
      <c r="Z291" s="33">
        <f>4084-602.86+403.874-86.8888</f>
        <v>3798.1251999999999</v>
      </c>
      <c r="AA291" s="33">
        <v>3484.63</v>
      </c>
      <c r="AB291" s="33">
        <v>1969</v>
      </c>
      <c r="AC291" s="33"/>
      <c r="AD291" s="33">
        <f>3425.0952-1024.4</f>
        <v>2400.6952000000001</v>
      </c>
      <c r="AE291" s="33"/>
      <c r="AF291" s="34"/>
      <c r="AG291" s="24">
        <f t="shared" si="33"/>
        <v>3.637978807091713E-12</v>
      </c>
    </row>
    <row r="292" spans="1:33" x14ac:dyDescent="0.3">
      <c r="A292" s="42" t="s">
        <v>31</v>
      </c>
      <c r="B292" s="31"/>
      <c r="C292" s="43"/>
      <c r="D292" s="49"/>
      <c r="E292" s="48"/>
      <c r="F292" s="47"/>
      <c r="G292" s="47"/>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4"/>
      <c r="AG292" s="24">
        <f t="shared" si="33"/>
        <v>0</v>
      </c>
    </row>
    <row r="293" spans="1:33" ht="41.25" customHeight="1" x14ac:dyDescent="0.3">
      <c r="A293" s="30" t="s">
        <v>87</v>
      </c>
      <c r="B293" s="31"/>
      <c r="C293" s="50"/>
      <c r="D293" s="32"/>
      <c r="E293" s="32"/>
      <c r="F293" s="32"/>
      <c r="G293" s="32"/>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4"/>
      <c r="AG293" s="24">
        <f t="shared" si="33"/>
        <v>0</v>
      </c>
    </row>
    <row r="294" spans="1:33" x14ac:dyDescent="0.3">
      <c r="A294" s="35" t="s">
        <v>27</v>
      </c>
      <c r="B294" s="36">
        <f>B296+B297+B295+B298</f>
        <v>2619.6999999999998</v>
      </c>
      <c r="C294" s="36">
        <f>C296+C297+C295+C298</f>
        <v>2599.6999999999998</v>
      </c>
      <c r="D294" s="92">
        <f>D296+D297+D295+D298</f>
        <v>2181.0045500000001</v>
      </c>
      <c r="E294" s="70">
        <f>E296+E297+E295+E298</f>
        <v>2181.0045500000001</v>
      </c>
      <c r="F294" s="70">
        <f>IFERROR(E294/B294*100,0)</f>
        <v>83.253981371912829</v>
      </c>
      <c r="G294" s="70">
        <f>IFERROR(E294/C294*100,0)</f>
        <v>83.894470515828758</v>
      </c>
      <c r="H294" s="70">
        <f t="shared" ref="H294:AE294" si="78">H296+H297+H295+H298</f>
        <v>0</v>
      </c>
      <c r="I294" s="70">
        <f t="shared" si="78"/>
        <v>0</v>
      </c>
      <c r="J294" s="70">
        <f t="shared" si="78"/>
        <v>40</v>
      </c>
      <c r="K294" s="70">
        <f t="shared" si="78"/>
        <v>0</v>
      </c>
      <c r="L294" s="70">
        <f t="shared" si="78"/>
        <v>0</v>
      </c>
      <c r="M294" s="70">
        <f t="shared" si="78"/>
        <v>0</v>
      </c>
      <c r="N294" s="70">
        <f t="shared" si="78"/>
        <v>0</v>
      </c>
      <c r="O294" s="70">
        <f t="shared" si="78"/>
        <v>0</v>
      </c>
      <c r="P294" s="70">
        <f t="shared" si="78"/>
        <v>0</v>
      </c>
      <c r="Q294" s="70">
        <f t="shared" si="78"/>
        <v>0</v>
      </c>
      <c r="R294" s="70">
        <f t="shared" si="78"/>
        <v>0</v>
      </c>
      <c r="S294" s="70">
        <f t="shared" si="78"/>
        <v>0</v>
      </c>
      <c r="T294" s="70">
        <f t="shared" si="78"/>
        <v>0</v>
      </c>
      <c r="U294" s="70">
        <f t="shared" si="78"/>
        <v>0</v>
      </c>
      <c r="V294" s="70">
        <f t="shared" si="78"/>
        <v>40</v>
      </c>
      <c r="W294" s="70">
        <f t="shared" si="78"/>
        <v>0</v>
      </c>
      <c r="X294" s="70">
        <f t="shared" si="78"/>
        <v>2479.6999999999998</v>
      </c>
      <c r="Y294" s="70">
        <f t="shared" si="78"/>
        <v>892.86455000000001</v>
      </c>
      <c r="Z294" s="70">
        <f t="shared" si="78"/>
        <v>40</v>
      </c>
      <c r="AA294" s="70">
        <f t="shared" si="78"/>
        <v>1288.1400000000001</v>
      </c>
      <c r="AB294" s="70">
        <f t="shared" si="78"/>
        <v>20</v>
      </c>
      <c r="AC294" s="70">
        <f t="shared" si="78"/>
        <v>0</v>
      </c>
      <c r="AD294" s="70">
        <f t="shared" si="78"/>
        <v>0</v>
      </c>
      <c r="AE294" s="70">
        <f t="shared" si="78"/>
        <v>0</v>
      </c>
      <c r="AF294" s="34"/>
      <c r="AG294" s="24">
        <f t="shared" si="33"/>
        <v>0</v>
      </c>
    </row>
    <row r="295" spans="1:33" x14ac:dyDescent="0.3">
      <c r="A295" s="42" t="s">
        <v>28</v>
      </c>
      <c r="B295" s="31">
        <f>J295+L295+N295+P295+R295+T295+V295+X295+Z295+AB295+AD295+H295</f>
        <v>0</v>
      </c>
      <c r="C295" s="43">
        <f>SUM(H295)</f>
        <v>0</v>
      </c>
      <c r="D295" s="49">
        <f>E295</f>
        <v>0</v>
      </c>
      <c r="E295" s="48">
        <f>SUM(I295,K295,M295,O295,Q295,S295,U295,W295,Y295,AA295,AC295,AE295)</f>
        <v>0</v>
      </c>
      <c r="F295" s="47">
        <f>IFERROR(E295/B295*100,0)</f>
        <v>0</v>
      </c>
      <c r="G295" s="47">
        <f>IFERROR(E295/C295*100,0)</f>
        <v>0</v>
      </c>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4"/>
      <c r="AG295" s="24">
        <f t="shared" si="33"/>
        <v>0</v>
      </c>
    </row>
    <row r="296" spans="1:33" x14ac:dyDescent="0.3">
      <c r="A296" s="42" t="s">
        <v>29</v>
      </c>
      <c r="B296" s="31">
        <f>J296+L296+N296+P296+R296+T296+V296+X296+Z296+AB296+AD296+H296</f>
        <v>0</v>
      </c>
      <c r="C296" s="43">
        <f>SUM(H296)</f>
        <v>0</v>
      </c>
      <c r="D296" s="49">
        <f>E296</f>
        <v>0</v>
      </c>
      <c r="E296" s="48">
        <f>SUM(I296,K296,M296,O296,Q296,S296,U296,W296,Y296,AA296,AC296,AE296)</f>
        <v>0</v>
      </c>
      <c r="F296" s="47">
        <f>IFERROR(E296/B296*100,0)</f>
        <v>0</v>
      </c>
      <c r="G296" s="47">
        <f>IFERROR(E296/C296*100,0)</f>
        <v>0</v>
      </c>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4"/>
      <c r="AG296" s="24">
        <f t="shared" si="33"/>
        <v>0</v>
      </c>
    </row>
    <row r="297" spans="1:33" x14ac:dyDescent="0.3">
      <c r="A297" s="42" t="s">
        <v>30</v>
      </c>
      <c r="B297" s="31">
        <f>J297+L297+N297+P297+R297+T297+V297+X297+Z297+AB297+AD297+H297</f>
        <v>2619.6999999999998</v>
      </c>
      <c r="C297" s="43">
        <f>H297+J297+L297+N297+P297+R297+T297+V297+X297+Z297</f>
        <v>2599.6999999999998</v>
      </c>
      <c r="D297" s="49">
        <f>E297</f>
        <v>2181.0045500000001</v>
      </c>
      <c r="E297" s="48">
        <f>SUM(I297,K297,M297,O297,Q297,S297,U297,W297,Y297,AA297,AC297,AE297)</f>
        <v>2181.0045500000001</v>
      </c>
      <c r="F297" s="47">
        <f>IFERROR(E297/B297*100,0)</f>
        <v>83.253981371912829</v>
      </c>
      <c r="G297" s="47">
        <f>IFERROR(E297/C297*100,0)</f>
        <v>83.894470515828758</v>
      </c>
      <c r="H297" s="33"/>
      <c r="I297" s="33"/>
      <c r="J297" s="33">
        <v>40</v>
      </c>
      <c r="K297" s="33"/>
      <c r="L297" s="33"/>
      <c r="M297" s="33"/>
      <c r="N297" s="33"/>
      <c r="O297" s="33"/>
      <c r="P297" s="33"/>
      <c r="Q297" s="33"/>
      <c r="R297" s="33"/>
      <c r="S297" s="33"/>
      <c r="T297" s="33"/>
      <c r="U297" s="33"/>
      <c r="V297" s="33">
        <v>40</v>
      </c>
      <c r="W297" s="33"/>
      <c r="X297" s="33">
        <v>2479.6999999999998</v>
      </c>
      <c r="Y297" s="33">
        <v>892.86455000000001</v>
      </c>
      <c r="Z297" s="33">
        <v>40</v>
      </c>
      <c r="AA297" s="33">
        <v>1288.1400000000001</v>
      </c>
      <c r="AB297" s="33">
        <v>20</v>
      </c>
      <c r="AC297" s="33"/>
      <c r="AD297" s="33"/>
      <c r="AE297" s="33"/>
      <c r="AF297" s="34"/>
      <c r="AG297" s="24">
        <f t="shared" si="33"/>
        <v>0</v>
      </c>
    </row>
    <row r="298" spans="1:33" x14ac:dyDescent="0.3">
      <c r="A298" s="42" t="s">
        <v>31</v>
      </c>
      <c r="B298" s="31"/>
      <c r="C298" s="43"/>
      <c r="D298" s="49"/>
      <c r="E298" s="48"/>
      <c r="F298" s="47"/>
      <c r="G298" s="47"/>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4"/>
      <c r="AG298" s="24">
        <f t="shared" si="33"/>
        <v>0</v>
      </c>
    </row>
    <row r="299" spans="1:33" ht="83.25" customHeight="1" x14ac:dyDescent="0.3">
      <c r="A299" s="30" t="s">
        <v>88</v>
      </c>
      <c r="B299" s="31"/>
      <c r="C299" s="50"/>
      <c r="D299" s="32"/>
      <c r="E299" s="32"/>
      <c r="F299" s="32"/>
      <c r="G299" s="32"/>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4"/>
      <c r="AG299" s="24">
        <f t="shared" si="33"/>
        <v>0</v>
      </c>
    </row>
    <row r="300" spans="1:33" x14ac:dyDescent="0.3">
      <c r="A300" s="35" t="s">
        <v>27</v>
      </c>
      <c r="B300" s="36">
        <f>B302+B303+B301+B304</f>
        <v>12479.294399999999</v>
      </c>
      <c r="C300" s="36">
        <f>C302+C303+C301+C304</f>
        <v>12479.294400000001</v>
      </c>
      <c r="D300" s="92">
        <f>D302+D303+D301+D304</f>
        <v>12479.3</v>
      </c>
      <c r="E300" s="70">
        <f>E302+E303+E301+E304</f>
        <v>12479.3</v>
      </c>
      <c r="F300" s="70">
        <f>IFERROR(E300/B300*100,0)</f>
        <v>100.000044874332</v>
      </c>
      <c r="G300" s="70">
        <f>IFERROR(E300/C300*100,0)</f>
        <v>100.00004487433199</v>
      </c>
      <c r="H300" s="70">
        <f t="shared" ref="H300:AE300" si="79">H302+H303+H301+H304</f>
        <v>967.399</v>
      </c>
      <c r="I300" s="70">
        <f t="shared" si="79"/>
        <v>967.4</v>
      </c>
      <c r="J300" s="70">
        <f t="shared" si="79"/>
        <v>3938.6030000000001</v>
      </c>
      <c r="K300" s="70">
        <f t="shared" si="79"/>
        <v>3938.6</v>
      </c>
      <c r="L300" s="70">
        <f t="shared" si="79"/>
        <v>1158.789</v>
      </c>
      <c r="M300" s="70">
        <f t="shared" si="79"/>
        <v>1158.79</v>
      </c>
      <c r="N300" s="70">
        <f t="shared" si="79"/>
        <v>1244.17</v>
      </c>
      <c r="O300" s="70">
        <f t="shared" si="79"/>
        <v>1244.17</v>
      </c>
      <c r="P300" s="70">
        <f t="shared" si="79"/>
        <v>2115.451</v>
      </c>
      <c r="Q300" s="70">
        <f t="shared" si="79"/>
        <v>2115.4499999999998</v>
      </c>
      <c r="R300" s="70">
        <f t="shared" si="79"/>
        <v>1238.0029999999999</v>
      </c>
      <c r="S300" s="70">
        <f t="shared" si="79"/>
        <v>1238.01</v>
      </c>
      <c r="T300" s="70">
        <f t="shared" si="79"/>
        <v>922.40300000000002</v>
      </c>
      <c r="U300" s="70">
        <f t="shared" si="79"/>
        <v>922.4</v>
      </c>
      <c r="V300" s="70">
        <f t="shared" si="79"/>
        <v>894.47640000000001</v>
      </c>
      <c r="W300" s="70">
        <f t="shared" si="79"/>
        <v>894.48</v>
      </c>
      <c r="X300" s="70">
        <f t="shared" si="79"/>
        <v>0</v>
      </c>
      <c r="Y300" s="70">
        <f t="shared" si="79"/>
        <v>0</v>
      </c>
      <c r="Z300" s="70">
        <f t="shared" si="79"/>
        <v>0</v>
      </c>
      <c r="AA300" s="70">
        <f t="shared" si="79"/>
        <v>0</v>
      </c>
      <c r="AB300" s="70">
        <f t="shared" si="79"/>
        <v>0</v>
      </c>
      <c r="AC300" s="70">
        <f t="shared" si="79"/>
        <v>0</v>
      </c>
      <c r="AD300" s="70">
        <f t="shared" si="79"/>
        <v>0</v>
      </c>
      <c r="AE300" s="70">
        <f t="shared" si="79"/>
        <v>0</v>
      </c>
      <c r="AF300" s="34"/>
      <c r="AG300" s="24">
        <f t="shared" si="33"/>
        <v>-4.5474735088646412E-13</v>
      </c>
    </row>
    <row r="301" spans="1:33" x14ac:dyDescent="0.3">
      <c r="A301" s="42" t="s">
        <v>28</v>
      </c>
      <c r="B301" s="31">
        <f>J301+L301+N301+P301+R301+T301+V301+X301+Z301+AB301+AD301+H301</f>
        <v>0</v>
      </c>
      <c r="C301" s="43">
        <f>SUM(H301)</f>
        <v>0</v>
      </c>
      <c r="D301" s="49">
        <f>E301</f>
        <v>0</v>
      </c>
      <c r="E301" s="48">
        <f>SUM(I301,K301,M301,O301,Q301,S301,U301,W301,Y301,AA301,AC301,AE301)</f>
        <v>0</v>
      </c>
      <c r="F301" s="47">
        <f>IFERROR(E301/B301*100,0)</f>
        <v>0</v>
      </c>
      <c r="G301" s="47">
        <f>IFERROR(E301/C301*100,0)</f>
        <v>0</v>
      </c>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4"/>
      <c r="AG301" s="24">
        <f t="shared" si="33"/>
        <v>0</v>
      </c>
    </row>
    <row r="302" spans="1:33" x14ac:dyDescent="0.3">
      <c r="A302" s="42" t="s">
        <v>29</v>
      </c>
      <c r="B302" s="31">
        <f>J302+L302+N302+P302+R302+T302+V302+X302+Z302+AB302+AD302+H302</f>
        <v>0</v>
      </c>
      <c r="C302" s="43">
        <f>SUM(H302)</f>
        <v>0</v>
      </c>
      <c r="D302" s="49">
        <f>E302</f>
        <v>0</v>
      </c>
      <c r="E302" s="48">
        <f>SUM(I302,K302,M302,O302,Q302,S302,U302,W302,Y302,AA302,AC302,AE302)</f>
        <v>0</v>
      </c>
      <c r="F302" s="47">
        <f>IFERROR(E302/B302*100,0)</f>
        <v>0</v>
      </c>
      <c r="G302" s="47">
        <f>IFERROR(E302/C302*100,0)</f>
        <v>0</v>
      </c>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4"/>
      <c r="AG302" s="24">
        <f t="shared" si="33"/>
        <v>0</v>
      </c>
    </row>
    <row r="303" spans="1:33" x14ac:dyDescent="0.3">
      <c r="A303" s="42" t="s">
        <v>30</v>
      </c>
      <c r="B303" s="31">
        <f>J303+L303+N303+P303+R303+T303+V303+X303+Z303+AB303+AD303+H303</f>
        <v>12479.294399999999</v>
      </c>
      <c r="C303" s="43">
        <f>H303+J303+L303+N303+P303+R303+T303+V303</f>
        <v>12479.294400000001</v>
      </c>
      <c r="D303" s="49">
        <f>E303</f>
        <v>12479.3</v>
      </c>
      <c r="E303" s="48">
        <f>SUM(I303,K303,M303,O303,Q303,S303,U303,W303,Y303,AA303,AC303,AE303)</f>
        <v>12479.3</v>
      </c>
      <c r="F303" s="47">
        <f>IFERROR(E303/B303*100,0)</f>
        <v>100.000044874332</v>
      </c>
      <c r="G303" s="47">
        <f>IFERROR(E303/C303*100,0)</f>
        <v>100.00004487433199</v>
      </c>
      <c r="H303" s="33">
        <v>967.399</v>
      </c>
      <c r="I303" s="33">
        <v>967.4</v>
      </c>
      <c r="J303" s="33">
        <v>3938.6030000000001</v>
      </c>
      <c r="K303" s="33">
        <v>3938.6</v>
      </c>
      <c r="L303" s="33">
        <v>1158.789</v>
      </c>
      <c r="M303" s="33">
        <v>1158.79</v>
      </c>
      <c r="N303" s="33">
        <v>1244.17</v>
      </c>
      <c r="O303" s="33">
        <v>1244.17</v>
      </c>
      <c r="P303" s="33">
        <v>2115.451</v>
      </c>
      <c r="Q303" s="33">
        <v>2115.4499999999998</v>
      </c>
      <c r="R303" s="33">
        <f>1348.003-110</f>
        <v>1238.0029999999999</v>
      </c>
      <c r="S303" s="33">
        <v>1238.01</v>
      </c>
      <c r="T303" s="33">
        <v>922.40300000000002</v>
      </c>
      <c r="U303" s="33">
        <v>922.4</v>
      </c>
      <c r="V303" s="33">
        <f>981.638-87.1616</f>
        <v>894.47640000000001</v>
      </c>
      <c r="W303" s="33">
        <v>894.48</v>
      </c>
      <c r="X303" s="33"/>
      <c r="Y303" s="33"/>
      <c r="Z303" s="33"/>
      <c r="AA303" s="33"/>
      <c r="AB303" s="33"/>
      <c r="AC303" s="33"/>
      <c r="AD303" s="33"/>
      <c r="AE303" s="33"/>
      <c r="AF303" s="34"/>
      <c r="AG303" s="24">
        <f t="shared" si="33"/>
        <v>-4.5474735088646412E-13</v>
      </c>
    </row>
    <row r="304" spans="1:33" x14ac:dyDescent="0.3">
      <c r="A304" s="42" t="s">
        <v>31</v>
      </c>
      <c r="B304" s="31"/>
      <c r="C304" s="43"/>
      <c r="D304" s="49"/>
      <c r="E304" s="48"/>
      <c r="F304" s="47"/>
      <c r="G304" s="47"/>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4"/>
      <c r="AG304" s="24">
        <f t="shared" si="33"/>
        <v>0</v>
      </c>
    </row>
    <row r="305" spans="1:33" ht="83.25" customHeight="1" x14ac:dyDescent="0.3">
      <c r="A305" s="20" t="s">
        <v>89</v>
      </c>
      <c r="B305" s="96"/>
      <c r="C305" s="97"/>
      <c r="D305" s="97"/>
      <c r="E305" s="97"/>
      <c r="F305" s="97"/>
      <c r="G305" s="97"/>
      <c r="H305" s="96"/>
      <c r="I305" s="96"/>
      <c r="J305" s="96"/>
      <c r="K305" s="96"/>
      <c r="L305" s="96"/>
      <c r="M305" s="96"/>
      <c r="N305" s="96"/>
      <c r="O305" s="96"/>
      <c r="P305" s="96"/>
      <c r="Q305" s="96"/>
      <c r="R305" s="96"/>
      <c r="S305" s="96"/>
      <c r="T305" s="96"/>
      <c r="U305" s="96"/>
      <c r="V305" s="96"/>
      <c r="W305" s="96"/>
      <c r="X305" s="96"/>
      <c r="Y305" s="96"/>
      <c r="Z305" s="96"/>
      <c r="AA305" s="96"/>
      <c r="AB305" s="96"/>
      <c r="AC305" s="96"/>
      <c r="AD305" s="96"/>
      <c r="AE305" s="96"/>
      <c r="AF305" s="23"/>
      <c r="AG305" s="24">
        <f t="shared" si="33"/>
        <v>0</v>
      </c>
    </row>
    <row r="306" spans="1:33" x14ac:dyDescent="0.3">
      <c r="A306" s="98" t="s">
        <v>27</v>
      </c>
      <c r="B306" s="26">
        <f>B307+B308+B309+B310</f>
        <v>294259.80641999998</v>
      </c>
      <c r="C306" s="26">
        <f>C307+C308+C309+C310</f>
        <v>97032.351750000002</v>
      </c>
      <c r="D306" s="26">
        <f>D307+D308+D309+D310</f>
        <v>213873.29580000002</v>
      </c>
      <c r="E306" s="26">
        <f>E307+E308+E309+E310</f>
        <v>213873.29580000002</v>
      </c>
      <c r="F306" s="29">
        <f>IFERROR(E306/B306*100,0)</f>
        <v>72.681790422554855</v>
      </c>
      <c r="G306" s="29">
        <f>IFERROR(E306/C306*100,0)</f>
        <v>220.41442049249312</v>
      </c>
      <c r="H306" s="26">
        <f t="shared" ref="H306:AE306" si="80">H307+H308+H309+H310</f>
        <v>15729.4</v>
      </c>
      <c r="I306" s="26">
        <f t="shared" si="80"/>
        <v>9416.6</v>
      </c>
      <c r="J306" s="26">
        <f t="shared" si="80"/>
        <v>28820.74</v>
      </c>
      <c r="K306" s="26">
        <f t="shared" si="80"/>
        <v>28921.500000000004</v>
      </c>
      <c r="L306" s="26">
        <f t="shared" si="80"/>
        <v>28307.33</v>
      </c>
      <c r="M306" s="26">
        <f t="shared" si="80"/>
        <v>29030.61</v>
      </c>
      <c r="N306" s="26">
        <f t="shared" si="80"/>
        <v>24174.88175</v>
      </c>
      <c r="O306" s="26">
        <f t="shared" si="80"/>
        <v>16432.27</v>
      </c>
      <c r="P306" s="26">
        <f t="shared" si="80"/>
        <v>27445.34362</v>
      </c>
      <c r="Q306" s="26">
        <f t="shared" si="80"/>
        <v>26912.510000000002</v>
      </c>
      <c r="R306" s="26">
        <f t="shared" si="80"/>
        <v>9477.4536000000007</v>
      </c>
      <c r="S306" s="26">
        <f t="shared" si="80"/>
        <v>13119.99</v>
      </c>
      <c r="T306" s="26">
        <f t="shared" si="80"/>
        <v>43000</v>
      </c>
      <c r="U306" s="26">
        <f t="shared" si="80"/>
        <v>43000</v>
      </c>
      <c r="V306" s="26">
        <f t="shared" si="80"/>
        <v>2569.4000000000005</v>
      </c>
      <c r="W306" s="26">
        <f t="shared" si="80"/>
        <v>2531.9358000000002</v>
      </c>
      <c r="X306" s="26">
        <f t="shared" si="80"/>
        <v>18918.006300000001</v>
      </c>
      <c r="Y306" s="26">
        <f t="shared" si="80"/>
        <v>14596.78</v>
      </c>
      <c r="Z306" s="26">
        <f t="shared" si="80"/>
        <v>34353.397400000002</v>
      </c>
      <c r="AA306" s="26">
        <f t="shared" si="80"/>
        <v>29911.1</v>
      </c>
      <c r="AB306" s="26">
        <f t="shared" si="80"/>
        <v>29097.383700000002</v>
      </c>
      <c r="AC306" s="26">
        <f t="shared" si="80"/>
        <v>0</v>
      </c>
      <c r="AD306" s="26">
        <f t="shared" si="80"/>
        <v>32366.47005</v>
      </c>
      <c r="AE306" s="26">
        <f t="shared" si="80"/>
        <v>0</v>
      </c>
      <c r="AF306" s="23"/>
      <c r="AG306" s="24">
        <f t="shared" si="33"/>
        <v>-6.5483618527650833E-11</v>
      </c>
    </row>
    <row r="307" spans="1:33" x14ac:dyDescent="0.3">
      <c r="A307" s="99" t="s">
        <v>28</v>
      </c>
      <c r="B307" s="29">
        <f>J307+L307+N307+P307+R307+T307+V307+X307+Z307+AB307+AD307+H307</f>
        <v>25292.80024</v>
      </c>
      <c r="C307" s="29">
        <f>SUM(H307+J307+L307+N307)</f>
        <v>8381.7667500000007</v>
      </c>
      <c r="D307" s="29">
        <f>E307</f>
        <v>16399.586599999999</v>
      </c>
      <c r="E307" s="29">
        <f>SUM(I307,K307,M307,O307,Q307,S307,U307,W307,Y307,AA307,AC307,AE307)</f>
        <v>16399.586599999999</v>
      </c>
      <c r="F307" s="29"/>
      <c r="G307" s="29"/>
      <c r="H307" s="29">
        <f>H313+H319</f>
        <v>1301.9000000000001</v>
      </c>
      <c r="I307" s="29">
        <f t="shared" ref="I307:AE310" si="81">I313+I319</f>
        <v>1301.9000000000001</v>
      </c>
      <c r="J307" s="29">
        <f t="shared" si="81"/>
        <v>2713.7</v>
      </c>
      <c r="K307" s="29">
        <f t="shared" si="81"/>
        <v>2713.7</v>
      </c>
      <c r="L307" s="29">
        <f t="shared" si="81"/>
        <v>2898.5</v>
      </c>
      <c r="M307" s="29">
        <f t="shared" si="81"/>
        <v>2898.5</v>
      </c>
      <c r="N307" s="29">
        <f t="shared" si="81"/>
        <v>1467.6667499999999</v>
      </c>
      <c r="O307" s="29">
        <f t="shared" si="81"/>
        <v>1325.81</v>
      </c>
      <c r="P307" s="29">
        <f t="shared" si="81"/>
        <v>2860.0432000000001</v>
      </c>
      <c r="Q307" s="29">
        <f t="shared" si="81"/>
        <v>2860.04</v>
      </c>
      <c r="R307" s="29">
        <f t="shared" si="81"/>
        <v>914.33019999999999</v>
      </c>
      <c r="S307" s="29">
        <f t="shared" si="81"/>
        <v>732.43</v>
      </c>
      <c r="T307" s="29">
        <f t="shared" si="81"/>
        <v>0</v>
      </c>
      <c r="U307" s="29">
        <f t="shared" si="81"/>
        <v>0</v>
      </c>
      <c r="V307" s="29">
        <f t="shared" si="81"/>
        <v>0</v>
      </c>
      <c r="W307" s="29">
        <f t="shared" si="81"/>
        <v>0</v>
      </c>
      <c r="X307" s="29">
        <f t="shared" si="81"/>
        <v>2324.6027999999997</v>
      </c>
      <c r="Y307" s="29">
        <f t="shared" si="81"/>
        <v>1438.6066000000001</v>
      </c>
      <c r="Z307" s="29">
        <f t="shared" si="81"/>
        <v>4295.6216999999997</v>
      </c>
      <c r="AA307" s="29">
        <f t="shared" si="81"/>
        <v>3128.6</v>
      </c>
      <c r="AB307" s="29">
        <f t="shared" si="81"/>
        <v>2846.4506999999999</v>
      </c>
      <c r="AC307" s="29">
        <f t="shared" si="81"/>
        <v>0</v>
      </c>
      <c r="AD307" s="29">
        <f t="shared" si="81"/>
        <v>3669.9848900000002</v>
      </c>
      <c r="AE307" s="29">
        <f t="shared" si="81"/>
        <v>0</v>
      </c>
      <c r="AF307" s="23"/>
      <c r="AG307" s="24">
        <f t="shared" si="33"/>
        <v>0</v>
      </c>
    </row>
    <row r="308" spans="1:33" x14ac:dyDescent="0.3">
      <c r="A308" s="99" t="s">
        <v>29</v>
      </c>
      <c r="B308" s="29">
        <f>J308+L308+N308+P308+R308+T308+V308+X308+Z308+AB308+AD308+H308</f>
        <v>192065.30446999997</v>
      </c>
      <c r="C308" s="29">
        <f>SUM(H308+J308+L308+N308)</f>
        <v>75499.426749999999</v>
      </c>
      <c r="D308" s="29">
        <f>E308</f>
        <v>131033.1912</v>
      </c>
      <c r="E308" s="29">
        <f>SUM(I308,K308,M308,O308,Q308,S308,U308,W308,Y308,AA308,AC308,AE308)</f>
        <v>131033.1912</v>
      </c>
      <c r="F308" s="29"/>
      <c r="G308" s="29"/>
      <c r="H308" s="29">
        <f>H314+H320</f>
        <v>11954.5</v>
      </c>
      <c r="I308" s="29">
        <f t="shared" si="81"/>
        <v>5641.7</v>
      </c>
      <c r="J308" s="29">
        <f t="shared" si="81"/>
        <v>22154.04</v>
      </c>
      <c r="K308" s="29">
        <f t="shared" si="81"/>
        <v>22254.800000000003</v>
      </c>
      <c r="L308" s="29">
        <f t="shared" si="81"/>
        <v>21802.27</v>
      </c>
      <c r="M308" s="29">
        <f t="shared" si="81"/>
        <v>22525.54</v>
      </c>
      <c r="N308" s="29">
        <f t="shared" si="81"/>
        <v>19588.616750000001</v>
      </c>
      <c r="O308" s="29">
        <f t="shared" si="81"/>
        <v>12314.810000000001</v>
      </c>
      <c r="P308" s="29">
        <f t="shared" si="81"/>
        <v>21473.895820000002</v>
      </c>
      <c r="Q308" s="29">
        <f t="shared" si="81"/>
        <v>20941.07</v>
      </c>
      <c r="R308" s="29">
        <f t="shared" si="81"/>
        <v>6570.1833999999999</v>
      </c>
      <c r="S308" s="29">
        <f t="shared" si="81"/>
        <v>10149.4</v>
      </c>
      <c r="T308" s="29">
        <f t="shared" si="81"/>
        <v>0</v>
      </c>
      <c r="U308" s="29">
        <f t="shared" si="81"/>
        <v>0</v>
      </c>
      <c r="V308" s="29">
        <f t="shared" si="81"/>
        <v>0</v>
      </c>
      <c r="W308" s="29">
        <f t="shared" si="81"/>
        <v>0</v>
      </c>
      <c r="X308" s="29">
        <f t="shared" si="81"/>
        <v>14426.147800000001</v>
      </c>
      <c r="Y308" s="29">
        <f t="shared" si="81"/>
        <v>11213.0512</v>
      </c>
      <c r="Z308" s="29">
        <f t="shared" si="81"/>
        <v>25733.922599999998</v>
      </c>
      <c r="AA308" s="29">
        <f t="shared" si="81"/>
        <v>25992.82</v>
      </c>
      <c r="AB308" s="29">
        <f t="shared" si="81"/>
        <v>23124.923900000002</v>
      </c>
      <c r="AC308" s="29">
        <f t="shared" si="81"/>
        <v>0</v>
      </c>
      <c r="AD308" s="29">
        <f t="shared" si="81"/>
        <v>25236.804199999999</v>
      </c>
      <c r="AE308" s="29">
        <f t="shared" si="81"/>
        <v>0</v>
      </c>
      <c r="AF308" s="23"/>
      <c r="AG308" s="24">
        <f t="shared" si="33"/>
        <v>-2.9103830456733704E-11</v>
      </c>
    </row>
    <row r="309" spans="1:33" x14ac:dyDescent="0.3">
      <c r="A309" s="99" t="s">
        <v>30</v>
      </c>
      <c r="B309" s="31">
        <f>J309+L309+N309+P309+R309+T309+V309+X309+Z309+AB309+AD309+H309</f>
        <v>76901.701709999994</v>
      </c>
      <c r="C309" s="29">
        <f>SUM(H309+J309+L309+N309)</f>
        <v>13151.15825</v>
      </c>
      <c r="D309" s="29">
        <f>E309</f>
        <v>66440.517999999996</v>
      </c>
      <c r="E309" s="29">
        <f>SUM(I309,K309,M309,O309,Q309,S309,U309,W309,Y309,AA309,AC309,AE309)</f>
        <v>66440.517999999996</v>
      </c>
      <c r="F309" s="29">
        <f>IFERROR(E309/B309*100,0)</f>
        <v>86.396681117084213</v>
      </c>
      <c r="G309" s="29">
        <f>IFERROR(E309/C309*100,0)</f>
        <v>505.20658893295575</v>
      </c>
      <c r="H309" s="29">
        <f>H315+H321</f>
        <v>2473</v>
      </c>
      <c r="I309" s="29">
        <f t="shared" si="81"/>
        <v>2473</v>
      </c>
      <c r="J309" s="29">
        <f t="shared" si="81"/>
        <v>3953</v>
      </c>
      <c r="K309" s="29">
        <f t="shared" si="81"/>
        <v>3953</v>
      </c>
      <c r="L309" s="29">
        <f t="shared" si="81"/>
        <v>3606.56</v>
      </c>
      <c r="M309" s="29">
        <f t="shared" si="81"/>
        <v>3606.57</v>
      </c>
      <c r="N309" s="29">
        <f t="shared" si="81"/>
        <v>3118.59825</v>
      </c>
      <c r="O309" s="29">
        <f t="shared" si="81"/>
        <v>2791.65</v>
      </c>
      <c r="P309" s="29">
        <f t="shared" si="81"/>
        <v>3111.4045999999998</v>
      </c>
      <c r="Q309" s="29">
        <f t="shared" si="81"/>
        <v>3111.4</v>
      </c>
      <c r="R309" s="29">
        <f t="shared" si="81"/>
        <v>1992.94</v>
      </c>
      <c r="S309" s="29">
        <f t="shared" si="81"/>
        <v>2238.1600000000003</v>
      </c>
      <c r="T309" s="29">
        <f t="shared" si="81"/>
        <v>43000</v>
      </c>
      <c r="U309" s="29">
        <f t="shared" si="81"/>
        <v>43000</v>
      </c>
      <c r="V309" s="29">
        <f t="shared" si="81"/>
        <v>2569.4000000000005</v>
      </c>
      <c r="W309" s="29">
        <f t="shared" si="81"/>
        <v>2531.9358000000002</v>
      </c>
      <c r="X309" s="29">
        <f t="shared" si="81"/>
        <v>2167.2556999999997</v>
      </c>
      <c r="Y309" s="29">
        <f t="shared" si="81"/>
        <v>1945.1222</v>
      </c>
      <c r="Z309" s="29">
        <f t="shared" si="81"/>
        <v>4323.8531000000003</v>
      </c>
      <c r="AA309" s="29">
        <f t="shared" si="81"/>
        <v>789.68</v>
      </c>
      <c r="AB309" s="29">
        <f t="shared" si="81"/>
        <v>3126.0090999999998</v>
      </c>
      <c r="AC309" s="29">
        <f t="shared" si="81"/>
        <v>0</v>
      </c>
      <c r="AD309" s="29">
        <f t="shared" si="81"/>
        <v>3459.6809600000001</v>
      </c>
      <c r="AE309" s="29">
        <f t="shared" si="81"/>
        <v>0</v>
      </c>
      <c r="AF309" s="23"/>
      <c r="AG309" s="24">
        <f t="shared" si="33"/>
        <v>-1.1823431123048067E-11</v>
      </c>
    </row>
    <row r="310" spans="1:33" x14ac:dyDescent="0.3">
      <c r="A310" s="99" t="s">
        <v>31</v>
      </c>
      <c r="B310" s="29">
        <f>J310+L310+N310+P310+R310+T310+V310+X310+Z310+AB310+AD310+H310</f>
        <v>0</v>
      </c>
      <c r="C310" s="29">
        <f>SUM(H310)</f>
        <v>0</v>
      </c>
      <c r="D310" s="29">
        <f>E310</f>
        <v>0</v>
      </c>
      <c r="E310" s="29">
        <f>SUM(I310,K310,M310,O310,Q310,S310,U310,W310,Y310,AA310,AC310,AE310)</f>
        <v>0</v>
      </c>
      <c r="F310" s="29"/>
      <c r="G310" s="29"/>
      <c r="H310" s="29">
        <f>H316+H322</f>
        <v>0</v>
      </c>
      <c r="I310" s="29">
        <f t="shared" si="81"/>
        <v>0</v>
      </c>
      <c r="J310" s="29">
        <f t="shared" si="81"/>
        <v>0</v>
      </c>
      <c r="K310" s="29">
        <f t="shared" si="81"/>
        <v>0</v>
      </c>
      <c r="L310" s="29">
        <f t="shared" si="81"/>
        <v>0</v>
      </c>
      <c r="M310" s="29">
        <f t="shared" si="81"/>
        <v>0</v>
      </c>
      <c r="N310" s="29">
        <f t="shared" si="81"/>
        <v>0</v>
      </c>
      <c r="O310" s="29">
        <f t="shared" si="81"/>
        <v>0</v>
      </c>
      <c r="P310" s="29">
        <f t="shared" si="81"/>
        <v>0</v>
      </c>
      <c r="Q310" s="29">
        <f t="shared" si="81"/>
        <v>0</v>
      </c>
      <c r="R310" s="29">
        <f t="shared" si="81"/>
        <v>0</v>
      </c>
      <c r="S310" s="29">
        <f t="shared" si="81"/>
        <v>0</v>
      </c>
      <c r="T310" s="29">
        <f t="shared" si="81"/>
        <v>0</v>
      </c>
      <c r="U310" s="29">
        <f t="shared" si="81"/>
        <v>0</v>
      </c>
      <c r="V310" s="29">
        <f t="shared" si="81"/>
        <v>0</v>
      </c>
      <c r="W310" s="29">
        <f t="shared" si="81"/>
        <v>0</v>
      </c>
      <c r="X310" s="29">
        <f t="shared" si="81"/>
        <v>0</v>
      </c>
      <c r="Y310" s="29">
        <f t="shared" si="81"/>
        <v>0</v>
      </c>
      <c r="Z310" s="29">
        <f t="shared" si="81"/>
        <v>0</v>
      </c>
      <c r="AA310" s="29">
        <f t="shared" si="81"/>
        <v>0</v>
      </c>
      <c r="AB310" s="29">
        <f t="shared" si="81"/>
        <v>0</v>
      </c>
      <c r="AC310" s="29">
        <f t="shared" si="81"/>
        <v>0</v>
      </c>
      <c r="AD310" s="29">
        <f t="shared" si="81"/>
        <v>0</v>
      </c>
      <c r="AE310" s="29">
        <f t="shared" si="81"/>
        <v>0</v>
      </c>
      <c r="AF310" s="23"/>
      <c r="AG310" s="24">
        <f t="shared" si="33"/>
        <v>0</v>
      </c>
    </row>
    <row r="311" spans="1:33" ht="83.25" customHeight="1" x14ac:dyDescent="0.3">
      <c r="A311" s="30" t="s">
        <v>90</v>
      </c>
      <c r="B311" s="31"/>
      <c r="C311" s="32"/>
      <c r="D311" s="32"/>
      <c r="E311" s="32"/>
      <c r="F311" s="32"/>
      <c r="G311" s="32"/>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4"/>
      <c r="AG311" s="24">
        <f t="shared" si="33"/>
        <v>0</v>
      </c>
    </row>
    <row r="312" spans="1:33" x14ac:dyDescent="0.3">
      <c r="A312" s="35" t="s">
        <v>27</v>
      </c>
      <c r="B312" s="36">
        <f>B314+B315+B313+B316</f>
        <v>45992.800000000003</v>
      </c>
      <c r="C312" s="70">
        <f>C314+C315+C313+C316</f>
        <v>45992.800000000003</v>
      </c>
      <c r="D312" s="92">
        <f>D314+D315+D313+D316</f>
        <v>45955.335800000001</v>
      </c>
      <c r="E312" s="70">
        <f>E314+E315+E313+E316</f>
        <v>45955.335800000001</v>
      </c>
      <c r="F312" s="70">
        <f>IFERROR(E312/B312*100,0)</f>
        <v>99.918543337217997</v>
      </c>
      <c r="G312" s="70">
        <f>IFERROR(E312/C312*100,0)</f>
        <v>99.918543337217997</v>
      </c>
      <c r="H312" s="70">
        <f t="shared" ref="H312:AE312" si="82">H314+H315+H313+H316</f>
        <v>0</v>
      </c>
      <c r="I312" s="70">
        <f t="shared" si="82"/>
        <v>0</v>
      </c>
      <c r="J312" s="70">
        <f t="shared" si="82"/>
        <v>0</v>
      </c>
      <c r="K312" s="70">
        <f t="shared" si="82"/>
        <v>0</v>
      </c>
      <c r="L312" s="70">
        <f t="shared" si="82"/>
        <v>0</v>
      </c>
      <c r="M312" s="70">
        <f t="shared" si="82"/>
        <v>0</v>
      </c>
      <c r="N312" s="70">
        <f t="shared" si="82"/>
        <v>0</v>
      </c>
      <c r="O312" s="70">
        <f t="shared" si="82"/>
        <v>0</v>
      </c>
      <c r="P312" s="70">
        <f t="shared" si="82"/>
        <v>0</v>
      </c>
      <c r="Q312" s="70">
        <f t="shared" si="82"/>
        <v>0</v>
      </c>
      <c r="R312" s="70">
        <f t="shared" si="82"/>
        <v>423.4</v>
      </c>
      <c r="S312" s="70">
        <f t="shared" si="82"/>
        <v>423.4</v>
      </c>
      <c r="T312" s="70">
        <f t="shared" si="82"/>
        <v>43000</v>
      </c>
      <c r="U312" s="70">
        <f t="shared" si="82"/>
        <v>43000</v>
      </c>
      <c r="V312" s="70">
        <f t="shared" si="82"/>
        <v>2569.4000000000005</v>
      </c>
      <c r="W312" s="70">
        <f t="shared" si="82"/>
        <v>2531.9358000000002</v>
      </c>
      <c r="X312" s="70">
        <f t="shared" si="82"/>
        <v>0</v>
      </c>
      <c r="Y312" s="70">
        <f t="shared" si="82"/>
        <v>0</v>
      </c>
      <c r="Z312" s="70">
        <f t="shared" si="82"/>
        <v>0</v>
      </c>
      <c r="AA312" s="70">
        <f t="shared" si="82"/>
        <v>0</v>
      </c>
      <c r="AB312" s="70">
        <f t="shared" si="82"/>
        <v>0</v>
      </c>
      <c r="AC312" s="70">
        <f t="shared" si="82"/>
        <v>0</v>
      </c>
      <c r="AD312" s="70">
        <f t="shared" si="82"/>
        <v>0</v>
      </c>
      <c r="AE312" s="70">
        <f t="shared" si="82"/>
        <v>0</v>
      </c>
      <c r="AF312" s="34"/>
      <c r="AG312" s="24">
        <f t="shared" si="33"/>
        <v>9.0949470177292824E-13</v>
      </c>
    </row>
    <row r="313" spans="1:33" x14ac:dyDescent="0.3">
      <c r="A313" s="42" t="s">
        <v>28</v>
      </c>
      <c r="B313" s="31">
        <f>J313+L313+N313+P313+R313+T313+V313+X313+Z313+AB313+AD313+H313</f>
        <v>0</v>
      </c>
      <c r="C313" s="48">
        <f>SUM(H313)</f>
        <v>0</v>
      </c>
      <c r="D313" s="49">
        <f>E313</f>
        <v>0</v>
      </c>
      <c r="E313" s="48">
        <f>SUM(I313,K313,M313,O313,Q313,S313,U313,W313,Y313,AA313,AC313,AE313)</f>
        <v>0</v>
      </c>
      <c r="F313" s="47">
        <f>IFERROR(E313/B313*100,0)</f>
        <v>0</v>
      </c>
      <c r="G313" s="47">
        <f>IFERROR(E313/C313*100,0)</f>
        <v>0</v>
      </c>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4"/>
      <c r="AG313" s="24">
        <f t="shared" si="33"/>
        <v>0</v>
      </c>
    </row>
    <row r="314" spans="1:33" x14ac:dyDescent="0.3">
      <c r="A314" s="42" t="s">
        <v>29</v>
      </c>
      <c r="B314" s="31">
        <f>J314+L314+N314+P314+R314+T314+V314+X314+Z314+AB314+AD314+H314</f>
        <v>0</v>
      </c>
      <c r="C314" s="48">
        <f>SUM(H314)</f>
        <v>0</v>
      </c>
      <c r="D314" s="49">
        <f>E314</f>
        <v>0</v>
      </c>
      <c r="E314" s="48">
        <f>SUM(I314,K314,M314,O314,Q314,S314,U314,W314,Y314,AA314,AC314,AE314)</f>
        <v>0</v>
      </c>
      <c r="F314" s="47">
        <f>IFERROR(E314/B314*100,0)</f>
        <v>0</v>
      </c>
      <c r="G314" s="47">
        <f>IFERROR(E314/C314*100,0)</f>
        <v>0</v>
      </c>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4"/>
      <c r="AG314" s="24">
        <f t="shared" si="33"/>
        <v>0</v>
      </c>
    </row>
    <row r="315" spans="1:33" x14ac:dyDescent="0.3">
      <c r="A315" s="42" t="s">
        <v>30</v>
      </c>
      <c r="B315" s="31">
        <f>J315+L315+N315+P315+R315+T315+V315+X315+Z315+AB315+AD315+H315</f>
        <v>45992.800000000003</v>
      </c>
      <c r="C315" s="48">
        <f>H315+J315+L315+N315+P315+R315+T315+V315</f>
        <v>45992.800000000003</v>
      </c>
      <c r="D315" s="49">
        <f>E315</f>
        <v>45955.335800000001</v>
      </c>
      <c r="E315" s="48">
        <f>SUM(I315,K315,M315,O315,Q315,S315,U315,W315,Y315,AA315,AC315,AE315)</f>
        <v>45955.335800000001</v>
      </c>
      <c r="F315" s="47">
        <f>IFERROR(E315/B315*100,0)</f>
        <v>99.918543337217997</v>
      </c>
      <c r="G315" s="47">
        <f>IFERROR(E315/C315*100,0)</f>
        <v>99.918543337217997</v>
      </c>
      <c r="H315" s="33"/>
      <c r="I315" s="33"/>
      <c r="J315" s="33"/>
      <c r="K315" s="33"/>
      <c r="L315" s="33"/>
      <c r="M315" s="33"/>
      <c r="N315" s="33"/>
      <c r="O315" s="33"/>
      <c r="P315" s="33"/>
      <c r="Q315" s="33"/>
      <c r="R315" s="33">
        <v>423.4</v>
      </c>
      <c r="S315" s="33">
        <v>423.4</v>
      </c>
      <c r="T315" s="33">
        <v>43000</v>
      </c>
      <c r="U315" s="33">
        <v>43000</v>
      </c>
      <c r="V315" s="33">
        <f>2992.8+423.4-846.8</f>
        <v>2569.4000000000005</v>
      </c>
      <c r="W315" s="33">
        <v>2531.9358000000002</v>
      </c>
      <c r="X315" s="33"/>
      <c r="Y315" s="33"/>
      <c r="Z315" s="33"/>
      <c r="AA315" s="33"/>
      <c r="AB315" s="33"/>
      <c r="AC315" s="33"/>
      <c r="AD315" s="33"/>
      <c r="AE315" s="33"/>
      <c r="AF315" s="34"/>
      <c r="AG315" s="24">
        <f t="shared" si="33"/>
        <v>9.0949470177292824E-13</v>
      </c>
    </row>
    <row r="316" spans="1:33" x14ac:dyDescent="0.3">
      <c r="A316" s="42" t="s">
        <v>31</v>
      </c>
      <c r="B316" s="31"/>
      <c r="C316" s="48"/>
      <c r="D316" s="49"/>
      <c r="E316" s="48"/>
      <c r="F316" s="47"/>
      <c r="G316" s="47"/>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4"/>
      <c r="AG316" s="24">
        <f t="shared" si="33"/>
        <v>0</v>
      </c>
    </row>
    <row r="317" spans="1:33" s="19" customFormat="1" ht="61.5" customHeight="1" x14ac:dyDescent="0.3">
      <c r="A317" s="100" t="s">
        <v>91</v>
      </c>
      <c r="B317" s="36"/>
      <c r="C317" s="65"/>
      <c r="D317" s="65"/>
      <c r="E317" s="65"/>
      <c r="F317" s="65"/>
      <c r="G317" s="65"/>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7"/>
      <c r="AG317" s="68">
        <f t="shared" si="33"/>
        <v>0</v>
      </c>
    </row>
    <row r="318" spans="1:33" s="19" customFormat="1" x14ac:dyDescent="0.3">
      <c r="A318" s="35" t="s">
        <v>27</v>
      </c>
      <c r="B318" s="36">
        <f>B320+B321+B319+B322</f>
        <v>248267.00641999999</v>
      </c>
      <c r="C318" s="70">
        <f>C320+C321+C319+C322</f>
        <v>97032.351749999987</v>
      </c>
      <c r="D318" s="92">
        <f>D320+D321+D319+D322</f>
        <v>167917.96000000002</v>
      </c>
      <c r="E318" s="70">
        <f>E320+E321+E319+E322</f>
        <v>167917.96000000002</v>
      </c>
      <c r="F318" s="70">
        <f>IFERROR(E318/B318*100,0)</f>
        <v>67.636035259525656</v>
      </c>
      <c r="G318" s="70">
        <f>IFERROR(E318/C318*100,0)</f>
        <v>173.05358158548398</v>
      </c>
      <c r="H318" s="70">
        <f t="shared" ref="H318:AE318" si="83">H320+H321+H319+H322</f>
        <v>15729.4</v>
      </c>
      <c r="I318" s="70">
        <f t="shared" si="83"/>
        <v>9416.6</v>
      </c>
      <c r="J318" s="70">
        <f t="shared" si="83"/>
        <v>28820.74</v>
      </c>
      <c r="K318" s="70">
        <f t="shared" si="83"/>
        <v>28921.500000000004</v>
      </c>
      <c r="L318" s="70">
        <f t="shared" si="83"/>
        <v>28307.33</v>
      </c>
      <c r="M318" s="70">
        <f t="shared" si="83"/>
        <v>29030.61</v>
      </c>
      <c r="N318" s="70">
        <f t="shared" si="83"/>
        <v>24174.88175</v>
      </c>
      <c r="O318" s="70">
        <f t="shared" si="83"/>
        <v>16432.27</v>
      </c>
      <c r="P318" s="70">
        <f t="shared" si="83"/>
        <v>27445.34362</v>
      </c>
      <c r="Q318" s="70">
        <f t="shared" si="83"/>
        <v>26912.510000000002</v>
      </c>
      <c r="R318" s="70">
        <f t="shared" si="83"/>
        <v>9054.0535999999993</v>
      </c>
      <c r="S318" s="70">
        <f t="shared" si="83"/>
        <v>12696.59</v>
      </c>
      <c r="T318" s="70">
        <f t="shared" si="83"/>
        <v>0</v>
      </c>
      <c r="U318" s="70">
        <f t="shared" si="83"/>
        <v>0</v>
      </c>
      <c r="V318" s="70">
        <f t="shared" si="83"/>
        <v>0</v>
      </c>
      <c r="W318" s="70">
        <f t="shared" si="83"/>
        <v>0</v>
      </c>
      <c r="X318" s="70">
        <f t="shared" si="83"/>
        <v>18918.006300000001</v>
      </c>
      <c r="Y318" s="70">
        <f t="shared" si="83"/>
        <v>14596.779999999999</v>
      </c>
      <c r="Z318" s="70">
        <f t="shared" si="83"/>
        <v>34353.397400000002</v>
      </c>
      <c r="AA318" s="70">
        <f t="shared" si="83"/>
        <v>29911.1</v>
      </c>
      <c r="AB318" s="70">
        <f t="shared" si="83"/>
        <v>29097.383700000002</v>
      </c>
      <c r="AC318" s="70">
        <f t="shared" si="83"/>
        <v>0</v>
      </c>
      <c r="AD318" s="70">
        <f t="shared" si="83"/>
        <v>32366.47005</v>
      </c>
      <c r="AE318" s="70">
        <f t="shared" si="83"/>
        <v>0</v>
      </c>
      <c r="AF318" s="67"/>
      <c r="AG318" s="68">
        <f t="shared" si="33"/>
        <v>0</v>
      </c>
    </row>
    <row r="319" spans="1:33" s="19" customFormat="1" x14ac:dyDescent="0.3">
      <c r="A319" s="35" t="s">
        <v>28</v>
      </c>
      <c r="B319" s="36">
        <f>J319+L319+N319+P319+R319+T319+V319+X319+Z319+AB319+AD319+H319</f>
        <v>25292.80024</v>
      </c>
      <c r="C319" s="101">
        <f>H319+J319+L319+N319</f>
        <v>8381.7667500000007</v>
      </c>
      <c r="D319" s="102">
        <f>E319</f>
        <v>16399.586599999999</v>
      </c>
      <c r="E319" s="101">
        <f>SUM(I319,K319,M319,O319,Q319,S319,U319,W319,Y319,AA319,AC319,AE319)</f>
        <v>16399.586599999999</v>
      </c>
      <c r="F319" s="70">
        <f>IFERROR(E319/B319*100,0)</f>
        <v>64.838951972049415</v>
      </c>
      <c r="G319" s="70">
        <f>IFERROR(E319/C319*100,0)</f>
        <v>195.65787368158388</v>
      </c>
      <c r="H319" s="66">
        <f>H325+H331+H337</f>
        <v>1301.9000000000001</v>
      </c>
      <c r="I319" s="66">
        <f t="shared" ref="I319:AE322" si="84">I325+I331+I337</f>
        <v>1301.9000000000001</v>
      </c>
      <c r="J319" s="66">
        <f t="shared" si="84"/>
        <v>2713.7</v>
      </c>
      <c r="K319" s="66">
        <f t="shared" si="84"/>
        <v>2713.7</v>
      </c>
      <c r="L319" s="66">
        <f t="shared" si="84"/>
        <v>2898.5</v>
      </c>
      <c r="M319" s="66">
        <f t="shared" si="84"/>
        <v>2898.5</v>
      </c>
      <c r="N319" s="66">
        <f t="shared" si="84"/>
        <v>1467.6667499999999</v>
      </c>
      <c r="O319" s="66">
        <f t="shared" si="84"/>
        <v>1325.81</v>
      </c>
      <c r="P319" s="66">
        <f t="shared" si="84"/>
        <v>2860.0432000000001</v>
      </c>
      <c r="Q319" s="66">
        <f t="shared" si="84"/>
        <v>2860.04</v>
      </c>
      <c r="R319" s="66">
        <f t="shared" si="84"/>
        <v>914.33019999999999</v>
      </c>
      <c r="S319" s="66">
        <f t="shared" si="84"/>
        <v>732.43</v>
      </c>
      <c r="T319" s="66">
        <f t="shared" si="84"/>
        <v>0</v>
      </c>
      <c r="U319" s="66">
        <f t="shared" si="84"/>
        <v>0</v>
      </c>
      <c r="V319" s="66">
        <f t="shared" si="84"/>
        <v>0</v>
      </c>
      <c r="W319" s="66">
        <f t="shared" si="84"/>
        <v>0</v>
      </c>
      <c r="X319" s="66">
        <f t="shared" si="84"/>
        <v>2324.6027999999997</v>
      </c>
      <c r="Y319" s="66">
        <f t="shared" si="84"/>
        <v>1438.6066000000001</v>
      </c>
      <c r="Z319" s="66">
        <f t="shared" si="84"/>
        <v>4295.6216999999997</v>
      </c>
      <c r="AA319" s="66">
        <f t="shared" si="84"/>
        <v>3128.6</v>
      </c>
      <c r="AB319" s="66">
        <f t="shared" si="84"/>
        <v>2846.4506999999999</v>
      </c>
      <c r="AC319" s="66">
        <f t="shared" si="84"/>
        <v>0</v>
      </c>
      <c r="AD319" s="66">
        <f t="shared" si="84"/>
        <v>3669.9848900000002</v>
      </c>
      <c r="AE319" s="66">
        <f t="shared" si="84"/>
        <v>0</v>
      </c>
      <c r="AF319" s="67"/>
      <c r="AG319" s="68">
        <f t="shared" si="33"/>
        <v>0</v>
      </c>
    </row>
    <row r="320" spans="1:33" s="19" customFormat="1" x14ac:dyDescent="0.3">
      <c r="A320" s="35" t="s">
        <v>29</v>
      </c>
      <c r="B320" s="36">
        <f>J320+L320+N320+P320+R320+T320+V320+X320+Z320+AB320+AD320+H320</f>
        <v>192065.30446999997</v>
      </c>
      <c r="C320" s="101">
        <f>H320+J320+L320+N320</f>
        <v>75499.426749999999</v>
      </c>
      <c r="D320" s="102">
        <f>E320</f>
        <v>131033.1912</v>
      </c>
      <c r="E320" s="101">
        <f>SUM(I320,K320,M320,O320,Q320,S320,U320,W320,Y320,AA320,AC320,AE320)</f>
        <v>131033.1912</v>
      </c>
      <c r="F320" s="70">
        <f>IFERROR(E320/B320*100,0)</f>
        <v>68.22324915037791</v>
      </c>
      <c r="G320" s="70">
        <f>IFERROR(E320/C320*100,0)</f>
        <v>173.55521338445129</v>
      </c>
      <c r="H320" s="66">
        <f>H326+H332+H338</f>
        <v>11954.5</v>
      </c>
      <c r="I320" s="66">
        <f t="shared" si="84"/>
        <v>5641.7</v>
      </c>
      <c r="J320" s="66">
        <f t="shared" si="84"/>
        <v>22154.04</v>
      </c>
      <c r="K320" s="66">
        <f t="shared" si="84"/>
        <v>22254.800000000003</v>
      </c>
      <c r="L320" s="66">
        <f t="shared" si="84"/>
        <v>21802.27</v>
      </c>
      <c r="M320" s="66">
        <f t="shared" si="84"/>
        <v>22525.54</v>
      </c>
      <c r="N320" s="66">
        <f t="shared" si="84"/>
        <v>19588.616750000001</v>
      </c>
      <c r="O320" s="66">
        <f t="shared" si="84"/>
        <v>12314.810000000001</v>
      </c>
      <c r="P320" s="66">
        <f t="shared" si="84"/>
        <v>21473.895820000002</v>
      </c>
      <c r="Q320" s="66">
        <f t="shared" si="84"/>
        <v>20941.07</v>
      </c>
      <c r="R320" s="66">
        <f t="shared" si="84"/>
        <v>6570.1833999999999</v>
      </c>
      <c r="S320" s="66">
        <f t="shared" si="84"/>
        <v>10149.4</v>
      </c>
      <c r="T320" s="66">
        <f t="shared" si="84"/>
        <v>0</v>
      </c>
      <c r="U320" s="66">
        <f t="shared" si="84"/>
        <v>0</v>
      </c>
      <c r="V320" s="66">
        <f t="shared" si="84"/>
        <v>0</v>
      </c>
      <c r="W320" s="66">
        <f t="shared" si="84"/>
        <v>0</v>
      </c>
      <c r="X320" s="66">
        <f t="shared" si="84"/>
        <v>14426.147800000001</v>
      </c>
      <c r="Y320" s="66">
        <f t="shared" si="84"/>
        <v>11213.0512</v>
      </c>
      <c r="Z320" s="66">
        <f t="shared" si="84"/>
        <v>25733.922599999998</v>
      </c>
      <c r="AA320" s="66">
        <f t="shared" si="84"/>
        <v>25992.82</v>
      </c>
      <c r="AB320" s="66">
        <f t="shared" si="84"/>
        <v>23124.923900000002</v>
      </c>
      <c r="AC320" s="66">
        <f t="shared" si="84"/>
        <v>0</v>
      </c>
      <c r="AD320" s="66">
        <f t="shared" si="84"/>
        <v>25236.804199999999</v>
      </c>
      <c r="AE320" s="66">
        <f t="shared" si="84"/>
        <v>0</v>
      </c>
      <c r="AF320" s="67"/>
      <c r="AG320" s="68">
        <f t="shared" si="33"/>
        <v>-2.9103830456733704E-11</v>
      </c>
    </row>
    <row r="321" spans="1:42" s="19" customFormat="1" x14ac:dyDescent="0.3">
      <c r="A321" s="35" t="s">
        <v>30</v>
      </c>
      <c r="B321" s="36">
        <f>J321+L321+N321+P321+R321+T321+V321+X321+Z321+AB321+AD321+H321</f>
        <v>30908.901709999998</v>
      </c>
      <c r="C321" s="101">
        <f>H321+J321+L321+N321</f>
        <v>13151.15825</v>
      </c>
      <c r="D321" s="102">
        <f>E321</f>
        <v>20485.182199999999</v>
      </c>
      <c r="E321" s="101">
        <f>SUM(I321,K321,M321,O321,Q321,S321,U321,W321,Y321,AA321,AC321,AE321)</f>
        <v>20485.182199999999</v>
      </c>
      <c r="F321" s="70">
        <f>IFERROR(E321/B321*100,0)</f>
        <v>66.275995155701054</v>
      </c>
      <c r="G321" s="70">
        <f>IFERROR(E321/C321*100,0)</f>
        <v>155.76713328653008</v>
      </c>
      <c r="H321" s="66">
        <f>H327+H333+H339</f>
        <v>2473</v>
      </c>
      <c r="I321" s="66">
        <f t="shared" si="84"/>
        <v>2473</v>
      </c>
      <c r="J321" s="66">
        <f t="shared" si="84"/>
        <v>3953</v>
      </c>
      <c r="K321" s="66">
        <f t="shared" si="84"/>
        <v>3953</v>
      </c>
      <c r="L321" s="66">
        <f t="shared" si="84"/>
        <v>3606.56</v>
      </c>
      <c r="M321" s="66">
        <f t="shared" si="84"/>
        <v>3606.57</v>
      </c>
      <c r="N321" s="66">
        <f t="shared" si="84"/>
        <v>3118.59825</v>
      </c>
      <c r="O321" s="66">
        <f t="shared" si="84"/>
        <v>2791.65</v>
      </c>
      <c r="P321" s="66">
        <f t="shared" si="84"/>
        <v>3111.4045999999998</v>
      </c>
      <c r="Q321" s="66">
        <f t="shared" si="84"/>
        <v>3111.4</v>
      </c>
      <c r="R321" s="66">
        <f t="shared" si="84"/>
        <v>1569.54</v>
      </c>
      <c r="S321" s="66">
        <f t="shared" si="84"/>
        <v>1814.7600000000002</v>
      </c>
      <c r="T321" s="66">
        <f t="shared" si="84"/>
        <v>0</v>
      </c>
      <c r="U321" s="66">
        <f t="shared" si="84"/>
        <v>0</v>
      </c>
      <c r="V321" s="66">
        <f t="shared" si="84"/>
        <v>0</v>
      </c>
      <c r="W321" s="66">
        <f t="shared" si="84"/>
        <v>0</v>
      </c>
      <c r="X321" s="66">
        <f t="shared" si="84"/>
        <v>2167.2556999999997</v>
      </c>
      <c r="Y321" s="66">
        <f t="shared" si="84"/>
        <v>1945.1222</v>
      </c>
      <c r="Z321" s="66">
        <f t="shared" si="84"/>
        <v>4323.8531000000003</v>
      </c>
      <c r="AA321" s="66">
        <f t="shared" si="84"/>
        <v>789.68</v>
      </c>
      <c r="AB321" s="66">
        <f t="shared" si="84"/>
        <v>3126.0090999999998</v>
      </c>
      <c r="AC321" s="66">
        <f t="shared" si="84"/>
        <v>0</v>
      </c>
      <c r="AD321" s="66">
        <f t="shared" si="84"/>
        <v>3459.6809600000001</v>
      </c>
      <c r="AE321" s="66">
        <f t="shared" si="84"/>
        <v>0</v>
      </c>
      <c r="AF321" s="67"/>
      <c r="AG321" s="68">
        <f t="shared" si="33"/>
        <v>0</v>
      </c>
    </row>
    <row r="322" spans="1:42" s="19" customFormat="1" x14ac:dyDescent="0.3">
      <c r="A322" s="35" t="s">
        <v>31</v>
      </c>
      <c r="B322" s="36"/>
      <c r="C322" s="101"/>
      <c r="D322" s="102"/>
      <c r="E322" s="101"/>
      <c r="F322" s="70"/>
      <c r="G322" s="70"/>
      <c r="H322" s="66">
        <f>H328+H334+H340</f>
        <v>0</v>
      </c>
      <c r="I322" s="66">
        <f t="shared" si="84"/>
        <v>0</v>
      </c>
      <c r="J322" s="66">
        <f t="shared" si="84"/>
        <v>0</v>
      </c>
      <c r="K322" s="66">
        <f t="shared" si="84"/>
        <v>0</v>
      </c>
      <c r="L322" s="66">
        <f t="shared" si="84"/>
        <v>0</v>
      </c>
      <c r="M322" s="66">
        <f t="shared" si="84"/>
        <v>0</v>
      </c>
      <c r="N322" s="66">
        <f t="shared" si="84"/>
        <v>0</v>
      </c>
      <c r="O322" s="66">
        <f t="shared" si="84"/>
        <v>0</v>
      </c>
      <c r="P322" s="66">
        <f t="shared" si="84"/>
        <v>0</v>
      </c>
      <c r="Q322" s="66">
        <f t="shared" si="84"/>
        <v>0</v>
      </c>
      <c r="R322" s="66">
        <f t="shared" si="84"/>
        <v>0</v>
      </c>
      <c r="S322" s="66">
        <f t="shared" si="84"/>
        <v>0</v>
      </c>
      <c r="T322" s="66">
        <f t="shared" si="84"/>
        <v>0</v>
      </c>
      <c r="U322" s="66">
        <f t="shared" si="84"/>
        <v>0</v>
      </c>
      <c r="V322" s="66">
        <f t="shared" si="84"/>
        <v>0</v>
      </c>
      <c r="W322" s="66">
        <f t="shared" si="84"/>
        <v>0</v>
      </c>
      <c r="X322" s="66">
        <f t="shared" si="84"/>
        <v>0</v>
      </c>
      <c r="Y322" s="66">
        <f t="shared" si="84"/>
        <v>0</v>
      </c>
      <c r="Z322" s="66">
        <f t="shared" si="84"/>
        <v>0</v>
      </c>
      <c r="AA322" s="66">
        <f t="shared" si="84"/>
        <v>0</v>
      </c>
      <c r="AB322" s="66">
        <f t="shared" si="84"/>
        <v>0</v>
      </c>
      <c r="AC322" s="66">
        <f t="shared" si="84"/>
        <v>0</v>
      </c>
      <c r="AD322" s="66">
        <f t="shared" si="84"/>
        <v>0</v>
      </c>
      <c r="AE322" s="66">
        <f t="shared" si="84"/>
        <v>0</v>
      </c>
      <c r="AF322" s="67"/>
      <c r="AG322" s="68">
        <f t="shared" si="33"/>
        <v>0</v>
      </c>
    </row>
    <row r="323" spans="1:42" ht="61.5" customHeight="1" x14ac:dyDescent="0.3">
      <c r="A323" s="30" t="s">
        <v>92</v>
      </c>
      <c r="B323" s="31"/>
      <c r="C323" s="32"/>
      <c r="D323" s="32"/>
      <c r="E323" s="32"/>
      <c r="F323" s="32"/>
      <c r="G323" s="32"/>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4"/>
      <c r="AG323" s="24">
        <f t="shared" si="33"/>
        <v>0</v>
      </c>
    </row>
    <row r="324" spans="1:42" x14ac:dyDescent="0.3">
      <c r="A324" s="35" t="s">
        <v>27</v>
      </c>
      <c r="B324" s="36">
        <f>B326+B327+B325+B328</f>
        <v>69616.204799999992</v>
      </c>
      <c r="C324" s="70">
        <f>C326+C327+C325+C328</f>
        <v>51691.611050000007</v>
      </c>
      <c r="D324" s="92">
        <f>D326+D327+D325+D328</f>
        <v>45138.3511</v>
      </c>
      <c r="E324" s="70">
        <f>E326+E327+E325+E328</f>
        <v>45138.3511</v>
      </c>
      <c r="F324" s="70">
        <f>IFERROR(E324/B324*100,0)</f>
        <v>64.83885645544413</v>
      </c>
      <c r="G324" s="70">
        <f>IFERROR(E324/C324*100,0)</f>
        <v>87.322391744259619</v>
      </c>
      <c r="H324" s="70">
        <f t="shared" ref="H324:AE324" si="85">H326+H327+H325+H328</f>
        <v>3583.5</v>
      </c>
      <c r="I324" s="70">
        <f t="shared" si="85"/>
        <v>3583.5</v>
      </c>
      <c r="J324" s="70">
        <f t="shared" si="85"/>
        <v>7469.0999999999995</v>
      </c>
      <c r="K324" s="70">
        <f t="shared" si="85"/>
        <v>7469.0999999999995</v>
      </c>
      <c r="L324" s="70">
        <f t="shared" si="85"/>
        <v>7977.76</v>
      </c>
      <c r="M324" s="70">
        <f t="shared" si="85"/>
        <v>7977.7699999999995</v>
      </c>
      <c r="N324" s="70">
        <f t="shared" si="85"/>
        <v>6494.36175</v>
      </c>
      <c r="O324" s="70">
        <f t="shared" si="85"/>
        <v>3649.23</v>
      </c>
      <c r="P324" s="70">
        <f t="shared" si="85"/>
        <v>5464.7921999999999</v>
      </c>
      <c r="Q324" s="70">
        <f t="shared" si="85"/>
        <v>7629.5</v>
      </c>
      <c r="R324" s="70">
        <f t="shared" si="85"/>
        <v>2469.1446000000001</v>
      </c>
      <c r="S324" s="70">
        <f t="shared" si="85"/>
        <v>2258.44</v>
      </c>
      <c r="T324" s="70">
        <f t="shared" si="85"/>
        <v>0</v>
      </c>
      <c r="U324" s="70">
        <f t="shared" si="85"/>
        <v>0</v>
      </c>
      <c r="V324" s="70">
        <f t="shared" si="85"/>
        <v>0</v>
      </c>
      <c r="W324" s="70">
        <f t="shared" si="85"/>
        <v>0</v>
      </c>
      <c r="X324" s="70">
        <f t="shared" si="85"/>
        <v>6382.0150999999996</v>
      </c>
      <c r="Y324" s="70">
        <f t="shared" si="85"/>
        <v>3959.6211000000003</v>
      </c>
      <c r="Z324" s="70">
        <f t="shared" si="85"/>
        <v>11850.937399999999</v>
      </c>
      <c r="AA324" s="70">
        <f t="shared" si="85"/>
        <v>8611.19</v>
      </c>
      <c r="AB324" s="70">
        <f t="shared" si="85"/>
        <v>7804.4637000000002</v>
      </c>
      <c r="AC324" s="70">
        <f t="shared" si="85"/>
        <v>0</v>
      </c>
      <c r="AD324" s="70">
        <f t="shared" si="85"/>
        <v>10120.13005</v>
      </c>
      <c r="AE324" s="70">
        <f t="shared" si="85"/>
        <v>0</v>
      </c>
      <c r="AF324" s="34"/>
      <c r="AG324" s="24">
        <f t="shared" si="33"/>
        <v>0</v>
      </c>
    </row>
    <row r="325" spans="1:42" x14ac:dyDescent="0.3">
      <c r="A325" s="42" t="s">
        <v>28</v>
      </c>
      <c r="B325" s="31">
        <f>J325+L325+N325+P325+R325+T325+V325+X325+Z325+AB325+AD325+H325</f>
        <v>25292.80024</v>
      </c>
      <c r="C325" s="48">
        <f>H325+J325+L325+N325+P325+R325+X325+Z325</f>
        <v>18776.36465</v>
      </c>
      <c r="D325" s="49">
        <f>E325</f>
        <v>16399.586599999999</v>
      </c>
      <c r="E325" s="48">
        <f>SUM(I325,K325,M325,O325,Q325,S325,U325,W325,Y325,AA325,AC325,AE325)</f>
        <v>16399.586599999999</v>
      </c>
      <c r="F325" s="47">
        <f>IFERROR(E325/B325*100,0)</f>
        <v>64.838951972049415</v>
      </c>
      <c r="G325" s="47">
        <f>IFERROR(E325/C325*100,0)</f>
        <v>87.341649492304668</v>
      </c>
      <c r="H325" s="33">
        <v>1301.9000000000001</v>
      </c>
      <c r="I325" s="33">
        <v>1301.9000000000001</v>
      </c>
      <c r="J325" s="33">
        <v>2713.7</v>
      </c>
      <c r="K325" s="33">
        <v>2713.7</v>
      </c>
      <c r="L325" s="33">
        <v>2898.5</v>
      </c>
      <c r="M325" s="33">
        <v>2898.5</v>
      </c>
      <c r="N325" s="33">
        <f>2772.97675-148.08-1157.23</f>
        <v>1467.6667499999999</v>
      </c>
      <c r="O325" s="33">
        <v>1325.81</v>
      </c>
      <c r="P325" s="33">
        <v>2860.0432000000001</v>
      </c>
      <c r="Q325" s="33">
        <v>2860.04</v>
      </c>
      <c r="R325" s="33">
        <v>914.33019999999999</v>
      </c>
      <c r="S325" s="33">
        <v>732.43</v>
      </c>
      <c r="T325" s="33"/>
      <c r="U325" s="33"/>
      <c r="V325" s="33"/>
      <c r="W325" s="33"/>
      <c r="X325" s="33">
        <f>2028.7749+148.08+1157.23-1009.4821</f>
        <v>2324.6027999999997</v>
      </c>
      <c r="Y325" s="33">
        <v>1438.6066000000001</v>
      </c>
      <c r="Z325" s="33">
        <f>1077+3218.6217</f>
        <v>4295.6216999999997</v>
      </c>
      <c r="AA325" s="33">
        <v>3128.6</v>
      </c>
      <c r="AB325" s="33">
        <v>2846.4506999999999</v>
      </c>
      <c r="AC325" s="33"/>
      <c r="AD325" s="33">
        <f>2660.50489+768+241.48</f>
        <v>3669.9848900000002</v>
      </c>
      <c r="AE325" s="33"/>
      <c r="AF325" s="34"/>
      <c r="AG325" s="24">
        <f t="shared" si="33"/>
        <v>0</v>
      </c>
    </row>
    <row r="326" spans="1:42" x14ac:dyDescent="0.3">
      <c r="A326" s="42" t="s">
        <v>29</v>
      </c>
      <c r="B326" s="31">
        <f>J326+L326+N326+P326+R326+T326+V326+X326+Z326+AB326+AD326+H326</f>
        <v>37939.302849999993</v>
      </c>
      <c r="C326" s="48">
        <f t="shared" ref="C326:C327" si="86">H326+J326+L326+N326+P326+R326+X326+Z326</f>
        <v>27752.834750000002</v>
      </c>
      <c r="D326" s="49">
        <f>E326</f>
        <v>24599.382300000001</v>
      </c>
      <c r="E326" s="48">
        <f>SUM(I326,K326,M326,O326,Q326,S326,U326,W326,Y326,AA326,AC326,AE326)</f>
        <v>24599.382300000001</v>
      </c>
      <c r="F326" s="47">
        <f>IFERROR(E326/B326*100,0)</f>
        <v>64.838783140687056</v>
      </c>
      <c r="G326" s="47">
        <f>IFERROR(E326/C326*100,0)</f>
        <v>88.637368116062447</v>
      </c>
      <c r="H326" s="33">
        <v>1953</v>
      </c>
      <c r="I326" s="33">
        <v>1953</v>
      </c>
      <c r="J326" s="33">
        <v>4070.4</v>
      </c>
      <c r="K326" s="33">
        <v>4070.4</v>
      </c>
      <c r="L326" s="33">
        <v>4347.7</v>
      </c>
      <c r="M326" s="33">
        <v>4347.7</v>
      </c>
      <c r="N326" s="33">
        <f>4146.31675+218.78</f>
        <v>4365.0967499999997</v>
      </c>
      <c r="O326" s="33">
        <v>1988.77</v>
      </c>
      <c r="P326" s="33">
        <f>4356.0644-2164.72</f>
        <v>2191.3444000000004</v>
      </c>
      <c r="Q326" s="33">
        <v>4356.0600000000004</v>
      </c>
      <c r="R326" s="33">
        <f>1525.4544+218.78-437.56</f>
        <v>1306.6744000000001</v>
      </c>
      <c r="S326" s="33">
        <v>1032.6500000000001</v>
      </c>
      <c r="T326" s="33">
        <v>0</v>
      </c>
      <c r="U326" s="33"/>
      <c r="V326" s="33">
        <v>0</v>
      </c>
      <c r="W326" s="33"/>
      <c r="X326" s="33">
        <f>3182.58+3078.7633-1557.38-1231.8067</f>
        <v>3472.1566000000003</v>
      </c>
      <c r="Y326" s="33">
        <v>2157.8923</v>
      </c>
      <c r="Z326" s="33">
        <f>1231.8067+4814.6559</f>
        <v>6046.4625999999998</v>
      </c>
      <c r="AA326" s="33">
        <v>4692.91</v>
      </c>
      <c r="AB326" s="33">
        <v>4295.6039000000001</v>
      </c>
      <c r="AC326" s="33"/>
      <c r="AD326" s="33">
        <f>2164.72+3726.1442</f>
        <v>5890.8642</v>
      </c>
      <c r="AE326" s="33"/>
      <c r="AF326" s="34"/>
      <c r="AG326" s="24">
        <f t="shared" si="33"/>
        <v>-1.2732925824820995E-11</v>
      </c>
    </row>
    <row r="327" spans="1:42" x14ac:dyDescent="0.3">
      <c r="A327" s="42" t="s">
        <v>30</v>
      </c>
      <c r="B327" s="31">
        <f>J327+L327+N327+P327+R327+T327+V327+X327+Z327+AB327+AD327+H327</f>
        <v>6384.1017099999999</v>
      </c>
      <c r="C327" s="48">
        <f t="shared" si="86"/>
        <v>5162.41165</v>
      </c>
      <c r="D327" s="49">
        <f>E327</f>
        <v>4139.3822000000009</v>
      </c>
      <c r="E327" s="48">
        <f>SUM(I327,K327,M327,O327,Q327,S327,U327,W327,Y327,AA327,AC327,AE327)</f>
        <v>4139.3822000000009</v>
      </c>
      <c r="F327" s="47">
        <f>IFERROR(E327/B327*100,0)</f>
        <v>64.83891372714362</v>
      </c>
      <c r="G327" s="47">
        <f>IFERROR(E327/C327*100,0)</f>
        <v>80.183109768086808</v>
      </c>
      <c r="H327" s="33">
        <v>328.6</v>
      </c>
      <c r="I327" s="33">
        <v>328.6</v>
      </c>
      <c r="J327" s="33">
        <v>685</v>
      </c>
      <c r="K327" s="33">
        <v>685</v>
      </c>
      <c r="L327" s="33">
        <v>731.56</v>
      </c>
      <c r="M327" s="33">
        <v>731.57</v>
      </c>
      <c r="N327" s="33">
        <f>736.01825-74.42</f>
        <v>661.59825000000001</v>
      </c>
      <c r="O327" s="33">
        <v>334.65</v>
      </c>
      <c r="P327" s="33">
        <f>769.2946-355.89</f>
        <v>413.40459999999996</v>
      </c>
      <c r="Q327" s="33">
        <v>413.4</v>
      </c>
      <c r="R327" s="33">
        <v>248.14</v>
      </c>
      <c r="S327" s="33">
        <v>493.36</v>
      </c>
      <c r="T327" s="33"/>
      <c r="U327" s="33"/>
      <c r="V327" s="33"/>
      <c r="W327" s="33"/>
      <c r="X327" s="33">
        <f>532.7027+74.42+355.89-377.757</f>
        <v>585.25569999999993</v>
      </c>
      <c r="Y327" s="33">
        <v>363.12220000000002</v>
      </c>
      <c r="Z327" s="33">
        <f>356.4+774.6961+377.757</f>
        <v>1508.8531</v>
      </c>
      <c r="AA327" s="33">
        <v>789.68</v>
      </c>
      <c r="AB327" s="33">
        <v>662.40909999999997</v>
      </c>
      <c r="AC327" s="33"/>
      <c r="AD327" s="33">
        <f>19.97+539.31096</f>
        <v>559.28096000000005</v>
      </c>
      <c r="AE327" s="33"/>
      <c r="AF327" s="34"/>
      <c r="AG327" s="24">
        <f t="shared" si="33"/>
        <v>0</v>
      </c>
    </row>
    <row r="328" spans="1:42" x14ac:dyDescent="0.3">
      <c r="A328" s="46" t="s">
        <v>31</v>
      </c>
      <c r="B328" s="47"/>
      <c r="C328" s="48"/>
      <c r="D328" s="49"/>
      <c r="E328" s="48"/>
      <c r="F328" s="47"/>
      <c r="G328" s="47"/>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4"/>
      <c r="AG328" s="24">
        <f t="shared" si="33"/>
        <v>0</v>
      </c>
    </row>
    <row r="329" spans="1:42" ht="39.75" customHeight="1" x14ac:dyDescent="0.3">
      <c r="A329" s="30" t="s">
        <v>93</v>
      </c>
      <c r="B329" s="31"/>
      <c r="C329" s="50"/>
      <c r="D329" s="50"/>
      <c r="E329" s="50"/>
      <c r="F329" s="50"/>
      <c r="G329" s="50"/>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39"/>
      <c r="AG329" s="40">
        <f t="shared" si="33"/>
        <v>0</v>
      </c>
      <c r="AH329" s="41"/>
      <c r="AI329" s="41"/>
      <c r="AJ329" s="41"/>
      <c r="AK329" s="41"/>
      <c r="AL329" s="41"/>
      <c r="AM329" s="41"/>
      <c r="AN329" s="41"/>
      <c r="AO329" s="41"/>
      <c r="AP329" s="41"/>
    </row>
    <row r="330" spans="1:42" x14ac:dyDescent="0.3">
      <c r="A330" s="35" t="s">
        <v>27</v>
      </c>
      <c r="B330" s="36">
        <f>B332+B333+B331+B334</f>
        <v>24524.800000000003</v>
      </c>
      <c r="C330" s="36">
        <f>C332+C333+C331+C334</f>
        <v>16345.8</v>
      </c>
      <c r="D330" s="37">
        <f>D332+D333+D331+D334</f>
        <v>16345.8</v>
      </c>
      <c r="E330" s="36">
        <f>E332+E333+E331+E334</f>
        <v>16345.8</v>
      </c>
      <c r="F330" s="36">
        <f>IFERROR(E330/B330*100,0)</f>
        <v>66.650084812108545</v>
      </c>
      <c r="G330" s="36">
        <f>IFERROR(E330/C330*100,0)</f>
        <v>100</v>
      </c>
      <c r="H330" s="36">
        <f t="shared" ref="H330:AE330" si="87">H332+H333+H331+H334</f>
        <v>2144.4</v>
      </c>
      <c r="I330" s="36">
        <f t="shared" si="87"/>
        <v>2144.4</v>
      </c>
      <c r="J330" s="36">
        <f t="shared" si="87"/>
        <v>3268</v>
      </c>
      <c r="K330" s="36">
        <f t="shared" si="87"/>
        <v>3268</v>
      </c>
      <c r="L330" s="36">
        <f t="shared" si="87"/>
        <v>2875</v>
      </c>
      <c r="M330" s="36">
        <f t="shared" si="87"/>
        <v>2875</v>
      </c>
      <c r="N330" s="36">
        <f t="shared" si="87"/>
        <v>2457</v>
      </c>
      <c r="O330" s="36">
        <f t="shared" si="87"/>
        <v>2457</v>
      </c>
      <c r="P330" s="36">
        <f t="shared" si="87"/>
        <v>2698</v>
      </c>
      <c r="Q330" s="36">
        <f t="shared" si="87"/>
        <v>2698</v>
      </c>
      <c r="R330" s="36">
        <f t="shared" si="87"/>
        <v>1321.4</v>
      </c>
      <c r="S330" s="36">
        <f t="shared" si="87"/>
        <v>1321.4</v>
      </c>
      <c r="T330" s="36">
        <f t="shared" si="87"/>
        <v>0</v>
      </c>
      <c r="U330" s="36">
        <f t="shared" si="87"/>
        <v>0</v>
      </c>
      <c r="V330" s="36">
        <f t="shared" si="87"/>
        <v>0</v>
      </c>
      <c r="W330" s="36">
        <f t="shared" si="87"/>
        <v>0</v>
      </c>
      <c r="X330" s="36">
        <f t="shared" si="87"/>
        <v>1582</v>
      </c>
      <c r="Y330" s="36">
        <f t="shared" si="87"/>
        <v>1582</v>
      </c>
      <c r="Z330" s="36">
        <f t="shared" si="87"/>
        <v>2815</v>
      </c>
      <c r="AA330" s="36">
        <f t="shared" si="87"/>
        <v>0</v>
      </c>
      <c r="AB330" s="36">
        <f t="shared" si="87"/>
        <v>2463.6</v>
      </c>
      <c r="AC330" s="36">
        <f t="shared" si="87"/>
        <v>0</v>
      </c>
      <c r="AD330" s="36">
        <f t="shared" si="87"/>
        <v>2900.4</v>
      </c>
      <c r="AE330" s="36">
        <f t="shared" si="87"/>
        <v>0</v>
      </c>
      <c r="AF330" s="39"/>
      <c r="AG330" s="40">
        <f t="shared" si="33"/>
        <v>0</v>
      </c>
      <c r="AH330" s="41"/>
      <c r="AI330" s="41"/>
      <c r="AJ330" s="41"/>
      <c r="AK330" s="41"/>
      <c r="AL330" s="41"/>
      <c r="AM330" s="41"/>
      <c r="AN330" s="41"/>
      <c r="AO330" s="41"/>
      <c r="AP330" s="41"/>
    </row>
    <row r="331" spans="1:42" x14ac:dyDescent="0.3">
      <c r="A331" s="42" t="s">
        <v>28</v>
      </c>
      <c r="B331" s="31">
        <f>J331+L331+N331+P331+R331+T331+V331+X331+Z331+AB331+AD331+H331</f>
        <v>0</v>
      </c>
      <c r="C331" s="43">
        <f>SUM(H331)</f>
        <v>0</v>
      </c>
      <c r="D331" s="44">
        <f>E331</f>
        <v>0</v>
      </c>
      <c r="E331" s="43">
        <f>SUM(I331,K331,M331,O331,Q331,S331,U331,W331,Y331,AA331,AC331,AE331)</f>
        <v>0</v>
      </c>
      <c r="F331" s="31">
        <f>IFERROR(E331/B331*100,0)</f>
        <v>0</v>
      </c>
      <c r="G331" s="31">
        <f>IFERROR(E331/C331*100,0)</f>
        <v>0</v>
      </c>
      <c r="H331" s="45"/>
      <c r="I331" s="45"/>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39"/>
      <c r="AG331" s="40">
        <f t="shared" si="33"/>
        <v>0</v>
      </c>
      <c r="AH331" s="41"/>
      <c r="AI331" s="41"/>
      <c r="AJ331" s="41"/>
      <c r="AK331" s="41"/>
      <c r="AL331" s="41"/>
      <c r="AM331" s="41"/>
      <c r="AN331" s="41"/>
      <c r="AO331" s="41"/>
      <c r="AP331" s="41"/>
    </row>
    <row r="332" spans="1:42" x14ac:dyDescent="0.3">
      <c r="A332" s="42" t="s">
        <v>29</v>
      </c>
      <c r="B332" s="31">
        <f>J332+L332+N332+P332+R332+T332+V332+X332+Z332+AB332+AD332+H332</f>
        <v>0</v>
      </c>
      <c r="C332" s="43">
        <f>SUM(H332)</f>
        <v>0</v>
      </c>
      <c r="D332" s="44">
        <f>E332</f>
        <v>0</v>
      </c>
      <c r="E332" s="43">
        <f>SUM(I332,K332,M332,O332,Q332,S332,U332,W332,Y332,AA332,AC332,AE332)</f>
        <v>0</v>
      </c>
      <c r="F332" s="31">
        <f>IFERROR(E332/B332*100,0)</f>
        <v>0</v>
      </c>
      <c r="G332" s="31">
        <f>IFERROR(E332/C332*100,0)</f>
        <v>0</v>
      </c>
      <c r="H332" s="45"/>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39"/>
      <c r="AG332" s="40">
        <f t="shared" si="33"/>
        <v>0</v>
      </c>
      <c r="AH332" s="41"/>
      <c r="AI332" s="41"/>
      <c r="AJ332" s="41"/>
      <c r="AK332" s="41"/>
      <c r="AL332" s="41"/>
      <c r="AM332" s="41"/>
      <c r="AN332" s="41"/>
      <c r="AO332" s="41"/>
      <c r="AP332" s="41"/>
    </row>
    <row r="333" spans="1:42" x14ac:dyDescent="0.3">
      <c r="A333" s="42" t="s">
        <v>30</v>
      </c>
      <c r="B333" s="31">
        <f>J333+L333+N333+P333+R333+T333+V333+X333+Z333+AB333+AD333+H333</f>
        <v>24524.800000000003</v>
      </c>
      <c r="C333" s="43">
        <f>H333+J333+L333+N333+P333+R333+X333</f>
        <v>16345.8</v>
      </c>
      <c r="D333" s="44">
        <f>E333</f>
        <v>16345.8</v>
      </c>
      <c r="E333" s="43">
        <f>SUM(I333,K333,M333,O333,Q333,S333,U333,W333,Y333,AA333,AC333,AE333)</f>
        <v>16345.8</v>
      </c>
      <c r="F333" s="31">
        <f>IFERROR(E333/B333*100,0)</f>
        <v>66.650084812108545</v>
      </c>
      <c r="G333" s="31">
        <f>IFERROR(E333/C333*100,0)</f>
        <v>100</v>
      </c>
      <c r="H333" s="45">
        <v>2144.4</v>
      </c>
      <c r="I333" s="45">
        <v>2144.4</v>
      </c>
      <c r="J333" s="45">
        <v>3268</v>
      </c>
      <c r="K333" s="45">
        <v>3268</v>
      </c>
      <c r="L333" s="45">
        <v>2875</v>
      </c>
      <c r="M333" s="45">
        <v>2875</v>
      </c>
      <c r="N333" s="45">
        <v>2457</v>
      </c>
      <c r="O333" s="45">
        <v>2457</v>
      </c>
      <c r="P333" s="45">
        <v>2698</v>
      </c>
      <c r="Q333" s="45">
        <v>2698</v>
      </c>
      <c r="R333" s="45">
        <v>1321.4</v>
      </c>
      <c r="S333" s="45">
        <v>1321.4</v>
      </c>
      <c r="T333" s="45"/>
      <c r="U333" s="45"/>
      <c r="V333" s="45">
        <v>0</v>
      </c>
      <c r="W333" s="45"/>
      <c r="X333" s="45">
        <v>1582</v>
      </c>
      <c r="Y333" s="45">
        <v>1582</v>
      </c>
      <c r="Z333" s="45">
        <v>2815</v>
      </c>
      <c r="AA333" s="45"/>
      <c r="AB333" s="45">
        <v>2463.6</v>
      </c>
      <c r="AC333" s="45"/>
      <c r="AD333" s="45">
        <v>2900.4</v>
      </c>
      <c r="AE333" s="45"/>
      <c r="AF333" s="39"/>
      <c r="AG333" s="40">
        <f t="shared" si="33"/>
        <v>0</v>
      </c>
      <c r="AH333" s="41"/>
      <c r="AI333" s="41"/>
      <c r="AJ333" s="41"/>
      <c r="AK333" s="41"/>
      <c r="AL333" s="41"/>
      <c r="AM333" s="41"/>
      <c r="AN333" s="41"/>
      <c r="AO333" s="41"/>
      <c r="AP333" s="41"/>
    </row>
    <row r="334" spans="1:42" x14ac:dyDescent="0.3">
      <c r="A334" s="42" t="s">
        <v>31</v>
      </c>
      <c r="B334" s="31"/>
      <c r="C334" s="43"/>
      <c r="D334" s="44"/>
      <c r="E334" s="43"/>
      <c r="F334" s="31"/>
      <c r="G334" s="31"/>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39"/>
      <c r="AG334" s="40">
        <f t="shared" si="33"/>
        <v>0</v>
      </c>
      <c r="AH334" s="41"/>
      <c r="AI334" s="41"/>
      <c r="AJ334" s="41"/>
      <c r="AK334" s="41"/>
      <c r="AL334" s="41"/>
      <c r="AM334" s="41"/>
      <c r="AN334" s="41"/>
      <c r="AO334" s="41"/>
      <c r="AP334" s="41"/>
    </row>
    <row r="335" spans="1:42" ht="133.5" customHeight="1" x14ac:dyDescent="0.3">
      <c r="A335" s="30" t="s">
        <v>94</v>
      </c>
      <c r="B335" s="31"/>
      <c r="C335" s="50"/>
      <c r="D335" s="50"/>
      <c r="E335" s="50"/>
      <c r="F335" s="50"/>
      <c r="G335" s="50"/>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39"/>
      <c r="AG335" s="40">
        <f t="shared" si="33"/>
        <v>0</v>
      </c>
      <c r="AH335" s="41"/>
      <c r="AI335" s="41"/>
      <c r="AJ335" s="41"/>
      <c r="AK335" s="41"/>
      <c r="AL335" s="41"/>
      <c r="AM335" s="41"/>
      <c r="AN335" s="41"/>
      <c r="AO335" s="41"/>
      <c r="AP335" s="41"/>
    </row>
    <row r="336" spans="1:42" x14ac:dyDescent="0.3">
      <c r="A336" s="35" t="s">
        <v>27</v>
      </c>
      <c r="B336" s="36">
        <f>B338+B339+B337+B340</f>
        <v>154126.00162000002</v>
      </c>
      <c r="C336" s="36">
        <f>C338+C339+C337+C340</f>
        <v>115950.74162000002</v>
      </c>
      <c r="D336" s="37">
        <f>D338+D339+D337+D340</f>
        <v>106433.8089</v>
      </c>
      <c r="E336" s="36">
        <f>E338+E339+E337+E340</f>
        <v>106433.8089</v>
      </c>
      <c r="F336" s="36">
        <f>IFERROR(E336/B336*100,0)</f>
        <v>69.056361536202147</v>
      </c>
      <c r="G336" s="36">
        <f>IFERROR(E336/C336*100,0)</f>
        <v>91.792262311534486</v>
      </c>
      <c r="H336" s="36">
        <f t="shared" ref="H336:AE336" si="88">H338+H339+H337+H340</f>
        <v>10001.5</v>
      </c>
      <c r="I336" s="36">
        <f t="shared" si="88"/>
        <v>3688.7</v>
      </c>
      <c r="J336" s="36">
        <f t="shared" si="88"/>
        <v>18083.64</v>
      </c>
      <c r="K336" s="36">
        <f t="shared" si="88"/>
        <v>18184.400000000001</v>
      </c>
      <c r="L336" s="36">
        <f t="shared" si="88"/>
        <v>17454.57</v>
      </c>
      <c r="M336" s="36">
        <f t="shared" si="88"/>
        <v>18177.84</v>
      </c>
      <c r="N336" s="36">
        <f t="shared" si="88"/>
        <v>15223.52</v>
      </c>
      <c r="O336" s="36">
        <f t="shared" si="88"/>
        <v>10326.040000000001</v>
      </c>
      <c r="P336" s="36">
        <f t="shared" si="88"/>
        <v>19282.55142</v>
      </c>
      <c r="Q336" s="36">
        <f t="shared" si="88"/>
        <v>16585.009999999998</v>
      </c>
      <c r="R336" s="36">
        <f t="shared" si="88"/>
        <v>5263.509</v>
      </c>
      <c r="S336" s="36">
        <f t="shared" si="88"/>
        <v>9116.75</v>
      </c>
      <c r="T336" s="36">
        <f t="shared" si="88"/>
        <v>0</v>
      </c>
      <c r="U336" s="36">
        <f t="shared" si="88"/>
        <v>0</v>
      </c>
      <c r="V336" s="36">
        <f t="shared" si="88"/>
        <v>0</v>
      </c>
      <c r="W336" s="36">
        <f t="shared" si="88"/>
        <v>0</v>
      </c>
      <c r="X336" s="36">
        <f t="shared" si="88"/>
        <v>10953.9912</v>
      </c>
      <c r="Y336" s="36">
        <f t="shared" si="88"/>
        <v>9055.1589000000004</v>
      </c>
      <c r="Z336" s="36">
        <f t="shared" si="88"/>
        <v>19687.46</v>
      </c>
      <c r="AA336" s="36">
        <f t="shared" si="88"/>
        <v>21299.91</v>
      </c>
      <c r="AB336" s="36">
        <f t="shared" si="88"/>
        <v>18829.32</v>
      </c>
      <c r="AC336" s="36">
        <f t="shared" si="88"/>
        <v>0</v>
      </c>
      <c r="AD336" s="36">
        <f t="shared" si="88"/>
        <v>19345.939999999999</v>
      </c>
      <c r="AE336" s="36">
        <f t="shared" si="88"/>
        <v>0</v>
      </c>
      <c r="AF336" s="39"/>
      <c r="AG336" s="40">
        <f t="shared" si="33"/>
        <v>0</v>
      </c>
      <c r="AH336" s="41"/>
      <c r="AI336" s="41"/>
      <c r="AJ336" s="41"/>
      <c r="AK336" s="41"/>
      <c r="AL336" s="41"/>
      <c r="AM336" s="41"/>
      <c r="AN336" s="41"/>
      <c r="AO336" s="41"/>
      <c r="AP336" s="41"/>
    </row>
    <row r="337" spans="1:42" x14ac:dyDescent="0.3">
      <c r="A337" s="42" t="s">
        <v>28</v>
      </c>
      <c r="B337" s="31">
        <f>J337+L337+N337+P337+R337+T337+V337+X337+Z337+AB337+AD337+H337</f>
        <v>0</v>
      </c>
      <c r="C337" s="43">
        <f>SUM(H337)</f>
        <v>0</v>
      </c>
      <c r="D337" s="44">
        <f>E337</f>
        <v>0</v>
      </c>
      <c r="E337" s="43">
        <f>SUM(I337,K337,M337,O337,Q337,S337,U337,W337,Y337,AA337,AC337,AE337)</f>
        <v>0</v>
      </c>
      <c r="F337" s="31">
        <f>IFERROR(E337/B337*100,0)</f>
        <v>0</v>
      </c>
      <c r="G337" s="31">
        <f>IFERROR(E337/C337*100,0)</f>
        <v>0</v>
      </c>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39"/>
      <c r="AG337" s="40">
        <f t="shared" si="33"/>
        <v>0</v>
      </c>
      <c r="AH337" s="41"/>
      <c r="AI337" s="41"/>
      <c r="AJ337" s="41"/>
      <c r="AK337" s="41"/>
      <c r="AL337" s="41"/>
      <c r="AM337" s="41"/>
      <c r="AN337" s="41"/>
      <c r="AO337" s="41"/>
      <c r="AP337" s="41"/>
    </row>
    <row r="338" spans="1:42" s="103" customFormat="1" ht="36" customHeight="1" x14ac:dyDescent="0.3">
      <c r="A338" s="42" t="s">
        <v>29</v>
      </c>
      <c r="B338" s="31">
        <f>J338+L338+N338+P338+R338+T338+V338+X338+Z338+AB338+AD338+H338</f>
        <v>154126.00162000002</v>
      </c>
      <c r="C338" s="43">
        <f>H338+J338+L338+N338+P338+R338+X338+Z338</f>
        <v>115950.74162000002</v>
      </c>
      <c r="D338" s="44">
        <f>E338</f>
        <v>106433.8089</v>
      </c>
      <c r="E338" s="43">
        <f>SUM(I338,K338,M338,O338,Q338,S338,U338,W338,Y338,AA338,AC338,AE338)</f>
        <v>106433.8089</v>
      </c>
      <c r="F338" s="31">
        <f>IFERROR(E338/B338*100,0)</f>
        <v>69.056361536202147</v>
      </c>
      <c r="G338" s="31">
        <f>IFERROR(E338/C338*100,0)</f>
        <v>91.792262311534486</v>
      </c>
      <c r="H338" s="45">
        <v>10001.5</v>
      </c>
      <c r="I338" s="45">
        <v>3688.7</v>
      </c>
      <c r="J338" s="45">
        <v>18083.64</v>
      </c>
      <c r="K338" s="45">
        <v>18184.400000000001</v>
      </c>
      <c r="L338" s="45">
        <v>17454.57</v>
      </c>
      <c r="M338" s="45">
        <v>18177.84</v>
      </c>
      <c r="N338" s="45">
        <v>15223.52</v>
      </c>
      <c r="O338" s="45">
        <v>10326.040000000001</v>
      </c>
      <c r="P338" s="45">
        <v>19282.55142</v>
      </c>
      <c r="Q338" s="45">
        <v>16585.009999999998</v>
      </c>
      <c r="R338" s="45">
        <v>5263.509</v>
      </c>
      <c r="S338" s="45">
        <v>9116.75</v>
      </c>
      <c r="T338" s="45">
        <v>0</v>
      </c>
      <c r="U338" s="45"/>
      <c r="V338" s="45"/>
      <c r="W338" s="45"/>
      <c r="X338" s="45">
        <f>10953.995-2082.99+2082.9862</f>
        <v>10953.9912</v>
      </c>
      <c r="Y338" s="45">
        <v>9055.1589000000004</v>
      </c>
      <c r="Z338" s="45">
        <v>19687.46</v>
      </c>
      <c r="AA338" s="45">
        <v>21299.91</v>
      </c>
      <c r="AB338" s="45">
        <v>18829.32</v>
      </c>
      <c r="AC338" s="45"/>
      <c r="AD338" s="45">
        <v>19345.939999999999</v>
      </c>
      <c r="AE338" s="45"/>
      <c r="AF338" s="85" t="s">
        <v>95</v>
      </c>
      <c r="AG338" s="40">
        <f t="shared" si="33"/>
        <v>0</v>
      </c>
      <c r="AH338" s="86">
        <f>C338-E338</f>
        <v>9516.9327200000116</v>
      </c>
      <c r="AI338" s="41"/>
      <c r="AJ338" s="41"/>
      <c r="AK338" s="41"/>
      <c r="AL338" s="41"/>
      <c r="AM338" s="41"/>
      <c r="AN338" s="41"/>
      <c r="AO338" s="41"/>
      <c r="AP338" s="41"/>
    </row>
    <row r="339" spans="1:42" x14ac:dyDescent="0.3">
      <c r="A339" s="46" t="s">
        <v>30</v>
      </c>
      <c r="B339" s="31">
        <f>J339+L339+N339+P339+R339+T339+V339+X339+Z339+AB339+AD339+H339</f>
        <v>0</v>
      </c>
      <c r="C339" s="48">
        <f>SUM(H339)</f>
        <v>0</v>
      </c>
      <c r="D339" s="49">
        <f>E339</f>
        <v>0</v>
      </c>
      <c r="E339" s="48">
        <f>SUM(I339,K339,M339,O339,Q339,S339,U339,W339,Y339,AA339,AC339,AE339)</f>
        <v>0</v>
      </c>
      <c r="F339" s="47">
        <f>IFERROR(E339/B339*100,0)</f>
        <v>0</v>
      </c>
      <c r="G339" s="47">
        <f>IFERROR(E339/C339*100,0)</f>
        <v>0</v>
      </c>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4"/>
      <c r="AG339" s="24">
        <f t="shared" si="33"/>
        <v>0</v>
      </c>
    </row>
    <row r="340" spans="1:42" x14ac:dyDescent="0.3">
      <c r="A340" s="46" t="s">
        <v>31</v>
      </c>
      <c r="B340" s="47"/>
      <c r="C340" s="48"/>
      <c r="D340" s="49"/>
      <c r="E340" s="48"/>
      <c r="F340" s="47"/>
      <c r="G340" s="47"/>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4"/>
      <c r="AG340" s="24">
        <f t="shared" si="33"/>
        <v>0</v>
      </c>
    </row>
    <row r="341" spans="1:42" ht="50.25" customHeight="1" x14ac:dyDescent="0.3">
      <c r="A341" s="20" t="s">
        <v>96</v>
      </c>
      <c r="B341" s="96"/>
      <c r="C341" s="97"/>
      <c r="D341" s="97"/>
      <c r="E341" s="97"/>
      <c r="F341" s="97"/>
      <c r="G341" s="97"/>
      <c r="H341" s="96"/>
      <c r="I341" s="96"/>
      <c r="J341" s="96"/>
      <c r="K341" s="96"/>
      <c r="L341" s="96"/>
      <c r="M341" s="96"/>
      <c r="N341" s="96"/>
      <c r="O341" s="96"/>
      <c r="P341" s="96"/>
      <c r="Q341" s="96"/>
      <c r="R341" s="96"/>
      <c r="S341" s="96"/>
      <c r="T341" s="96"/>
      <c r="U341" s="96"/>
      <c r="V341" s="96"/>
      <c r="W341" s="96"/>
      <c r="X341" s="96"/>
      <c r="Y341" s="96"/>
      <c r="Z341" s="96"/>
      <c r="AA341" s="96"/>
      <c r="AB341" s="96"/>
      <c r="AC341" s="96"/>
      <c r="AD341" s="96"/>
      <c r="AE341" s="96"/>
      <c r="AF341" s="23"/>
      <c r="AG341" s="24">
        <f t="shared" si="33"/>
        <v>0</v>
      </c>
    </row>
    <row r="342" spans="1:42" x14ac:dyDescent="0.3">
      <c r="A342" s="98" t="s">
        <v>27</v>
      </c>
      <c r="B342" s="26">
        <f>B343+B344+B345+B346</f>
        <v>4534.2</v>
      </c>
      <c r="C342" s="26">
        <f>C343+C344+C345+C346</f>
        <v>2189</v>
      </c>
      <c r="D342" s="26">
        <f>D343+D344+D345+D346</f>
        <v>2189</v>
      </c>
      <c r="E342" s="26">
        <f>E343+E344+E345+E346</f>
        <v>2189</v>
      </c>
      <c r="F342" s="29">
        <f>IFERROR(E342/B342*100,0)</f>
        <v>48.2775351770985</v>
      </c>
      <c r="G342" s="29">
        <f>IFERROR(E342/C342*100,0)</f>
        <v>100</v>
      </c>
      <c r="H342" s="26">
        <f t="shared" ref="H342:AE342" si="89">H343+H344+H345+H346</f>
        <v>0</v>
      </c>
      <c r="I342" s="26">
        <f t="shared" si="89"/>
        <v>0</v>
      </c>
      <c r="J342" s="26">
        <f t="shared" si="89"/>
        <v>0</v>
      </c>
      <c r="K342" s="26">
        <f t="shared" si="89"/>
        <v>0</v>
      </c>
      <c r="L342" s="26">
        <f t="shared" si="89"/>
        <v>1829</v>
      </c>
      <c r="M342" s="26">
        <f t="shared" si="89"/>
        <v>824</v>
      </c>
      <c r="N342" s="26">
        <f t="shared" si="89"/>
        <v>0</v>
      </c>
      <c r="O342" s="26">
        <f t="shared" si="89"/>
        <v>725</v>
      </c>
      <c r="P342" s="26">
        <f t="shared" si="89"/>
        <v>0</v>
      </c>
      <c r="Q342" s="26">
        <f t="shared" si="89"/>
        <v>0</v>
      </c>
      <c r="R342" s="26">
        <f t="shared" si="89"/>
        <v>0</v>
      </c>
      <c r="S342" s="26">
        <f t="shared" si="89"/>
        <v>0</v>
      </c>
      <c r="T342" s="26">
        <f t="shared" si="89"/>
        <v>0</v>
      </c>
      <c r="U342" s="26">
        <f t="shared" si="89"/>
        <v>0</v>
      </c>
      <c r="V342" s="26">
        <f t="shared" si="89"/>
        <v>360</v>
      </c>
      <c r="W342" s="26">
        <f t="shared" si="89"/>
        <v>360</v>
      </c>
      <c r="X342" s="26">
        <f t="shared" si="89"/>
        <v>0</v>
      </c>
      <c r="Y342" s="26">
        <f t="shared" si="89"/>
        <v>280</v>
      </c>
      <c r="Z342" s="26">
        <f t="shared" si="89"/>
        <v>0</v>
      </c>
      <c r="AA342" s="26">
        <f t="shared" si="89"/>
        <v>0</v>
      </c>
      <c r="AB342" s="26">
        <f t="shared" si="89"/>
        <v>0</v>
      </c>
      <c r="AC342" s="26">
        <f t="shared" si="89"/>
        <v>0</v>
      </c>
      <c r="AD342" s="26">
        <f t="shared" si="89"/>
        <v>2345.1999999999998</v>
      </c>
      <c r="AE342" s="26">
        <f t="shared" si="89"/>
        <v>0</v>
      </c>
      <c r="AF342" s="23"/>
      <c r="AG342" s="24">
        <f t="shared" si="33"/>
        <v>0</v>
      </c>
    </row>
    <row r="343" spans="1:42" x14ac:dyDescent="0.3">
      <c r="A343" s="99" t="s">
        <v>28</v>
      </c>
      <c r="B343" s="29">
        <f t="shared" ref="B343:E346" si="90">B349+B355</f>
        <v>0</v>
      </c>
      <c r="C343" s="29">
        <f>C349+C355</f>
        <v>0</v>
      </c>
      <c r="D343" s="29">
        <f t="shared" si="90"/>
        <v>0</v>
      </c>
      <c r="E343" s="29">
        <f t="shared" si="90"/>
        <v>0</v>
      </c>
      <c r="F343" s="29"/>
      <c r="G343" s="29"/>
      <c r="H343" s="29">
        <f t="shared" ref="H343:AE346" si="91">H349+H355</f>
        <v>0</v>
      </c>
      <c r="I343" s="29">
        <f t="shared" si="91"/>
        <v>0</v>
      </c>
      <c r="J343" s="29">
        <f t="shared" si="91"/>
        <v>0</v>
      </c>
      <c r="K343" s="29">
        <f t="shared" si="91"/>
        <v>0</v>
      </c>
      <c r="L343" s="29">
        <f t="shared" si="91"/>
        <v>0</v>
      </c>
      <c r="M343" s="29">
        <f t="shared" si="91"/>
        <v>0</v>
      </c>
      <c r="N343" s="29">
        <f t="shared" si="91"/>
        <v>0</v>
      </c>
      <c r="O343" s="29">
        <f t="shared" si="91"/>
        <v>0</v>
      </c>
      <c r="P343" s="29">
        <f t="shared" si="91"/>
        <v>0</v>
      </c>
      <c r="Q343" s="29">
        <f t="shared" si="91"/>
        <v>0</v>
      </c>
      <c r="R343" s="29">
        <f t="shared" si="91"/>
        <v>0</v>
      </c>
      <c r="S343" s="29">
        <f t="shared" si="91"/>
        <v>0</v>
      </c>
      <c r="T343" s="29">
        <f t="shared" si="91"/>
        <v>0</v>
      </c>
      <c r="U343" s="29">
        <f t="shared" si="91"/>
        <v>0</v>
      </c>
      <c r="V343" s="29">
        <f t="shared" si="91"/>
        <v>0</v>
      </c>
      <c r="W343" s="29">
        <f t="shared" si="91"/>
        <v>0</v>
      </c>
      <c r="X343" s="29">
        <f t="shared" si="91"/>
        <v>0</v>
      </c>
      <c r="Y343" s="29">
        <f>Y349+Y355</f>
        <v>0</v>
      </c>
      <c r="Z343" s="29">
        <f t="shared" ref="Z343:AE343" si="92">Z349+Z355</f>
        <v>0</v>
      </c>
      <c r="AA343" s="29">
        <f t="shared" si="92"/>
        <v>0</v>
      </c>
      <c r="AB343" s="29">
        <f t="shared" si="92"/>
        <v>0</v>
      </c>
      <c r="AC343" s="29">
        <f t="shared" si="92"/>
        <v>0</v>
      </c>
      <c r="AD343" s="29">
        <f t="shared" si="92"/>
        <v>0</v>
      </c>
      <c r="AE343" s="29">
        <f t="shared" si="92"/>
        <v>0</v>
      </c>
      <c r="AF343" s="23"/>
      <c r="AG343" s="24">
        <f t="shared" si="33"/>
        <v>0</v>
      </c>
    </row>
    <row r="344" spans="1:42" x14ac:dyDescent="0.3">
      <c r="A344" s="99" t="s">
        <v>29</v>
      </c>
      <c r="B344" s="29">
        <f t="shared" si="90"/>
        <v>2189</v>
      </c>
      <c r="C344" s="29">
        <f>C350+C356</f>
        <v>2189</v>
      </c>
      <c r="D344" s="29">
        <f t="shared" si="90"/>
        <v>2189</v>
      </c>
      <c r="E344" s="29">
        <f t="shared" si="90"/>
        <v>2189</v>
      </c>
      <c r="F344" s="29"/>
      <c r="G344" s="29"/>
      <c r="H344" s="29">
        <f t="shared" si="91"/>
        <v>0</v>
      </c>
      <c r="I344" s="29">
        <f t="shared" si="91"/>
        <v>0</v>
      </c>
      <c r="J344" s="29">
        <f t="shared" si="91"/>
        <v>0</v>
      </c>
      <c r="K344" s="29">
        <f t="shared" si="91"/>
        <v>0</v>
      </c>
      <c r="L344" s="29">
        <f t="shared" si="91"/>
        <v>1829</v>
      </c>
      <c r="M344" s="29">
        <f t="shared" si="91"/>
        <v>824</v>
      </c>
      <c r="N344" s="29">
        <f t="shared" si="91"/>
        <v>0</v>
      </c>
      <c r="O344" s="29">
        <f t="shared" si="91"/>
        <v>725</v>
      </c>
      <c r="P344" s="29">
        <f t="shared" si="91"/>
        <v>0</v>
      </c>
      <c r="Q344" s="29">
        <f t="shared" si="91"/>
        <v>0</v>
      </c>
      <c r="R344" s="29">
        <f t="shared" si="91"/>
        <v>0</v>
      </c>
      <c r="S344" s="29">
        <f t="shared" si="91"/>
        <v>0</v>
      </c>
      <c r="T344" s="29">
        <f t="shared" si="91"/>
        <v>0</v>
      </c>
      <c r="U344" s="29">
        <f t="shared" si="91"/>
        <v>0</v>
      </c>
      <c r="V344" s="29">
        <f t="shared" si="91"/>
        <v>360</v>
      </c>
      <c r="W344" s="29">
        <f t="shared" si="91"/>
        <v>360</v>
      </c>
      <c r="X344" s="29">
        <f t="shared" si="91"/>
        <v>0</v>
      </c>
      <c r="Y344" s="29">
        <f t="shared" si="91"/>
        <v>280</v>
      </c>
      <c r="Z344" s="29">
        <f t="shared" si="91"/>
        <v>0</v>
      </c>
      <c r="AA344" s="29">
        <f t="shared" si="91"/>
        <v>0</v>
      </c>
      <c r="AB344" s="29">
        <f t="shared" si="91"/>
        <v>0</v>
      </c>
      <c r="AC344" s="29">
        <f t="shared" si="91"/>
        <v>0</v>
      </c>
      <c r="AD344" s="29">
        <f t="shared" si="91"/>
        <v>0</v>
      </c>
      <c r="AE344" s="29">
        <f t="shared" si="91"/>
        <v>0</v>
      </c>
      <c r="AF344" s="23"/>
      <c r="AG344" s="24">
        <f t="shared" si="33"/>
        <v>0</v>
      </c>
    </row>
    <row r="345" spans="1:42" x14ac:dyDescent="0.3">
      <c r="A345" s="99" t="s">
        <v>30</v>
      </c>
      <c r="B345" s="29">
        <f t="shared" si="90"/>
        <v>2345.1999999999998</v>
      </c>
      <c r="C345" s="29">
        <f t="shared" si="90"/>
        <v>0</v>
      </c>
      <c r="D345" s="29">
        <f t="shared" si="90"/>
        <v>0</v>
      </c>
      <c r="E345" s="29">
        <f t="shared" si="90"/>
        <v>0</v>
      </c>
      <c r="F345" s="29">
        <f>IFERROR(E345/B345*100,0)</f>
        <v>0</v>
      </c>
      <c r="G345" s="29">
        <f>IFERROR(E345/C345*100,0)</f>
        <v>0</v>
      </c>
      <c r="H345" s="29">
        <f t="shared" si="91"/>
        <v>0</v>
      </c>
      <c r="I345" s="29">
        <f t="shared" si="91"/>
        <v>0</v>
      </c>
      <c r="J345" s="29">
        <f t="shared" si="91"/>
        <v>0</v>
      </c>
      <c r="K345" s="29">
        <f t="shared" si="91"/>
        <v>0</v>
      </c>
      <c r="L345" s="29">
        <f t="shared" si="91"/>
        <v>0</v>
      </c>
      <c r="M345" s="29">
        <f t="shared" si="91"/>
        <v>0</v>
      </c>
      <c r="N345" s="29">
        <f t="shared" si="91"/>
        <v>0</v>
      </c>
      <c r="O345" s="29">
        <f t="shared" si="91"/>
        <v>0</v>
      </c>
      <c r="P345" s="29">
        <f t="shared" si="91"/>
        <v>0</v>
      </c>
      <c r="Q345" s="29">
        <f t="shared" si="91"/>
        <v>0</v>
      </c>
      <c r="R345" s="29">
        <f t="shared" si="91"/>
        <v>0</v>
      </c>
      <c r="S345" s="29">
        <f t="shared" si="91"/>
        <v>0</v>
      </c>
      <c r="T345" s="29">
        <f t="shared" si="91"/>
        <v>0</v>
      </c>
      <c r="U345" s="29">
        <f t="shared" si="91"/>
        <v>0</v>
      </c>
      <c r="V345" s="29">
        <f t="shared" si="91"/>
        <v>0</v>
      </c>
      <c r="W345" s="29">
        <f t="shared" si="91"/>
        <v>0</v>
      </c>
      <c r="X345" s="29">
        <f t="shared" si="91"/>
        <v>0</v>
      </c>
      <c r="Y345" s="29">
        <f t="shared" si="91"/>
        <v>0</v>
      </c>
      <c r="Z345" s="29">
        <f t="shared" si="91"/>
        <v>0</v>
      </c>
      <c r="AA345" s="29">
        <f t="shared" si="91"/>
        <v>0</v>
      </c>
      <c r="AB345" s="29">
        <f t="shared" si="91"/>
        <v>0</v>
      </c>
      <c r="AC345" s="29">
        <f t="shared" si="91"/>
        <v>0</v>
      </c>
      <c r="AD345" s="29">
        <f t="shared" si="91"/>
        <v>2345.1999999999998</v>
      </c>
      <c r="AE345" s="29">
        <f t="shared" si="91"/>
        <v>0</v>
      </c>
      <c r="AF345" s="23"/>
      <c r="AG345" s="24">
        <f t="shared" si="33"/>
        <v>0</v>
      </c>
    </row>
    <row r="346" spans="1:42" x14ac:dyDescent="0.3">
      <c r="A346" s="99" t="s">
        <v>31</v>
      </c>
      <c r="B346" s="29">
        <f t="shared" si="90"/>
        <v>0</v>
      </c>
      <c r="C346" s="29">
        <f t="shared" si="90"/>
        <v>0</v>
      </c>
      <c r="D346" s="29">
        <f t="shared" si="90"/>
        <v>0</v>
      </c>
      <c r="E346" s="29">
        <f t="shared" si="90"/>
        <v>0</v>
      </c>
      <c r="F346" s="29"/>
      <c r="G346" s="29"/>
      <c r="H346" s="29">
        <f t="shared" si="91"/>
        <v>0</v>
      </c>
      <c r="I346" s="29">
        <f t="shared" si="91"/>
        <v>0</v>
      </c>
      <c r="J346" s="29">
        <f t="shared" si="91"/>
        <v>0</v>
      </c>
      <c r="K346" s="29">
        <f t="shared" si="91"/>
        <v>0</v>
      </c>
      <c r="L346" s="29">
        <f t="shared" si="91"/>
        <v>0</v>
      </c>
      <c r="M346" s="29">
        <f t="shared" si="91"/>
        <v>0</v>
      </c>
      <c r="N346" s="29">
        <f t="shared" si="91"/>
        <v>0</v>
      </c>
      <c r="O346" s="29">
        <f t="shared" si="91"/>
        <v>0</v>
      </c>
      <c r="P346" s="29">
        <f t="shared" si="91"/>
        <v>0</v>
      </c>
      <c r="Q346" s="29">
        <f t="shared" si="91"/>
        <v>0</v>
      </c>
      <c r="R346" s="29">
        <f t="shared" si="91"/>
        <v>0</v>
      </c>
      <c r="S346" s="29">
        <f t="shared" si="91"/>
        <v>0</v>
      </c>
      <c r="T346" s="29">
        <f t="shared" si="91"/>
        <v>0</v>
      </c>
      <c r="U346" s="29">
        <f t="shared" si="91"/>
        <v>0</v>
      </c>
      <c r="V346" s="29">
        <f t="shared" si="91"/>
        <v>0</v>
      </c>
      <c r="W346" s="29">
        <f t="shared" si="91"/>
        <v>0</v>
      </c>
      <c r="X346" s="29">
        <f t="shared" si="91"/>
        <v>0</v>
      </c>
      <c r="Y346" s="29">
        <f t="shared" si="91"/>
        <v>0</v>
      </c>
      <c r="Z346" s="29">
        <f t="shared" si="91"/>
        <v>0</v>
      </c>
      <c r="AA346" s="29">
        <f t="shared" si="91"/>
        <v>0</v>
      </c>
      <c r="AB346" s="29">
        <f t="shared" si="91"/>
        <v>0</v>
      </c>
      <c r="AC346" s="29">
        <f t="shared" si="91"/>
        <v>0</v>
      </c>
      <c r="AD346" s="29">
        <f t="shared" si="91"/>
        <v>0</v>
      </c>
      <c r="AE346" s="29">
        <f t="shared" si="91"/>
        <v>0</v>
      </c>
      <c r="AF346" s="23"/>
      <c r="AG346" s="24">
        <f t="shared" si="33"/>
        <v>0</v>
      </c>
    </row>
    <row r="347" spans="1:42" ht="40.5" customHeight="1" x14ac:dyDescent="0.3">
      <c r="A347" s="30" t="s">
        <v>97</v>
      </c>
      <c r="B347" s="91"/>
      <c r="C347" s="32"/>
      <c r="D347" s="32"/>
      <c r="E347" s="32"/>
      <c r="F347" s="32"/>
      <c r="G347" s="32"/>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4"/>
      <c r="AG347" s="24">
        <f t="shared" si="33"/>
        <v>0</v>
      </c>
    </row>
    <row r="348" spans="1:42" x14ac:dyDescent="0.3">
      <c r="A348" s="71" t="s">
        <v>27</v>
      </c>
      <c r="B348" s="70">
        <f>B350+B351+B349+B352</f>
        <v>2189</v>
      </c>
      <c r="C348" s="70">
        <f>C350+C351+C349+C352</f>
        <v>2189</v>
      </c>
      <c r="D348" s="92">
        <f>D350+D351+D349+D352</f>
        <v>2189</v>
      </c>
      <c r="E348" s="70">
        <f>E350+E351+E349+E352</f>
        <v>2189</v>
      </c>
      <c r="F348" s="70">
        <f>IFERROR(E348/B348*100,0)</f>
        <v>100</v>
      </c>
      <c r="G348" s="70">
        <f>IFERROR(E348/C348*100,0)</f>
        <v>100</v>
      </c>
      <c r="H348" s="70">
        <f t="shared" ref="H348:AE348" si="93">H350+H351+H349+H352</f>
        <v>0</v>
      </c>
      <c r="I348" s="70">
        <f t="shared" si="93"/>
        <v>0</v>
      </c>
      <c r="J348" s="70">
        <f t="shared" si="93"/>
        <v>0</v>
      </c>
      <c r="K348" s="70">
        <f t="shared" si="93"/>
        <v>0</v>
      </c>
      <c r="L348" s="70">
        <f t="shared" si="93"/>
        <v>1829</v>
      </c>
      <c r="M348" s="70">
        <f t="shared" si="93"/>
        <v>824</v>
      </c>
      <c r="N348" s="70">
        <f t="shared" si="93"/>
        <v>0</v>
      </c>
      <c r="O348" s="70">
        <f t="shared" si="93"/>
        <v>725</v>
      </c>
      <c r="P348" s="70">
        <f t="shared" si="93"/>
        <v>0</v>
      </c>
      <c r="Q348" s="70">
        <f t="shared" si="93"/>
        <v>0</v>
      </c>
      <c r="R348" s="70">
        <f t="shared" si="93"/>
        <v>0</v>
      </c>
      <c r="S348" s="70">
        <f t="shared" si="93"/>
        <v>0</v>
      </c>
      <c r="T348" s="70">
        <f t="shared" si="93"/>
        <v>0</v>
      </c>
      <c r="U348" s="70">
        <f t="shared" si="93"/>
        <v>0</v>
      </c>
      <c r="V348" s="70">
        <f t="shared" si="93"/>
        <v>360</v>
      </c>
      <c r="W348" s="70">
        <f t="shared" si="93"/>
        <v>360</v>
      </c>
      <c r="X348" s="70">
        <f t="shared" si="93"/>
        <v>0</v>
      </c>
      <c r="Y348" s="70">
        <f t="shared" si="93"/>
        <v>280</v>
      </c>
      <c r="Z348" s="70">
        <f t="shared" si="93"/>
        <v>0</v>
      </c>
      <c r="AA348" s="70">
        <f t="shared" si="93"/>
        <v>0</v>
      </c>
      <c r="AB348" s="70">
        <f t="shared" si="93"/>
        <v>0</v>
      </c>
      <c r="AC348" s="70">
        <f t="shared" si="93"/>
        <v>0</v>
      </c>
      <c r="AD348" s="70">
        <f t="shared" si="93"/>
        <v>0</v>
      </c>
      <c r="AE348" s="70">
        <f t="shared" si="93"/>
        <v>0</v>
      </c>
      <c r="AF348" s="34"/>
      <c r="AG348" s="24">
        <f t="shared" si="33"/>
        <v>0</v>
      </c>
    </row>
    <row r="349" spans="1:42" x14ac:dyDescent="0.3">
      <c r="A349" s="46" t="s">
        <v>28</v>
      </c>
      <c r="B349" s="47">
        <f>J349+L349+N349+P349+R349+T349+V349+X349+Z349+AB349+AD349+H349</f>
        <v>0</v>
      </c>
      <c r="C349" s="48">
        <f>SUM(H349)</f>
        <v>0</v>
      </c>
      <c r="D349" s="49">
        <f>E349</f>
        <v>0</v>
      </c>
      <c r="E349" s="48">
        <f>SUM(I349,K349,M349,O349,Q349,S349,U349,W349,Y349,AA349,AC349,AE349)</f>
        <v>0</v>
      </c>
      <c r="F349" s="47">
        <f>IFERROR(E349/B349*100,0)</f>
        <v>0</v>
      </c>
      <c r="G349" s="47">
        <f>IFERROR(E349/C349*100,0)</f>
        <v>0</v>
      </c>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4"/>
      <c r="AG349" s="24">
        <f t="shared" si="33"/>
        <v>0</v>
      </c>
    </row>
    <row r="350" spans="1:42" x14ac:dyDescent="0.3">
      <c r="A350" s="46" t="s">
        <v>29</v>
      </c>
      <c r="B350" s="31">
        <f>J350+L350+N350+P350+R350+T350+V350+X350+Z350+AB350+AD350+H350</f>
        <v>2189</v>
      </c>
      <c r="C350" s="48">
        <f>H350+J350+L350+N350+V350</f>
        <v>2189</v>
      </c>
      <c r="D350" s="49">
        <f>E350</f>
        <v>2189</v>
      </c>
      <c r="E350" s="48">
        <f>SUM(I350,K350,M350,O350,Q350,S350,U350,W350,Y350,AA350,AC350,AE350)</f>
        <v>2189</v>
      </c>
      <c r="F350" s="47">
        <f>IFERROR(E350/B350*100,0)</f>
        <v>100</v>
      </c>
      <c r="G350" s="47">
        <f>IFERROR(E350/C350*100,0)</f>
        <v>100</v>
      </c>
      <c r="H350" s="33"/>
      <c r="I350" s="33"/>
      <c r="J350" s="33"/>
      <c r="K350" s="33"/>
      <c r="L350" s="33">
        <v>1829</v>
      </c>
      <c r="M350" s="33">
        <v>824</v>
      </c>
      <c r="N350" s="33"/>
      <c r="O350" s="33">
        <v>725</v>
      </c>
      <c r="P350" s="33"/>
      <c r="Q350" s="33"/>
      <c r="R350" s="33"/>
      <c r="S350" s="33"/>
      <c r="T350" s="33"/>
      <c r="U350" s="33"/>
      <c r="V350" s="33">
        <v>360</v>
      </c>
      <c r="W350" s="33">
        <v>360</v>
      </c>
      <c r="X350" s="33"/>
      <c r="Y350" s="33">
        <v>280</v>
      </c>
      <c r="Z350" s="33"/>
      <c r="AA350" s="33"/>
      <c r="AB350" s="33"/>
      <c r="AC350" s="33"/>
      <c r="AD350" s="33"/>
      <c r="AE350" s="33"/>
      <c r="AF350" s="34"/>
      <c r="AG350" s="24">
        <f t="shared" si="33"/>
        <v>0</v>
      </c>
    </row>
    <row r="351" spans="1:42" x14ac:dyDescent="0.3">
      <c r="A351" s="46" t="s">
        <v>30</v>
      </c>
      <c r="B351" s="47">
        <f>J351+L351+N351+P351+R351+T351+V351+X351+Z351+AB351+AD351+H351</f>
        <v>0</v>
      </c>
      <c r="C351" s="48">
        <f>SUM(H351)</f>
        <v>0</v>
      </c>
      <c r="D351" s="49">
        <f>E351</f>
        <v>0</v>
      </c>
      <c r="E351" s="48">
        <f>SUM(I351,K351,M351,O351,Q351,S351,U351,W351,Y351,AA351,AC351,AE351)</f>
        <v>0</v>
      </c>
      <c r="F351" s="47">
        <f>IFERROR(E351/B351*100,0)</f>
        <v>0</v>
      </c>
      <c r="G351" s="47">
        <f>IFERROR(E351/C351*100,0)</f>
        <v>0</v>
      </c>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4"/>
      <c r="AG351" s="24">
        <f t="shared" si="33"/>
        <v>0</v>
      </c>
    </row>
    <row r="352" spans="1:42" x14ac:dyDescent="0.3">
      <c r="A352" s="46" t="s">
        <v>31</v>
      </c>
      <c r="B352" s="47"/>
      <c r="C352" s="48"/>
      <c r="D352" s="49"/>
      <c r="E352" s="48"/>
      <c r="F352" s="47"/>
      <c r="G352" s="47"/>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4"/>
      <c r="AG352" s="24">
        <f t="shared" si="33"/>
        <v>0</v>
      </c>
    </row>
    <row r="353" spans="1:33" ht="40.5" customHeight="1" x14ac:dyDescent="0.3">
      <c r="A353" s="30" t="s">
        <v>98</v>
      </c>
      <c r="B353" s="91"/>
      <c r="C353" s="32"/>
      <c r="D353" s="32"/>
      <c r="E353" s="32"/>
      <c r="F353" s="32"/>
      <c r="G353" s="32"/>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4"/>
      <c r="AG353" s="24">
        <f t="shared" si="33"/>
        <v>0</v>
      </c>
    </row>
    <row r="354" spans="1:33" x14ac:dyDescent="0.3">
      <c r="A354" s="71" t="s">
        <v>27</v>
      </c>
      <c r="B354" s="70">
        <f>B356+B357+B355+B358</f>
        <v>2345.1999999999998</v>
      </c>
      <c r="C354" s="70">
        <f>C356+C357+C355+C358</f>
        <v>0</v>
      </c>
      <c r="D354" s="92">
        <f>D356+D357+D355+D358</f>
        <v>0</v>
      </c>
      <c r="E354" s="70">
        <f>E356+E357+E355+E358</f>
        <v>0</v>
      </c>
      <c r="F354" s="70">
        <f>IFERROR(E354/B354*100,0)</f>
        <v>0</v>
      </c>
      <c r="G354" s="70">
        <f>IFERROR(E354/C354*100,0)</f>
        <v>0</v>
      </c>
      <c r="H354" s="70">
        <f t="shared" ref="H354:AE354" si="94">H356+H357+H355+H358</f>
        <v>0</v>
      </c>
      <c r="I354" s="70">
        <f t="shared" si="94"/>
        <v>0</v>
      </c>
      <c r="J354" s="70">
        <f t="shared" si="94"/>
        <v>0</v>
      </c>
      <c r="K354" s="70">
        <f t="shared" si="94"/>
        <v>0</v>
      </c>
      <c r="L354" s="70">
        <f t="shared" si="94"/>
        <v>0</v>
      </c>
      <c r="M354" s="70">
        <f t="shared" si="94"/>
        <v>0</v>
      </c>
      <c r="N354" s="70">
        <f t="shared" si="94"/>
        <v>0</v>
      </c>
      <c r="O354" s="70">
        <f t="shared" si="94"/>
        <v>0</v>
      </c>
      <c r="P354" s="70">
        <f t="shared" si="94"/>
        <v>0</v>
      </c>
      <c r="Q354" s="70">
        <f t="shared" si="94"/>
        <v>0</v>
      </c>
      <c r="R354" s="70">
        <f t="shared" si="94"/>
        <v>0</v>
      </c>
      <c r="S354" s="70">
        <f t="shared" si="94"/>
        <v>0</v>
      </c>
      <c r="T354" s="70">
        <f t="shared" si="94"/>
        <v>0</v>
      </c>
      <c r="U354" s="70">
        <f t="shared" si="94"/>
        <v>0</v>
      </c>
      <c r="V354" s="70">
        <f t="shared" si="94"/>
        <v>0</v>
      </c>
      <c r="W354" s="70">
        <f t="shared" si="94"/>
        <v>0</v>
      </c>
      <c r="X354" s="70">
        <f t="shared" si="94"/>
        <v>0</v>
      </c>
      <c r="Y354" s="70">
        <f t="shared" si="94"/>
        <v>0</v>
      </c>
      <c r="Z354" s="70">
        <f t="shared" si="94"/>
        <v>0</v>
      </c>
      <c r="AA354" s="70">
        <f t="shared" si="94"/>
        <v>0</v>
      </c>
      <c r="AB354" s="70">
        <f t="shared" si="94"/>
        <v>0</v>
      </c>
      <c r="AC354" s="70">
        <f t="shared" si="94"/>
        <v>0</v>
      </c>
      <c r="AD354" s="70">
        <f t="shared" si="94"/>
        <v>2345.1999999999998</v>
      </c>
      <c r="AE354" s="70">
        <f t="shared" si="94"/>
        <v>0</v>
      </c>
      <c r="AF354" s="34"/>
      <c r="AG354" s="24">
        <f t="shared" si="33"/>
        <v>0</v>
      </c>
    </row>
    <row r="355" spans="1:33" x14ac:dyDescent="0.3">
      <c r="A355" s="46" t="s">
        <v>28</v>
      </c>
      <c r="B355" s="47">
        <f>J355+L355+N355+P355+R355+T355+V355+X355+Z355+AB355+AD355+H355</f>
        <v>0</v>
      </c>
      <c r="C355" s="48">
        <f>SUM(H355)</f>
        <v>0</v>
      </c>
      <c r="D355" s="49">
        <f>E355</f>
        <v>0</v>
      </c>
      <c r="E355" s="48">
        <f>SUM(I355,K355,M355,O355,Q355,S355,U355,W355,Y355,AA355,AC355,AE355)</f>
        <v>0</v>
      </c>
      <c r="F355" s="47">
        <f>IFERROR(E355/B355*100,0)</f>
        <v>0</v>
      </c>
      <c r="G355" s="47">
        <f>IFERROR(E355/C355*100,0)</f>
        <v>0</v>
      </c>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4"/>
      <c r="AG355" s="24">
        <f t="shared" si="33"/>
        <v>0</v>
      </c>
    </row>
    <row r="356" spans="1:33" x14ac:dyDescent="0.3">
      <c r="A356" s="46" t="s">
        <v>29</v>
      </c>
      <c r="B356" s="47">
        <f>J356+L356+N356+P356+R356+T356+V356+X356+Z356+AB356+AD356+H356</f>
        <v>0</v>
      </c>
      <c r="C356" s="48">
        <f>SUM(H356)</f>
        <v>0</v>
      </c>
      <c r="D356" s="49">
        <f>E356</f>
        <v>0</v>
      </c>
      <c r="E356" s="48">
        <f>SUM(I356,K356,M356,O356,Q356,S356,U356,W356,Y356,AA356,AC356,AE356)</f>
        <v>0</v>
      </c>
      <c r="F356" s="47">
        <f>IFERROR(E356/B356*100,0)</f>
        <v>0</v>
      </c>
      <c r="G356" s="47">
        <f>IFERROR(E356/C356*100,0)</f>
        <v>0</v>
      </c>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4"/>
      <c r="AG356" s="24">
        <f t="shared" si="33"/>
        <v>0</v>
      </c>
    </row>
    <row r="357" spans="1:33" x14ac:dyDescent="0.3">
      <c r="A357" s="46" t="s">
        <v>30</v>
      </c>
      <c r="B357" s="31">
        <f>J357+L357+N357+P357+R357+T357+V357+X357+Z357+AB357+AD357+H357</f>
        <v>2345.1999999999998</v>
      </c>
      <c r="C357" s="48">
        <f>SUM(H357)</f>
        <v>0</v>
      </c>
      <c r="D357" s="49">
        <f>E357</f>
        <v>0</v>
      </c>
      <c r="E357" s="48">
        <f>SUM(I357,K357,M357,O357,Q357,S357,U357,W357,Y357,AA357,AC357,AE357)</f>
        <v>0</v>
      </c>
      <c r="F357" s="47">
        <f>IFERROR(E357/B357*100,0)</f>
        <v>0</v>
      </c>
      <c r="G357" s="47">
        <f>IFERROR(E357/C357*100,0)</f>
        <v>0</v>
      </c>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v>2345.1999999999998</v>
      </c>
      <c r="AE357" s="33"/>
      <c r="AF357" s="34"/>
      <c r="AG357" s="24">
        <f t="shared" si="33"/>
        <v>0</v>
      </c>
    </row>
    <row r="358" spans="1:33" x14ac:dyDescent="0.3">
      <c r="A358" s="46" t="s">
        <v>31</v>
      </c>
      <c r="B358" s="47"/>
      <c r="C358" s="48"/>
      <c r="D358" s="49"/>
      <c r="E358" s="48"/>
      <c r="F358" s="47"/>
      <c r="G358" s="47"/>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4"/>
      <c r="AG358" s="24">
        <f t="shared" si="33"/>
        <v>0</v>
      </c>
    </row>
    <row r="359" spans="1:33" x14ac:dyDescent="0.3">
      <c r="A359" s="104" t="s">
        <v>99</v>
      </c>
      <c r="B359" s="105">
        <f>B360+B361+B362+B363</f>
        <v>4464981.065729999</v>
      </c>
      <c r="C359" s="106">
        <f>C360+C361+C362</f>
        <v>1364232.32213</v>
      </c>
      <c r="D359" s="106">
        <f>D360+D361+D362</f>
        <v>2602470.8635399998</v>
      </c>
      <c r="E359" s="106">
        <f>E360+E361+E362</f>
        <v>2602383.43175</v>
      </c>
      <c r="F359" s="106">
        <f t="shared" ref="F359:F373" si="95">IFERROR(E359/B359*100,0)</f>
        <v>58.284310581382613</v>
      </c>
      <c r="G359" s="106">
        <f t="shared" ref="G359:G373" si="96">IFERROR(E359/C359*100,0)</f>
        <v>190.75808346828001</v>
      </c>
      <c r="H359" s="106">
        <f t="shared" ref="H359:AE359" si="97">H360+H361+H362+H363</f>
        <v>256559.95856999996</v>
      </c>
      <c r="I359" s="106">
        <f t="shared" si="97"/>
        <v>109716.07</v>
      </c>
      <c r="J359" s="106">
        <f t="shared" si="97"/>
        <v>339311.63225000002</v>
      </c>
      <c r="K359" s="106">
        <f t="shared" si="97"/>
        <v>311065.93700000003</v>
      </c>
      <c r="L359" s="106">
        <f t="shared" si="97"/>
        <v>296759.43852999998</v>
      </c>
      <c r="M359" s="106">
        <f t="shared" si="97"/>
        <v>256481.06800000003</v>
      </c>
      <c r="N359" s="106">
        <f t="shared" si="97"/>
        <v>339404.32707</v>
      </c>
      <c r="O359" s="106">
        <f t="shared" si="97"/>
        <v>267967.36999999994</v>
      </c>
      <c r="P359" s="106">
        <f t="shared" si="97"/>
        <v>507771.02786999999</v>
      </c>
      <c r="Q359" s="106">
        <f t="shared" si="97"/>
        <v>493294.99000000005</v>
      </c>
      <c r="R359" s="106">
        <f t="shared" si="97"/>
        <v>269674.64116000006</v>
      </c>
      <c r="S359" s="106">
        <f t="shared" si="97"/>
        <v>279519.15999999997</v>
      </c>
      <c r="T359" s="106">
        <f t="shared" si="97"/>
        <v>254353.40096</v>
      </c>
      <c r="U359" s="106">
        <f t="shared" si="97"/>
        <v>219647.88</v>
      </c>
      <c r="V359" s="106">
        <f t="shared" si="97"/>
        <v>136285.73066999999</v>
      </c>
      <c r="W359" s="106">
        <f t="shared" si="97"/>
        <v>143439.4258</v>
      </c>
      <c r="X359" s="105">
        <f t="shared" si="97"/>
        <v>244416.55157000004</v>
      </c>
      <c r="Y359" s="105">
        <f t="shared" si="97"/>
        <v>209722.77095000001</v>
      </c>
      <c r="Z359" s="105">
        <f t="shared" si="97"/>
        <v>232735.12367</v>
      </c>
      <c r="AA359" s="105">
        <f t="shared" si="97"/>
        <v>331048.26</v>
      </c>
      <c r="AB359" s="106">
        <f t="shared" si="97"/>
        <v>816017.67960000003</v>
      </c>
      <c r="AC359" s="106">
        <f t="shared" si="97"/>
        <v>0</v>
      </c>
      <c r="AD359" s="106">
        <f t="shared" si="97"/>
        <v>771691.55381000007</v>
      </c>
      <c r="AE359" s="105">
        <f t="shared" si="97"/>
        <v>0</v>
      </c>
      <c r="AF359" s="105"/>
      <c r="AG359" s="24">
        <f>B359-H359-J359-L359-N359-P359-R359-T359-V359-X359-Z359-AB359-AD359</f>
        <v>-1.1641532182693481E-9</v>
      </c>
    </row>
    <row r="360" spans="1:33" x14ac:dyDescent="0.3">
      <c r="A360" s="107" t="s">
        <v>28</v>
      </c>
      <c r="B360" s="108">
        <f>B13+B25+B32+B62+B80+B136+B157+B171+B183+B196+B214+B244+B264+B276+B283+B307+B343</f>
        <v>338928.70426999999</v>
      </c>
      <c r="C360" s="109">
        <f t="shared" ref="B360:F362" si="98">C13+C25+C32+C62+C80+C136+C157+C171+C183+C196+C214+C244+C264+C276+C283+C307+C343</f>
        <v>52825.825520000006</v>
      </c>
      <c r="D360" s="109">
        <f t="shared" si="98"/>
        <v>103283.27860999999</v>
      </c>
      <c r="E360" s="109">
        <f t="shared" si="98"/>
        <v>103249.1299</v>
      </c>
      <c r="F360" s="109">
        <f t="shared" si="95"/>
        <v>30.46337728236464</v>
      </c>
      <c r="G360" s="109">
        <f t="shared" si="96"/>
        <v>195.45199508696666</v>
      </c>
      <c r="H360" s="109">
        <f t="shared" ref="H360:AE363" si="99">H13+H25+H32+H62+H80+H136+H157+H171+H183+H196+H214+H244+H264+H276+H283+H307+H343</f>
        <v>5333.3166899999997</v>
      </c>
      <c r="I360" s="109">
        <f t="shared" si="99"/>
        <v>5314.2000000000007</v>
      </c>
      <c r="J360" s="109">
        <f t="shared" si="99"/>
        <v>6720.4683500000001</v>
      </c>
      <c r="K360" s="109">
        <f t="shared" si="99"/>
        <v>6685.9</v>
      </c>
      <c r="L360" s="109">
        <f t="shared" si="99"/>
        <v>7167.7951299999995</v>
      </c>
      <c r="M360" s="109">
        <f t="shared" si="99"/>
        <v>7158.7599999999993</v>
      </c>
      <c r="N360" s="109">
        <f t="shared" si="99"/>
        <v>13664.77334</v>
      </c>
      <c r="O360" s="109">
        <f t="shared" si="99"/>
        <v>13401.96</v>
      </c>
      <c r="P360" s="109">
        <f t="shared" si="99"/>
        <v>16590.47003</v>
      </c>
      <c r="Q360" s="109">
        <f t="shared" si="99"/>
        <v>13168.080000000002</v>
      </c>
      <c r="R360" s="109">
        <f t="shared" si="99"/>
        <v>11018.56862</v>
      </c>
      <c r="S360" s="109">
        <f t="shared" si="99"/>
        <v>14422.36</v>
      </c>
      <c r="T360" s="109">
        <f t="shared" si="99"/>
        <v>522.71104000000003</v>
      </c>
      <c r="U360" s="109">
        <f t="shared" si="99"/>
        <v>2000.31</v>
      </c>
      <c r="V360" s="109">
        <f t="shared" si="99"/>
        <v>1895.63165</v>
      </c>
      <c r="W360" s="109">
        <f t="shared" si="99"/>
        <v>418.6</v>
      </c>
      <c r="X360" s="108">
        <f>X13+X25+X32+X62+X80+X136+X157+X171+X183+X196+X214+X244+X264+X276+X283+X307+X343</f>
        <v>34813.00445</v>
      </c>
      <c r="Y360" s="108">
        <f>Y13+Y25+Y32+Y62+Y80+Y136+Y157+Y171+Y183+Y196+Y214+Y244+Y264+Y276+Y283+Y307+Y343</f>
        <v>29335.6999</v>
      </c>
      <c r="Z360" s="108">
        <f t="shared" si="99"/>
        <v>13781.048769999999</v>
      </c>
      <c r="AA360" s="108">
        <f t="shared" si="99"/>
        <v>11343.26</v>
      </c>
      <c r="AB360" s="108">
        <f t="shared" si="99"/>
        <v>213403.70663999999</v>
      </c>
      <c r="AC360" s="108">
        <f t="shared" si="99"/>
        <v>0</v>
      </c>
      <c r="AD360" s="108">
        <f t="shared" si="99"/>
        <v>14017.209559999999</v>
      </c>
      <c r="AE360" s="108">
        <f t="shared" si="99"/>
        <v>0</v>
      </c>
      <c r="AF360" s="108"/>
      <c r="AG360" s="24">
        <f t="shared" si="33"/>
        <v>0</v>
      </c>
    </row>
    <row r="361" spans="1:33" x14ac:dyDescent="0.3">
      <c r="A361" s="107" t="s">
        <v>29</v>
      </c>
      <c r="B361" s="108">
        <f t="shared" si="98"/>
        <v>2961574.4871099992</v>
      </c>
      <c r="C361" s="108">
        <f t="shared" si="98"/>
        <v>935604.07369999995</v>
      </c>
      <c r="D361" s="108">
        <f t="shared" si="98"/>
        <v>1850417.58088</v>
      </c>
      <c r="E361" s="108">
        <f t="shared" si="98"/>
        <v>1850364.2978000001</v>
      </c>
      <c r="F361" s="108">
        <f t="shared" si="95"/>
        <v>62.47907340685007</v>
      </c>
      <c r="G361" s="108">
        <f t="shared" si="96"/>
        <v>197.77215061520954</v>
      </c>
      <c r="H361" s="108">
        <f t="shared" si="99"/>
        <v>181751.87999999998</v>
      </c>
      <c r="I361" s="108">
        <f t="shared" si="99"/>
        <v>39614.799999999996</v>
      </c>
      <c r="J361" s="108">
        <f t="shared" si="99"/>
        <v>240581.75979000004</v>
      </c>
      <c r="K361" s="108">
        <f t="shared" si="99"/>
        <v>212218.7</v>
      </c>
      <c r="L361" s="108">
        <f t="shared" si="99"/>
        <v>218397.58578999998</v>
      </c>
      <c r="M361" s="108">
        <f t="shared" si="99"/>
        <v>177509.57</v>
      </c>
      <c r="N361" s="108">
        <f t="shared" si="99"/>
        <v>255004.07253999996</v>
      </c>
      <c r="O361" s="108">
        <f t="shared" si="99"/>
        <v>185180.93999999997</v>
      </c>
      <c r="P361" s="108">
        <f t="shared" si="99"/>
        <v>410492.72397999995</v>
      </c>
      <c r="Q361" s="108">
        <f t="shared" si="99"/>
        <v>409959.89</v>
      </c>
      <c r="R361" s="108">
        <f t="shared" si="99"/>
        <v>192872.18741000001</v>
      </c>
      <c r="S361" s="108">
        <f t="shared" si="99"/>
        <v>197320.8</v>
      </c>
      <c r="T361" s="108">
        <f t="shared" si="99"/>
        <v>163476.86179</v>
      </c>
      <c r="U361" s="108">
        <f t="shared" si="99"/>
        <v>134601.06</v>
      </c>
      <c r="V361" s="108">
        <f t="shared" si="99"/>
        <v>96815.13579</v>
      </c>
      <c r="W361" s="108">
        <f t="shared" si="99"/>
        <v>103564.48</v>
      </c>
      <c r="X361" s="108">
        <f>X14+X26+X33+X63+X81+X137+X158+X172+X184+X197+X215+X245+X265+X277+X284+X308+X344</f>
        <v>163436.84382000001</v>
      </c>
      <c r="Y361" s="108">
        <f t="shared" si="99"/>
        <v>139053.49779999998</v>
      </c>
      <c r="Z361" s="108">
        <f t="shared" si="99"/>
        <v>148057.01212</v>
      </c>
      <c r="AA361" s="108">
        <f t="shared" si="99"/>
        <v>251340.56000000003</v>
      </c>
      <c r="AB361" s="108">
        <f t="shared" si="99"/>
        <v>509862.08792000002</v>
      </c>
      <c r="AC361" s="108">
        <f t="shared" si="99"/>
        <v>0</v>
      </c>
      <c r="AD361" s="108">
        <f>AD14+AD26+AD33+AD63+AD81+AD137+AD158+AD172+AD184+AD197+AD215+AD245+AD265+AD277+AD284+AD308+AD344</f>
        <v>380826.33616000006</v>
      </c>
      <c r="AE361" s="108">
        <f t="shared" si="99"/>
        <v>0</v>
      </c>
      <c r="AF361" s="108"/>
      <c r="AG361" s="24">
        <f t="shared" si="33"/>
        <v>-8.7311491370201111E-10</v>
      </c>
    </row>
    <row r="362" spans="1:33" x14ac:dyDescent="0.3">
      <c r="A362" s="107" t="s">
        <v>30</v>
      </c>
      <c r="B362" s="109">
        <f t="shared" si="98"/>
        <v>823169.37434999994</v>
      </c>
      <c r="C362" s="108">
        <f t="shared" si="98"/>
        <v>375802.42291000002</v>
      </c>
      <c r="D362" s="108">
        <f t="shared" si="98"/>
        <v>648770.00404999999</v>
      </c>
      <c r="E362" s="108">
        <f t="shared" si="98"/>
        <v>648770.00404999999</v>
      </c>
      <c r="F362" s="108">
        <f t="shared" si="95"/>
        <v>78.813671191580582</v>
      </c>
      <c r="G362" s="108">
        <f>IFERROR(E362/C362*100,0)</f>
        <v>172.63592901458549</v>
      </c>
      <c r="H362" s="108">
        <f t="shared" si="99"/>
        <v>69474.761879999991</v>
      </c>
      <c r="I362" s="108">
        <f t="shared" si="99"/>
        <v>64787.07</v>
      </c>
      <c r="J362" s="108">
        <f t="shared" si="99"/>
        <v>92009.404110000003</v>
      </c>
      <c r="K362" s="108">
        <f t="shared" si="99"/>
        <v>92161.337</v>
      </c>
      <c r="L362" s="108">
        <f t="shared" si="99"/>
        <v>67964.057610000003</v>
      </c>
      <c r="M362" s="108">
        <f t="shared" si="99"/>
        <v>68582.738000000012</v>
      </c>
      <c r="N362" s="108">
        <f t="shared" si="99"/>
        <v>66624.481190000006</v>
      </c>
      <c r="O362" s="108">
        <f t="shared" si="99"/>
        <v>65273.469999999994</v>
      </c>
      <c r="P362" s="108">
        <f t="shared" si="99"/>
        <v>74987.833859999999</v>
      </c>
      <c r="Q362" s="108">
        <f t="shared" si="99"/>
        <v>64467.02</v>
      </c>
      <c r="R362" s="108">
        <f t="shared" si="99"/>
        <v>63084.055130000001</v>
      </c>
      <c r="S362" s="108">
        <f t="shared" si="99"/>
        <v>65076.170000000006</v>
      </c>
      <c r="T362" s="108">
        <f t="shared" si="99"/>
        <v>90353.828130000009</v>
      </c>
      <c r="U362" s="108">
        <f t="shared" si="99"/>
        <v>83046.510000000009</v>
      </c>
      <c r="V362" s="108">
        <f t="shared" si="99"/>
        <v>37574.963230000001</v>
      </c>
      <c r="W362" s="108">
        <f t="shared" si="99"/>
        <v>39456.345800000003</v>
      </c>
      <c r="X362" s="108">
        <f t="shared" si="99"/>
        <v>44865.533300000003</v>
      </c>
      <c r="Y362" s="108">
        <f t="shared" si="99"/>
        <v>40213.903249999996</v>
      </c>
      <c r="Z362" s="108">
        <f t="shared" si="99"/>
        <v>68419.562779999993</v>
      </c>
      <c r="AA362" s="108">
        <f t="shared" si="99"/>
        <v>65705.439999999988</v>
      </c>
      <c r="AB362" s="108">
        <f t="shared" si="99"/>
        <v>82693.945039999991</v>
      </c>
      <c r="AC362" s="108">
        <f t="shared" si="99"/>
        <v>0</v>
      </c>
      <c r="AD362" s="108">
        <f t="shared" si="99"/>
        <v>65116.948089999998</v>
      </c>
      <c r="AE362" s="108">
        <f t="shared" si="99"/>
        <v>0</v>
      </c>
      <c r="AF362" s="108"/>
      <c r="AG362" s="24">
        <f t="shared" si="33"/>
        <v>-6.5483618527650833E-11</v>
      </c>
    </row>
    <row r="363" spans="1:33" x14ac:dyDescent="0.3">
      <c r="A363" s="110" t="s">
        <v>31</v>
      </c>
      <c r="B363" s="109">
        <f>H363+J363+L363+N363+P363+R363+T363+V363+X363+AB363+AD363+Z363</f>
        <v>341308.5</v>
      </c>
      <c r="C363" s="108">
        <f>C16+C28+C35+C65+C83+C139+C160+C174+C186+C199+C217+C247+C267+C279+C286+C310+C346+C41</f>
        <v>17042</v>
      </c>
      <c r="D363" s="108">
        <f>D16+D28+D35+D65+D83+D139+D160+D174+D186+D199+D217+D247+D267+D279+D286+D310+D346</f>
        <v>19519.5</v>
      </c>
      <c r="E363" s="108">
        <f>E16+E28+E35+E65+E83+E139+E160+E174+E186+E199+E217+E247+E267+E279+E286+E310+E346</f>
        <v>19519.5</v>
      </c>
      <c r="F363" s="108">
        <f t="shared" si="95"/>
        <v>5.7190195966405764</v>
      </c>
      <c r="G363" s="108">
        <f t="shared" si="96"/>
        <v>114.5376129562258</v>
      </c>
      <c r="H363" s="108">
        <f>H16+H28+H35+H65+H83+H139+H160+H174+H186+H199+H217+H247+H267+H279+H286+H310+H346</f>
        <v>0</v>
      </c>
      <c r="I363" s="108">
        <f t="shared" si="99"/>
        <v>0</v>
      </c>
      <c r="J363" s="108">
        <f t="shared" si="99"/>
        <v>0</v>
      </c>
      <c r="K363" s="108">
        <f t="shared" si="99"/>
        <v>0</v>
      </c>
      <c r="L363" s="108">
        <f t="shared" si="99"/>
        <v>3230</v>
      </c>
      <c r="M363" s="108">
        <f t="shared" si="99"/>
        <v>3230</v>
      </c>
      <c r="N363" s="108">
        <f t="shared" si="99"/>
        <v>4111</v>
      </c>
      <c r="O363" s="108">
        <f t="shared" si="99"/>
        <v>4111</v>
      </c>
      <c r="P363" s="108">
        <f t="shared" si="99"/>
        <v>5700</v>
      </c>
      <c r="Q363" s="108">
        <f t="shared" si="99"/>
        <v>5700</v>
      </c>
      <c r="R363" s="108">
        <f t="shared" si="99"/>
        <v>2699.83</v>
      </c>
      <c r="S363" s="108">
        <f t="shared" si="99"/>
        <v>2699.83</v>
      </c>
      <c r="T363" s="108">
        <f t="shared" si="99"/>
        <v>0</v>
      </c>
      <c r="U363" s="108">
        <f t="shared" si="99"/>
        <v>0</v>
      </c>
      <c r="V363" s="108">
        <f t="shared" si="99"/>
        <v>0</v>
      </c>
      <c r="W363" s="108">
        <f t="shared" si="99"/>
        <v>0</v>
      </c>
      <c r="X363" s="108">
        <f t="shared" si="99"/>
        <v>1301.17</v>
      </c>
      <c r="Y363" s="108">
        <f t="shared" si="99"/>
        <v>1119.67</v>
      </c>
      <c r="Z363" s="108">
        <f t="shared" si="99"/>
        <v>2477.5</v>
      </c>
      <c r="AA363" s="108">
        <f t="shared" si="99"/>
        <v>2659</v>
      </c>
      <c r="AB363" s="108">
        <f t="shared" si="99"/>
        <v>10057.94</v>
      </c>
      <c r="AC363" s="108">
        <f t="shared" si="99"/>
        <v>0</v>
      </c>
      <c r="AD363" s="108">
        <f t="shared" si="99"/>
        <v>311731.06</v>
      </c>
      <c r="AE363" s="108">
        <f t="shared" si="99"/>
        <v>0</v>
      </c>
      <c r="AF363" s="108"/>
      <c r="AG363" s="24">
        <f t="shared" si="33"/>
        <v>0</v>
      </c>
    </row>
    <row r="364" spans="1:33" ht="37.5" x14ac:dyDescent="0.3">
      <c r="A364" s="104" t="s">
        <v>100</v>
      </c>
      <c r="B364" s="105">
        <f>B365+B366+B367+B368</f>
        <v>1056476.03434</v>
      </c>
      <c r="C364" s="105">
        <f>C365+C366+C367</f>
        <v>49898.298089999997</v>
      </c>
      <c r="D364" s="105">
        <f>D365+D366+D367</f>
        <v>49896.195089999994</v>
      </c>
      <c r="E364" s="105">
        <f>E365+E366+E367</f>
        <v>49808.763300000006</v>
      </c>
      <c r="F364" s="105">
        <f t="shared" si="95"/>
        <v>4.7146136477309168</v>
      </c>
      <c r="G364" s="105">
        <f t="shared" si="96"/>
        <v>99.820565443257209</v>
      </c>
      <c r="H364" s="105">
        <f t="shared" ref="H364:AE364" si="100">H365+H366+H367+H368</f>
        <v>2</v>
      </c>
      <c r="I364" s="105">
        <f t="shared" si="100"/>
        <v>2</v>
      </c>
      <c r="J364" s="105">
        <f t="shared" si="100"/>
        <v>262.52300000000002</v>
      </c>
      <c r="K364" s="105">
        <f t="shared" si="100"/>
        <v>262.57</v>
      </c>
      <c r="L364" s="105">
        <f t="shared" si="100"/>
        <v>178.89000000000001</v>
      </c>
      <c r="M364" s="105">
        <f t="shared" si="100"/>
        <v>178.05799999999999</v>
      </c>
      <c r="N364" s="105">
        <f t="shared" si="100"/>
        <v>92.240000000000009</v>
      </c>
      <c r="O364" s="105">
        <f t="shared" si="100"/>
        <v>24.48</v>
      </c>
      <c r="P364" s="105">
        <f t="shared" si="100"/>
        <v>176.8364</v>
      </c>
      <c r="Q364" s="105">
        <f t="shared" si="100"/>
        <v>176.83</v>
      </c>
      <c r="R364" s="105">
        <f t="shared" si="100"/>
        <v>306.64823000000001</v>
      </c>
      <c r="S364" s="105">
        <f t="shared" si="100"/>
        <v>321.96000000000004</v>
      </c>
      <c r="T364" s="105">
        <f t="shared" si="100"/>
        <v>1.03</v>
      </c>
      <c r="U364" s="105">
        <f t="shared" si="100"/>
        <v>1.34</v>
      </c>
      <c r="V364" s="105">
        <f t="shared" si="100"/>
        <v>32.380000000000003</v>
      </c>
      <c r="W364" s="105">
        <f t="shared" si="100"/>
        <v>32.380000000000003</v>
      </c>
      <c r="X364" s="105">
        <f t="shared" si="100"/>
        <v>48747.13723</v>
      </c>
      <c r="Y364" s="105">
        <f t="shared" si="100"/>
        <v>48781.565299999995</v>
      </c>
      <c r="Z364" s="105">
        <f t="shared" si="100"/>
        <v>98.613230000000001</v>
      </c>
      <c r="AA364" s="105">
        <f t="shared" si="100"/>
        <v>27.580000000000002</v>
      </c>
      <c r="AB364" s="105">
        <f t="shared" si="100"/>
        <v>508849.25225000002</v>
      </c>
      <c r="AC364" s="105">
        <f t="shared" si="100"/>
        <v>0</v>
      </c>
      <c r="AD364" s="105">
        <f t="shared" si="100"/>
        <v>497728.48400000005</v>
      </c>
      <c r="AE364" s="105">
        <f t="shared" si="100"/>
        <v>0</v>
      </c>
      <c r="AF364" s="105"/>
      <c r="AG364" s="24">
        <f t="shared" si="33"/>
        <v>0</v>
      </c>
    </row>
    <row r="365" spans="1:33" x14ac:dyDescent="0.3">
      <c r="A365" s="107" t="s">
        <v>28</v>
      </c>
      <c r="B365" s="108">
        <f t="shared" ref="B365:E368" si="101">B13+B25+B171+B183+B264+B276</f>
        <v>222131.40403000001</v>
      </c>
      <c r="C365" s="108">
        <f t="shared" si="101"/>
        <v>20088.862010000001</v>
      </c>
      <c r="D365" s="108">
        <f t="shared" si="101"/>
        <v>20088.862010000001</v>
      </c>
      <c r="E365" s="108">
        <f t="shared" si="101"/>
        <v>20054.713299999999</v>
      </c>
      <c r="F365" s="108">
        <f t="shared" si="95"/>
        <v>9.0283106918513454</v>
      </c>
      <c r="G365" s="108">
        <f t="shared" si="96"/>
        <v>99.830011724989689</v>
      </c>
      <c r="H365" s="108">
        <f t="shared" ref="H365:AE368" si="102">H13+H25+H171+H183+H264+H276</f>
        <v>0</v>
      </c>
      <c r="I365" s="108">
        <f t="shared" si="102"/>
        <v>0</v>
      </c>
      <c r="J365" s="108">
        <f t="shared" si="102"/>
        <v>47.78</v>
      </c>
      <c r="K365" s="108">
        <f t="shared" si="102"/>
        <v>47.9</v>
      </c>
      <c r="L365" s="108">
        <f t="shared" si="102"/>
        <v>65.98</v>
      </c>
      <c r="M365" s="108">
        <f t="shared" si="102"/>
        <v>65.86</v>
      </c>
      <c r="N365" s="108">
        <f t="shared" si="102"/>
        <v>35.630000000000003</v>
      </c>
      <c r="O365" s="108">
        <f t="shared" si="102"/>
        <v>9.15</v>
      </c>
      <c r="P365" s="108">
        <f t="shared" si="102"/>
        <v>68.342010000000002</v>
      </c>
      <c r="Q365" s="108">
        <f t="shared" si="102"/>
        <v>68.34</v>
      </c>
      <c r="R365" s="108">
        <f t="shared" si="102"/>
        <v>79.260000000000005</v>
      </c>
      <c r="S365" s="108">
        <f t="shared" si="102"/>
        <v>85.43</v>
      </c>
      <c r="T365" s="108">
        <f t="shared" si="102"/>
        <v>0</v>
      </c>
      <c r="U365" s="108">
        <f t="shared" si="102"/>
        <v>0.31</v>
      </c>
      <c r="V365" s="108">
        <f t="shared" si="102"/>
        <v>32.28</v>
      </c>
      <c r="W365" s="108">
        <f t="shared" si="102"/>
        <v>32.28</v>
      </c>
      <c r="X365" s="108">
        <f t="shared" si="102"/>
        <v>19721.560000000001</v>
      </c>
      <c r="Y365" s="108">
        <f t="shared" si="102"/>
        <v>19734.793300000001</v>
      </c>
      <c r="Z365" s="108">
        <f t="shared" si="102"/>
        <v>38.03</v>
      </c>
      <c r="AA365" s="108">
        <f t="shared" si="102"/>
        <v>10.65</v>
      </c>
      <c r="AB365" s="108">
        <f t="shared" si="102"/>
        <v>202008.23202000002</v>
      </c>
      <c r="AC365" s="108">
        <f t="shared" si="102"/>
        <v>0</v>
      </c>
      <c r="AD365" s="108">
        <f t="shared" si="102"/>
        <v>34.31</v>
      </c>
      <c r="AE365" s="108">
        <f t="shared" si="102"/>
        <v>0</v>
      </c>
      <c r="AF365" s="108"/>
      <c r="AG365" s="24">
        <f t="shared" si="33"/>
        <v>-3.1434410630026832E-11</v>
      </c>
    </row>
    <row r="366" spans="1:33" x14ac:dyDescent="0.3">
      <c r="A366" s="107" t="s">
        <v>29</v>
      </c>
      <c r="B366" s="108">
        <f t="shared" si="101"/>
        <v>438959.69531000004</v>
      </c>
      <c r="C366" s="108">
        <f t="shared" si="101"/>
        <v>24680.95508</v>
      </c>
      <c r="D366" s="108">
        <f t="shared" si="101"/>
        <v>24680.95508</v>
      </c>
      <c r="E366" s="108">
        <f t="shared" si="101"/>
        <v>24627.672000000002</v>
      </c>
      <c r="F366" s="108">
        <f t="shared" si="95"/>
        <v>5.6104631616822056</v>
      </c>
      <c r="G366" s="108">
        <f t="shared" si="96"/>
        <v>99.784112568467108</v>
      </c>
      <c r="H366" s="108">
        <f t="shared" si="102"/>
        <v>0</v>
      </c>
      <c r="I366" s="108">
        <f t="shared" si="102"/>
        <v>0</v>
      </c>
      <c r="J366" s="108">
        <f t="shared" si="102"/>
        <v>74.73</v>
      </c>
      <c r="K366" s="108">
        <f t="shared" si="102"/>
        <v>74.7</v>
      </c>
      <c r="L366" s="108">
        <f t="shared" si="102"/>
        <v>103.2</v>
      </c>
      <c r="M366" s="108">
        <f t="shared" si="102"/>
        <v>103.21</v>
      </c>
      <c r="N366" s="108">
        <f t="shared" si="102"/>
        <v>55.68</v>
      </c>
      <c r="O366" s="108">
        <f t="shared" si="102"/>
        <v>14.34</v>
      </c>
      <c r="P366" s="108">
        <f t="shared" si="102"/>
        <v>106.77439</v>
      </c>
      <c r="Q366" s="108">
        <f t="shared" si="102"/>
        <v>106.77</v>
      </c>
      <c r="R366" s="108">
        <f t="shared" si="102"/>
        <v>124.08023</v>
      </c>
      <c r="S366" s="108">
        <f t="shared" si="102"/>
        <v>134.25</v>
      </c>
      <c r="T366" s="108">
        <f t="shared" si="102"/>
        <v>0</v>
      </c>
      <c r="U366" s="108">
        <f t="shared" si="102"/>
        <v>0</v>
      </c>
      <c r="V366" s="108">
        <f t="shared" si="102"/>
        <v>0.1</v>
      </c>
      <c r="W366" s="108">
        <f t="shared" si="102"/>
        <v>0.1</v>
      </c>
      <c r="X366" s="108">
        <f t="shared" si="102"/>
        <v>24156.97723</v>
      </c>
      <c r="Y366" s="108">
        <f t="shared" si="102"/>
        <v>24177.642</v>
      </c>
      <c r="Z366" s="108">
        <f t="shared" si="102"/>
        <v>59.413229999999992</v>
      </c>
      <c r="AA366" s="108">
        <f t="shared" si="102"/>
        <v>16.66</v>
      </c>
      <c r="AB366" s="108">
        <f t="shared" si="102"/>
        <v>246914.66022999998</v>
      </c>
      <c r="AC366" s="108">
        <f t="shared" si="102"/>
        <v>0</v>
      </c>
      <c r="AD366" s="108">
        <f t="shared" si="102"/>
        <v>167364.08000000005</v>
      </c>
      <c r="AE366" s="108">
        <f t="shared" si="102"/>
        <v>0</v>
      </c>
      <c r="AF366" s="108"/>
      <c r="AG366" s="24">
        <f t="shared" si="33"/>
        <v>0</v>
      </c>
    </row>
    <row r="367" spans="1:33" x14ac:dyDescent="0.3">
      <c r="A367" s="107" t="s">
        <v>30</v>
      </c>
      <c r="B367" s="108">
        <f t="shared" si="101"/>
        <v>73595.934999999998</v>
      </c>
      <c r="C367" s="108">
        <f t="shared" si="101"/>
        <v>5128.4809999999998</v>
      </c>
      <c r="D367" s="108">
        <f t="shared" si="101"/>
        <v>5126.3780000000006</v>
      </c>
      <c r="E367" s="108">
        <f t="shared" si="101"/>
        <v>5126.3780000000006</v>
      </c>
      <c r="F367" s="108">
        <f t="shared" si="95"/>
        <v>6.9655722153676018</v>
      </c>
      <c r="G367" s="108">
        <f t="shared" si="96"/>
        <v>99.958993705933608</v>
      </c>
      <c r="H367" s="108">
        <f t="shared" si="102"/>
        <v>2</v>
      </c>
      <c r="I367" s="108">
        <f t="shared" si="102"/>
        <v>2</v>
      </c>
      <c r="J367" s="108">
        <f t="shared" si="102"/>
        <v>140.01300000000001</v>
      </c>
      <c r="K367" s="108">
        <f t="shared" si="102"/>
        <v>139.97</v>
      </c>
      <c r="L367" s="108">
        <f t="shared" si="102"/>
        <v>9.7100000000000009</v>
      </c>
      <c r="M367" s="108">
        <f t="shared" si="102"/>
        <v>8.9879999999999995</v>
      </c>
      <c r="N367" s="108">
        <f t="shared" si="102"/>
        <v>0.93</v>
      </c>
      <c r="O367" s="108">
        <f t="shared" si="102"/>
        <v>0.99</v>
      </c>
      <c r="P367" s="108">
        <f t="shared" si="102"/>
        <v>1.72</v>
      </c>
      <c r="Q367" s="108">
        <f t="shared" si="102"/>
        <v>1.72</v>
      </c>
      <c r="R367" s="108">
        <f t="shared" si="102"/>
        <v>103.30800000000001</v>
      </c>
      <c r="S367" s="108">
        <f t="shared" si="102"/>
        <v>102.28</v>
      </c>
      <c r="T367" s="108">
        <f t="shared" si="102"/>
        <v>1.03</v>
      </c>
      <c r="U367" s="108">
        <f t="shared" si="102"/>
        <v>1.03</v>
      </c>
      <c r="V367" s="108">
        <f t="shared" si="102"/>
        <v>0</v>
      </c>
      <c r="W367" s="108">
        <f t="shared" si="102"/>
        <v>0</v>
      </c>
      <c r="X367" s="108">
        <f t="shared" si="102"/>
        <v>4868.6000000000004</v>
      </c>
      <c r="Y367" s="108">
        <f t="shared" si="102"/>
        <v>4869.13</v>
      </c>
      <c r="Z367" s="108">
        <f t="shared" si="102"/>
        <v>1.17</v>
      </c>
      <c r="AA367" s="108">
        <f t="shared" si="102"/>
        <v>0.27</v>
      </c>
      <c r="AB367" s="108">
        <f t="shared" si="102"/>
        <v>49868.42</v>
      </c>
      <c r="AC367" s="108">
        <f t="shared" si="102"/>
        <v>0</v>
      </c>
      <c r="AD367" s="108">
        <f t="shared" si="102"/>
        <v>18599.034000000003</v>
      </c>
      <c r="AE367" s="108">
        <f t="shared" si="102"/>
        <v>0</v>
      </c>
      <c r="AF367" s="108"/>
      <c r="AG367" s="24">
        <f t="shared" ref="AG367:AG378" si="103">B367-H367-J367-L367-N367-P367-R367-T367-V367-X367-Z367-AB367-AD367</f>
        <v>0</v>
      </c>
    </row>
    <row r="368" spans="1:33" x14ac:dyDescent="0.3">
      <c r="A368" s="110" t="s">
        <v>31</v>
      </c>
      <c r="B368" s="108">
        <f t="shared" si="101"/>
        <v>321789</v>
      </c>
      <c r="C368" s="108">
        <f t="shared" si="101"/>
        <v>0</v>
      </c>
      <c r="D368" s="108">
        <f t="shared" si="101"/>
        <v>0</v>
      </c>
      <c r="E368" s="108">
        <f t="shared" si="101"/>
        <v>0</v>
      </c>
      <c r="F368" s="108">
        <f t="shared" si="95"/>
        <v>0</v>
      </c>
      <c r="G368" s="108">
        <f>IFERROR(E368/C368*100,0)</f>
        <v>0</v>
      </c>
      <c r="H368" s="108">
        <f t="shared" si="102"/>
        <v>0</v>
      </c>
      <c r="I368" s="108">
        <f t="shared" si="102"/>
        <v>0</v>
      </c>
      <c r="J368" s="108">
        <f t="shared" si="102"/>
        <v>0</v>
      </c>
      <c r="K368" s="108">
        <f t="shared" si="102"/>
        <v>0</v>
      </c>
      <c r="L368" s="108">
        <f t="shared" si="102"/>
        <v>0</v>
      </c>
      <c r="M368" s="108">
        <f t="shared" si="102"/>
        <v>0</v>
      </c>
      <c r="N368" s="108">
        <f t="shared" si="102"/>
        <v>0</v>
      </c>
      <c r="O368" s="108">
        <f t="shared" si="102"/>
        <v>0</v>
      </c>
      <c r="P368" s="108">
        <f t="shared" si="102"/>
        <v>0</v>
      </c>
      <c r="Q368" s="108">
        <f t="shared" si="102"/>
        <v>0</v>
      </c>
      <c r="R368" s="108">
        <f t="shared" si="102"/>
        <v>0</v>
      </c>
      <c r="S368" s="108">
        <f t="shared" si="102"/>
        <v>0</v>
      </c>
      <c r="T368" s="108">
        <f t="shared" si="102"/>
        <v>0</v>
      </c>
      <c r="U368" s="108">
        <f t="shared" si="102"/>
        <v>0</v>
      </c>
      <c r="V368" s="108">
        <f t="shared" si="102"/>
        <v>0</v>
      </c>
      <c r="W368" s="108">
        <f t="shared" si="102"/>
        <v>0</v>
      </c>
      <c r="X368" s="108">
        <f t="shared" si="102"/>
        <v>0</v>
      </c>
      <c r="Y368" s="108">
        <f t="shared" si="102"/>
        <v>0</v>
      </c>
      <c r="Z368" s="108">
        <f t="shared" si="102"/>
        <v>0</v>
      </c>
      <c r="AA368" s="108">
        <f t="shared" si="102"/>
        <v>0</v>
      </c>
      <c r="AB368" s="108">
        <f t="shared" si="102"/>
        <v>10057.94</v>
      </c>
      <c r="AC368" s="108">
        <f t="shared" si="102"/>
        <v>0</v>
      </c>
      <c r="AD368" s="108">
        <f t="shared" si="102"/>
        <v>311731.06</v>
      </c>
      <c r="AE368" s="108">
        <f t="shared" si="102"/>
        <v>0</v>
      </c>
      <c r="AF368" s="108"/>
      <c r="AG368" s="24">
        <f t="shared" si="103"/>
        <v>0</v>
      </c>
    </row>
    <row r="369" spans="1:33" ht="37.5" x14ac:dyDescent="0.3">
      <c r="A369" s="104" t="s">
        <v>101</v>
      </c>
      <c r="B369" s="105">
        <f>B370+B371+B372+B373</f>
        <v>3408505.0313899992</v>
      </c>
      <c r="C369" s="105">
        <f>C370+C371+C372</f>
        <v>1314334.02404</v>
      </c>
      <c r="D369" s="105">
        <f>D370+D371+D372</f>
        <v>2552574.6684500002</v>
      </c>
      <c r="E369" s="105">
        <f>E370+E371+E372</f>
        <v>2552574.6684500002</v>
      </c>
      <c r="F369" s="105">
        <f t="shared" si="95"/>
        <v>74.888393736917919</v>
      </c>
      <c r="G369" s="105">
        <f t="shared" si="96"/>
        <v>194.2104991396248</v>
      </c>
      <c r="H369" s="105">
        <f t="shared" ref="H369:AE369" si="104">H370+H371+H372+H373</f>
        <v>256557.95856999996</v>
      </c>
      <c r="I369" s="105">
        <f t="shared" si="104"/>
        <v>109714.07</v>
      </c>
      <c r="J369" s="105">
        <f t="shared" si="104"/>
        <v>339049.10925000004</v>
      </c>
      <c r="K369" s="105">
        <f t="shared" si="104"/>
        <v>310803.36699999997</v>
      </c>
      <c r="L369" s="105">
        <f t="shared" si="104"/>
        <v>296580.54852999997</v>
      </c>
      <c r="M369" s="105">
        <f t="shared" si="104"/>
        <v>256303.01</v>
      </c>
      <c r="N369" s="105">
        <f t="shared" si="104"/>
        <v>339312.08707000001</v>
      </c>
      <c r="O369" s="105">
        <f t="shared" si="104"/>
        <v>267942.88999999996</v>
      </c>
      <c r="P369" s="105">
        <f t="shared" si="104"/>
        <v>507594.19146999996</v>
      </c>
      <c r="Q369" s="105">
        <f t="shared" si="104"/>
        <v>493118.16</v>
      </c>
      <c r="R369" s="105">
        <f t="shared" si="104"/>
        <v>269367.99293000001</v>
      </c>
      <c r="S369" s="105">
        <f t="shared" si="104"/>
        <v>279197.2</v>
      </c>
      <c r="T369" s="105">
        <f t="shared" si="104"/>
        <v>254352.37096</v>
      </c>
      <c r="U369" s="105">
        <f t="shared" si="104"/>
        <v>219646.54</v>
      </c>
      <c r="V369" s="105">
        <f t="shared" si="104"/>
        <v>136253.35066999999</v>
      </c>
      <c r="W369" s="105">
        <f t="shared" si="104"/>
        <v>143407.04579999999</v>
      </c>
      <c r="X369" s="105">
        <f t="shared" si="104"/>
        <v>195669.41434000002</v>
      </c>
      <c r="Y369" s="105">
        <f t="shared" si="104"/>
        <v>160941.20565000002</v>
      </c>
      <c r="Z369" s="105">
        <f t="shared" si="104"/>
        <v>232636.51043999998</v>
      </c>
      <c r="AA369" s="105">
        <f t="shared" si="104"/>
        <v>331020.68</v>
      </c>
      <c r="AB369" s="105">
        <f t="shared" si="104"/>
        <v>307168.42735000001</v>
      </c>
      <c r="AC369" s="105">
        <f t="shared" si="104"/>
        <v>0</v>
      </c>
      <c r="AD369" s="105">
        <f t="shared" si="104"/>
        <v>273963.06980999996</v>
      </c>
      <c r="AE369" s="105">
        <f t="shared" si="104"/>
        <v>0</v>
      </c>
      <c r="AF369" s="105"/>
      <c r="AG369" s="24">
        <f t="shared" si="103"/>
        <v>0</v>
      </c>
    </row>
    <row r="370" spans="1:33" x14ac:dyDescent="0.3">
      <c r="A370" s="107" t="s">
        <v>28</v>
      </c>
      <c r="B370" s="108">
        <f t="shared" ref="B370:E372" si="105">B32+B62+B80+B136+B157+B196+B214+B244+B283+B307+B343</f>
        <v>116797.30023999998</v>
      </c>
      <c r="C370" s="108">
        <f t="shared" si="105"/>
        <v>32736.963510000001</v>
      </c>
      <c r="D370" s="108">
        <f t="shared" si="105"/>
        <v>83194.416599999997</v>
      </c>
      <c r="E370" s="108">
        <f t="shared" si="105"/>
        <v>83194.416599999997</v>
      </c>
      <c r="F370" s="108">
        <f t="shared" si="95"/>
        <v>71.229742835706503</v>
      </c>
      <c r="G370" s="108">
        <f t="shared" si="96"/>
        <v>254.12991212391157</v>
      </c>
      <c r="H370" s="108">
        <f t="shared" ref="H370:AE373" si="106">H32+H62+H80+H136+H157+H196+H214+H244+H283+H307+H343</f>
        <v>5333.3166899999997</v>
      </c>
      <c r="I370" s="108">
        <f t="shared" si="106"/>
        <v>5314.2000000000007</v>
      </c>
      <c r="J370" s="108">
        <f t="shared" si="106"/>
        <v>6672.6883500000004</v>
      </c>
      <c r="K370" s="108">
        <f t="shared" si="106"/>
        <v>6638</v>
      </c>
      <c r="L370" s="108">
        <f t="shared" si="106"/>
        <v>7101.81513</v>
      </c>
      <c r="M370" s="108">
        <f t="shared" si="106"/>
        <v>7092.9</v>
      </c>
      <c r="N370" s="108">
        <f t="shared" si="106"/>
        <v>13629.143340000001</v>
      </c>
      <c r="O370" s="108">
        <f t="shared" si="106"/>
        <v>13392.81</v>
      </c>
      <c r="P370" s="108">
        <f t="shared" si="106"/>
        <v>16522.12802</v>
      </c>
      <c r="Q370" s="108">
        <f t="shared" si="106"/>
        <v>13099.740000000002</v>
      </c>
      <c r="R370" s="108">
        <f t="shared" si="106"/>
        <v>10939.30862</v>
      </c>
      <c r="S370" s="108">
        <f t="shared" si="106"/>
        <v>14336.93</v>
      </c>
      <c r="T370" s="108">
        <f t="shared" si="106"/>
        <v>522.71104000000003</v>
      </c>
      <c r="U370" s="108">
        <f t="shared" si="106"/>
        <v>2000</v>
      </c>
      <c r="V370" s="108">
        <f t="shared" si="106"/>
        <v>1863.3516500000001</v>
      </c>
      <c r="W370" s="108">
        <f t="shared" si="106"/>
        <v>386.32</v>
      </c>
      <c r="X370" s="108">
        <f t="shared" si="106"/>
        <v>15091.444449999999</v>
      </c>
      <c r="Y370" s="108">
        <f t="shared" si="106"/>
        <v>9600.9066000000003</v>
      </c>
      <c r="Z370" s="108">
        <f t="shared" si="106"/>
        <v>13743.018769999999</v>
      </c>
      <c r="AA370" s="108">
        <f t="shared" si="106"/>
        <v>11332.61</v>
      </c>
      <c r="AB370" s="108">
        <f t="shared" si="106"/>
        <v>11395.474619999999</v>
      </c>
      <c r="AC370" s="108">
        <f t="shared" si="106"/>
        <v>0</v>
      </c>
      <c r="AD370" s="108">
        <f t="shared" si="106"/>
        <v>13982.89956</v>
      </c>
      <c r="AE370" s="108">
        <f t="shared" si="106"/>
        <v>0</v>
      </c>
      <c r="AF370" s="108"/>
      <c r="AG370" s="24">
        <f t="shared" si="103"/>
        <v>-1.8189894035458565E-11</v>
      </c>
    </row>
    <row r="371" spans="1:33" x14ac:dyDescent="0.3">
      <c r="A371" s="107" t="s">
        <v>29</v>
      </c>
      <c r="B371" s="108">
        <f t="shared" si="105"/>
        <v>2522614.7917999993</v>
      </c>
      <c r="C371" s="108">
        <f t="shared" si="105"/>
        <v>910923.11861999996</v>
      </c>
      <c r="D371" s="108">
        <f t="shared" si="105"/>
        <v>1825736.6258</v>
      </c>
      <c r="E371" s="108">
        <f t="shared" si="105"/>
        <v>1825736.6258</v>
      </c>
      <c r="F371" s="108">
        <f t="shared" si="95"/>
        <v>72.374768899902264</v>
      </c>
      <c r="G371" s="108">
        <f t="shared" si="96"/>
        <v>200.427081987544</v>
      </c>
      <c r="H371" s="108">
        <f t="shared" si="106"/>
        <v>181751.87999999998</v>
      </c>
      <c r="I371" s="108">
        <f t="shared" si="106"/>
        <v>39614.799999999996</v>
      </c>
      <c r="J371" s="108">
        <f t="shared" si="106"/>
        <v>240507.02979000003</v>
      </c>
      <c r="K371" s="108">
        <f t="shared" si="106"/>
        <v>212144</v>
      </c>
      <c r="L371" s="108">
        <f t="shared" si="106"/>
        <v>218294.38578999997</v>
      </c>
      <c r="M371" s="108">
        <f t="shared" si="106"/>
        <v>177406.36000000002</v>
      </c>
      <c r="N371" s="108">
        <f t="shared" si="106"/>
        <v>254948.39253999997</v>
      </c>
      <c r="O371" s="108">
        <f t="shared" si="106"/>
        <v>185166.59999999998</v>
      </c>
      <c r="P371" s="108">
        <f t="shared" si="106"/>
        <v>410385.94958999997</v>
      </c>
      <c r="Q371" s="108">
        <f t="shared" si="106"/>
        <v>409853.12</v>
      </c>
      <c r="R371" s="108">
        <f t="shared" si="106"/>
        <v>192748.10718000002</v>
      </c>
      <c r="S371" s="108">
        <f t="shared" si="106"/>
        <v>197186.55</v>
      </c>
      <c r="T371" s="108">
        <f t="shared" si="106"/>
        <v>163476.86179</v>
      </c>
      <c r="U371" s="108">
        <f t="shared" si="106"/>
        <v>134601.06</v>
      </c>
      <c r="V371" s="108">
        <f t="shared" si="106"/>
        <v>96815.035789999994</v>
      </c>
      <c r="W371" s="108">
        <f t="shared" si="106"/>
        <v>103564.37999999999</v>
      </c>
      <c r="X371" s="108">
        <f t="shared" si="106"/>
        <v>139279.86658999999</v>
      </c>
      <c r="Y371" s="108">
        <f t="shared" si="106"/>
        <v>114875.8558</v>
      </c>
      <c r="Z371" s="108">
        <f t="shared" si="106"/>
        <v>147997.59888999999</v>
      </c>
      <c r="AA371" s="108">
        <f t="shared" si="106"/>
        <v>251323.90000000002</v>
      </c>
      <c r="AB371" s="108">
        <f t="shared" si="106"/>
        <v>262947.42769000004</v>
      </c>
      <c r="AC371" s="108">
        <f t="shared" si="106"/>
        <v>0</v>
      </c>
      <c r="AD371" s="108">
        <f t="shared" si="106"/>
        <v>213462.25615999999</v>
      </c>
      <c r="AE371" s="108">
        <f t="shared" si="106"/>
        <v>0</v>
      </c>
      <c r="AF371" s="108"/>
      <c r="AG371" s="24">
        <f t="shared" si="103"/>
        <v>-6.9849193096160889E-10</v>
      </c>
    </row>
    <row r="372" spans="1:33" x14ac:dyDescent="0.3">
      <c r="A372" s="107" t="s">
        <v>30</v>
      </c>
      <c r="B372" s="108">
        <f t="shared" si="105"/>
        <v>749573.43934999988</v>
      </c>
      <c r="C372" s="108">
        <f t="shared" si="105"/>
        <v>370673.94190999999</v>
      </c>
      <c r="D372" s="108">
        <f t="shared" si="105"/>
        <v>643643.62605000008</v>
      </c>
      <c r="E372" s="108">
        <f t="shared" si="105"/>
        <v>643643.62605000008</v>
      </c>
      <c r="F372" s="108">
        <f t="shared" si="95"/>
        <v>85.86798734599536</v>
      </c>
      <c r="G372" s="108">
        <f t="shared" si="96"/>
        <v>173.64145500313518</v>
      </c>
      <c r="H372" s="108">
        <f t="shared" si="106"/>
        <v>69472.761879999991</v>
      </c>
      <c r="I372" s="108">
        <f t="shared" si="106"/>
        <v>64785.07</v>
      </c>
      <c r="J372" s="108">
        <f t="shared" si="106"/>
        <v>91869.391109999997</v>
      </c>
      <c r="K372" s="108">
        <f t="shared" si="106"/>
        <v>92021.366999999998</v>
      </c>
      <c r="L372" s="108">
        <f t="shared" si="106"/>
        <v>67954.347609999997</v>
      </c>
      <c r="M372" s="108">
        <f t="shared" si="106"/>
        <v>68573.750000000015</v>
      </c>
      <c r="N372" s="108">
        <f t="shared" si="106"/>
        <v>66623.551189999998</v>
      </c>
      <c r="O372" s="108">
        <f t="shared" si="106"/>
        <v>65272.480000000003</v>
      </c>
      <c r="P372" s="108">
        <f t="shared" si="106"/>
        <v>74986.113859999998</v>
      </c>
      <c r="Q372" s="108">
        <f t="shared" si="106"/>
        <v>64465.299999999996</v>
      </c>
      <c r="R372" s="108">
        <f t="shared" si="106"/>
        <v>62980.747130000003</v>
      </c>
      <c r="S372" s="108">
        <f t="shared" si="106"/>
        <v>64973.890000000007</v>
      </c>
      <c r="T372" s="108">
        <f t="shared" si="106"/>
        <v>90352.79813000001</v>
      </c>
      <c r="U372" s="108">
        <f t="shared" si="106"/>
        <v>83045.48000000001</v>
      </c>
      <c r="V372" s="108">
        <f t="shared" si="106"/>
        <v>37574.963230000001</v>
      </c>
      <c r="W372" s="108">
        <f t="shared" si="106"/>
        <v>39456.345800000003</v>
      </c>
      <c r="X372" s="108">
        <f t="shared" si="106"/>
        <v>39996.933299999997</v>
      </c>
      <c r="Y372" s="108">
        <f t="shared" si="106"/>
        <v>35344.773249999998</v>
      </c>
      <c r="Z372" s="108">
        <f t="shared" si="106"/>
        <v>68418.392779999995</v>
      </c>
      <c r="AA372" s="108">
        <f t="shared" si="106"/>
        <v>65705.17</v>
      </c>
      <c r="AB372" s="108">
        <f t="shared" si="106"/>
        <v>32825.525040000008</v>
      </c>
      <c r="AC372" s="108">
        <f t="shared" si="106"/>
        <v>0</v>
      </c>
      <c r="AD372" s="108">
        <f t="shared" si="106"/>
        <v>46517.914089999998</v>
      </c>
      <c r="AE372" s="108">
        <f t="shared" si="106"/>
        <v>0</v>
      </c>
      <c r="AF372" s="108"/>
      <c r="AG372" s="24">
        <f t="shared" si="103"/>
        <v>0</v>
      </c>
    </row>
    <row r="373" spans="1:33" x14ac:dyDescent="0.3">
      <c r="A373" s="110" t="s">
        <v>31</v>
      </c>
      <c r="B373" s="108">
        <f>B35+B65+B83+B139+B160+B199+B217+B247+B286+B310+B346</f>
        <v>19519.5</v>
      </c>
      <c r="C373" s="108">
        <f>C146+C101+C41</f>
        <v>19519.5</v>
      </c>
      <c r="D373" s="108">
        <f>D35+D65+D83+D139+D160+D199+D217+D247+D286+D310+D346</f>
        <v>19519.5</v>
      </c>
      <c r="E373" s="108">
        <f>E35+E65+E83+E139+E160+E199+E217+E247+E286+E310+E346</f>
        <v>19519.5</v>
      </c>
      <c r="F373" s="108">
        <f t="shared" si="95"/>
        <v>100</v>
      </c>
      <c r="G373" s="108">
        <f t="shared" si="96"/>
        <v>100</v>
      </c>
      <c r="H373" s="108">
        <f t="shared" si="106"/>
        <v>0</v>
      </c>
      <c r="I373" s="108">
        <f t="shared" si="106"/>
        <v>0</v>
      </c>
      <c r="J373" s="108">
        <f t="shared" si="106"/>
        <v>0</v>
      </c>
      <c r="K373" s="108">
        <f t="shared" si="106"/>
        <v>0</v>
      </c>
      <c r="L373" s="108">
        <f t="shared" si="106"/>
        <v>3230</v>
      </c>
      <c r="M373" s="108">
        <f t="shared" si="106"/>
        <v>3230</v>
      </c>
      <c r="N373" s="108">
        <f t="shared" si="106"/>
        <v>4111</v>
      </c>
      <c r="O373" s="108">
        <f t="shared" si="106"/>
        <v>4111</v>
      </c>
      <c r="P373" s="108">
        <f t="shared" si="106"/>
        <v>5700</v>
      </c>
      <c r="Q373" s="108">
        <f t="shared" si="106"/>
        <v>5700</v>
      </c>
      <c r="R373" s="108">
        <f t="shared" si="106"/>
        <v>2699.83</v>
      </c>
      <c r="S373" s="108">
        <f t="shared" si="106"/>
        <v>2699.83</v>
      </c>
      <c r="T373" s="108">
        <f t="shared" si="106"/>
        <v>0</v>
      </c>
      <c r="U373" s="108">
        <f t="shared" si="106"/>
        <v>0</v>
      </c>
      <c r="V373" s="108">
        <f t="shared" si="106"/>
        <v>0</v>
      </c>
      <c r="W373" s="108">
        <f t="shared" si="106"/>
        <v>0</v>
      </c>
      <c r="X373" s="108">
        <f t="shared" si="106"/>
        <v>1301.17</v>
      </c>
      <c r="Y373" s="108">
        <f t="shared" si="106"/>
        <v>1119.67</v>
      </c>
      <c r="Z373" s="108">
        <f>Z35+Z65+Z83+Z139+Z160+Z199+Z217+Z247+Z286+Z310+Z346</f>
        <v>2477.5</v>
      </c>
      <c r="AA373" s="108">
        <f t="shared" si="106"/>
        <v>2659</v>
      </c>
      <c r="AB373" s="108">
        <f t="shared" si="106"/>
        <v>0</v>
      </c>
      <c r="AC373" s="108">
        <f t="shared" si="106"/>
        <v>0</v>
      </c>
      <c r="AD373" s="108">
        <f t="shared" si="106"/>
        <v>0</v>
      </c>
      <c r="AE373" s="108">
        <f t="shared" si="106"/>
        <v>0</v>
      </c>
      <c r="AF373" s="108"/>
      <c r="AG373" s="24">
        <f t="shared" si="103"/>
        <v>0</v>
      </c>
    </row>
    <row r="374" spans="1:33" x14ac:dyDescent="0.3">
      <c r="B374" s="111">
        <f t="shared" ref="B374:E378" si="107">B359-B364-B369</f>
        <v>0</v>
      </c>
      <c r="C374" s="111">
        <f t="shared" si="107"/>
        <v>0</v>
      </c>
      <c r="D374" s="111">
        <f t="shared" si="107"/>
        <v>0</v>
      </c>
      <c r="E374" s="111">
        <f t="shared" si="107"/>
        <v>0</v>
      </c>
      <c r="F374" s="111"/>
      <c r="G374" s="111"/>
      <c r="H374" s="111">
        <f t="shared" ref="H374:AE378" si="108">H359-H364-H369</f>
        <v>0</v>
      </c>
      <c r="I374" s="111">
        <f t="shared" si="108"/>
        <v>0</v>
      </c>
      <c r="J374" s="111">
        <f t="shared" si="108"/>
        <v>0</v>
      </c>
      <c r="K374" s="111">
        <f t="shared" si="108"/>
        <v>0</v>
      </c>
      <c r="L374" s="111">
        <f t="shared" si="108"/>
        <v>0</v>
      </c>
      <c r="M374" s="111">
        <f t="shared" si="108"/>
        <v>0</v>
      </c>
      <c r="N374" s="111">
        <f t="shared" si="108"/>
        <v>0</v>
      </c>
      <c r="O374" s="111">
        <f t="shared" si="108"/>
        <v>0</v>
      </c>
      <c r="P374" s="111">
        <f t="shared" si="108"/>
        <v>0</v>
      </c>
      <c r="Q374" s="111">
        <f t="shared" si="108"/>
        <v>0</v>
      </c>
      <c r="R374" s="111">
        <f t="shared" si="108"/>
        <v>0</v>
      </c>
      <c r="S374" s="111">
        <f t="shared" si="108"/>
        <v>0</v>
      </c>
      <c r="T374" s="111">
        <f t="shared" si="108"/>
        <v>0</v>
      </c>
      <c r="U374" s="111">
        <f t="shared" si="108"/>
        <v>0</v>
      </c>
      <c r="V374" s="111">
        <f t="shared" si="108"/>
        <v>0</v>
      </c>
      <c r="W374" s="111">
        <f t="shared" si="108"/>
        <v>0</v>
      </c>
      <c r="X374" s="111">
        <f t="shared" si="108"/>
        <v>0</v>
      </c>
      <c r="Y374" s="111">
        <f t="shared" si="108"/>
        <v>0</v>
      </c>
      <c r="Z374" s="111">
        <f t="shared" si="108"/>
        <v>0</v>
      </c>
      <c r="AA374" s="111">
        <f t="shared" si="108"/>
        <v>0</v>
      </c>
      <c r="AB374" s="111">
        <f t="shared" si="108"/>
        <v>0</v>
      </c>
      <c r="AC374" s="111">
        <f t="shared" si="108"/>
        <v>0</v>
      </c>
      <c r="AD374" s="111">
        <f t="shared" si="108"/>
        <v>0</v>
      </c>
      <c r="AE374" s="111">
        <f t="shared" si="108"/>
        <v>0</v>
      </c>
      <c r="AG374" s="24">
        <f t="shared" si="103"/>
        <v>0</v>
      </c>
    </row>
    <row r="375" spans="1:33" x14ac:dyDescent="0.3">
      <c r="A375" s="112" t="s">
        <v>28</v>
      </c>
      <c r="B375" s="111">
        <f t="shared" si="107"/>
        <v>0</v>
      </c>
      <c r="C375" s="111">
        <f>C360-C365-C370</f>
        <v>0</v>
      </c>
      <c r="D375" s="111">
        <f t="shared" si="107"/>
        <v>0</v>
      </c>
      <c r="E375" s="111">
        <f t="shared" si="107"/>
        <v>0</v>
      </c>
      <c r="F375" s="111"/>
      <c r="G375" s="111"/>
      <c r="H375" s="111">
        <f t="shared" si="108"/>
        <v>0</v>
      </c>
      <c r="I375" s="111">
        <f t="shared" si="108"/>
        <v>0</v>
      </c>
      <c r="J375" s="111">
        <f t="shared" si="108"/>
        <v>0</v>
      </c>
      <c r="K375" s="111">
        <f t="shared" si="108"/>
        <v>0</v>
      </c>
      <c r="L375" s="111">
        <f t="shared" si="108"/>
        <v>0</v>
      </c>
      <c r="M375" s="111">
        <f t="shared" si="108"/>
        <v>0</v>
      </c>
      <c r="N375" s="111">
        <f t="shared" si="108"/>
        <v>0</v>
      </c>
      <c r="O375" s="111">
        <f t="shared" si="108"/>
        <v>0</v>
      </c>
      <c r="P375" s="111">
        <f t="shared" si="108"/>
        <v>0</v>
      </c>
      <c r="Q375" s="111">
        <f t="shared" si="108"/>
        <v>0</v>
      </c>
      <c r="R375" s="111">
        <f t="shared" si="108"/>
        <v>0</v>
      </c>
      <c r="S375" s="111">
        <f t="shared" si="108"/>
        <v>0</v>
      </c>
      <c r="T375" s="111">
        <f t="shared" si="108"/>
        <v>0</v>
      </c>
      <c r="U375" s="111">
        <f t="shared" si="108"/>
        <v>0</v>
      </c>
      <c r="V375" s="111">
        <f t="shared" si="108"/>
        <v>0</v>
      </c>
      <c r="W375" s="111">
        <f t="shared" si="108"/>
        <v>0</v>
      </c>
      <c r="X375" s="111">
        <f t="shared" si="108"/>
        <v>0</v>
      </c>
      <c r="Y375" s="111">
        <f t="shared" si="108"/>
        <v>0</v>
      </c>
      <c r="Z375" s="111">
        <f t="shared" si="108"/>
        <v>0</v>
      </c>
      <c r="AA375" s="111">
        <f t="shared" si="108"/>
        <v>0</v>
      </c>
      <c r="AB375" s="111">
        <f t="shared" si="108"/>
        <v>-3.4560798667371273E-11</v>
      </c>
      <c r="AC375" s="111">
        <f t="shared" si="108"/>
        <v>0</v>
      </c>
      <c r="AD375" s="111">
        <f t="shared" si="108"/>
        <v>0</v>
      </c>
      <c r="AE375" s="111">
        <f t="shared" si="108"/>
        <v>0</v>
      </c>
      <c r="AG375" s="24">
        <f t="shared" si="103"/>
        <v>3.4560798667371273E-11</v>
      </c>
    </row>
    <row r="376" spans="1:33" x14ac:dyDescent="0.3">
      <c r="A376" s="112" t="s">
        <v>29</v>
      </c>
      <c r="B376" s="111">
        <f t="shared" si="107"/>
        <v>0</v>
      </c>
      <c r="C376" s="111">
        <f t="shared" si="107"/>
        <v>0</v>
      </c>
      <c r="D376" s="111">
        <f t="shared" si="107"/>
        <v>0</v>
      </c>
      <c r="E376" s="111">
        <f t="shared" si="107"/>
        <v>0</v>
      </c>
      <c r="F376" s="111"/>
      <c r="G376" s="111"/>
      <c r="H376" s="111">
        <f t="shared" si="108"/>
        <v>0</v>
      </c>
      <c r="I376" s="111">
        <f t="shared" si="108"/>
        <v>0</v>
      </c>
      <c r="J376" s="111">
        <f t="shared" si="108"/>
        <v>0</v>
      </c>
      <c r="K376" s="111">
        <f t="shared" si="108"/>
        <v>0</v>
      </c>
      <c r="L376" s="111">
        <f t="shared" si="108"/>
        <v>0</v>
      </c>
      <c r="M376" s="111">
        <f t="shared" si="108"/>
        <v>0</v>
      </c>
      <c r="N376" s="111">
        <f t="shared" si="108"/>
        <v>0</v>
      </c>
      <c r="O376" s="111">
        <f t="shared" si="108"/>
        <v>0</v>
      </c>
      <c r="P376" s="111">
        <f t="shared" si="108"/>
        <v>0</v>
      </c>
      <c r="Q376" s="111">
        <f t="shared" si="108"/>
        <v>0</v>
      </c>
      <c r="R376" s="111">
        <f t="shared" si="108"/>
        <v>0</v>
      </c>
      <c r="S376" s="111">
        <f t="shared" si="108"/>
        <v>0</v>
      </c>
      <c r="T376" s="111">
        <f t="shared" si="108"/>
        <v>0</v>
      </c>
      <c r="U376" s="111">
        <f t="shared" si="108"/>
        <v>0</v>
      </c>
      <c r="V376" s="111">
        <f t="shared" si="108"/>
        <v>0</v>
      </c>
      <c r="W376" s="111">
        <f t="shared" si="108"/>
        <v>0</v>
      </c>
      <c r="X376" s="111">
        <f t="shared" si="108"/>
        <v>0</v>
      </c>
      <c r="Y376" s="111">
        <f t="shared" si="108"/>
        <v>0</v>
      </c>
      <c r="Z376" s="111">
        <f t="shared" si="108"/>
        <v>0</v>
      </c>
      <c r="AA376" s="111">
        <f t="shared" si="108"/>
        <v>0</v>
      </c>
      <c r="AB376" s="111">
        <f t="shared" si="108"/>
        <v>0</v>
      </c>
      <c r="AC376" s="111">
        <f t="shared" si="108"/>
        <v>0</v>
      </c>
      <c r="AD376" s="111">
        <f t="shared" si="108"/>
        <v>0</v>
      </c>
      <c r="AE376" s="111">
        <f t="shared" si="108"/>
        <v>0</v>
      </c>
      <c r="AG376" s="24">
        <f t="shared" si="103"/>
        <v>0</v>
      </c>
    </row>
    <row r="377" spans="1:33" x14ac:dyDescent="0.3">
      <c r="A377" s="112" t="s">
        <v>30</v>
      </c>
      <c r="B377" s="111">
        <f t="shared" si="107"/>
        <v>0</v>
      </c>
      <c r="C377" s="111">
        <f>C362-C367-C372</f>
        <v>0</v>
      </c>
      <c r="D377" s="111">
        <f t="shared" si="107"/>
        <v>0</v>
      </c>
      <c r="E377" s="111">
        <f t="shared" si="107"/>
        <v>0</v>
      </c>
      <c r="F377" s="111"/>
      <c r="G377" s="111"/>
      <c r="H377" s="111">
        <f t="shared" si="108"/>
        <v>0</v>
      </c>
      <c r="I377" s="111">
        <f t="shared" si="108"/>
        <v>0</v>
      </c>
      <c r="J377" s="111">
        <f t="shared" si="108"/>
        <v>0</v>
      </c>
      <c r="K377" s="111">
        <f t="shared" si="108"/>
        <v>0</v>
      </c>
      <c r="L377" s="111">
        <f t="shared" si="108"/>
        <v>0</v>
      </c>
      <c r="M377" s="111">
        <f t="shared" si="108"/>
        <v>0</v>
      </c>
      <c r="N377" s="111">
        <f t="shared" si="108"/>
        <v>0</v>
      </c>
      <c r="O377" s="111">
        <f t="shared" si="108"/>
        <v>0</v>
      </c>
      <c r="P377" s="111">
        <f t="shared" si="108"/>
        <v>0</v>
      </c>
      <c r="Q377" s="111">
        <f t="shared" si="108"/>
        <v>0</v>
      </c>
      <c r="R377" s="111">
        <f t="shared" si="108"/>
        <v>0</v>
      </c>
      <c r="S377" s="111">
        <f t="shared" si="108"/>
        <v>0</v>
      </c>
      <c r="T377" s="111">
        <f t="shared" si="108"/>
        <v>0</v>
      </c>
      <c r="U377" s="111">
        <f t="shared" si="108"/>
        <v>0</v>
      </c>
      <c r="V377" s="111">
        <f t="shared" si="108"/>
        <v>0</v>
      </c>
      <c r="W377" s="111">
        <f t="shared" si="108"/>
        <v>0</v>
      </c>
      <c r="X377" s="111">
        <f t="shared" si="108"/>
        <v>0</v>
      </c>
      <c r="Y377" s="111">
        <f t="shared" si="108"/>
        <v>0</v>
      </c>
      <c r="Z377" s="111">
        <f t="shared" si="108"/>
        <v>0</v>
      </c>
      <c r="AA377" s="111">
        <f t="shared" si="108"/>
        <v>0</v>
      </c>
      <c r="AB377" s="111">
        <f t="shared" si="108"/>
        <v>0</v>
      </c>
      <c r="AC377" s="111">
        <f t="shared" si="108"/>
        <v>0</v>
      </c>
      <c r="AD377" s="111">
        <f t="shared" si="108"/>
        <v>0</v>
      </c>
      <c r="AE377" s="111">
        <f t="shared" si="108"/>
        <v>0</v>
      </c>
      <c r="AG377" s="24">
        <f t="shared" si="103"/>
        <v>0</v>
      </c>
    </row>
    <row r="378" spans="1:33" x14ac:dyDescent="0.3">
      <c r="A378" s="112" t="s">
        <v>31</v>
      </c>
      <c r="B378" s="111">
        <f>B363-B368-B373</f>
        <v>0</v>
      </c>
      <c r="C378" s="111">
        <f>C363-C368-C373</f>
        <v>-2477.5</v>
      </c>
      <c r="D378" s="111">
        <f t="shared" si="107"/>
        <v>0</v>
      </c>
      <c r="E378" s="111">
        <f t="shared" si="107"/>
        <v>0</v>
      </c>
      <c r="F378" s="111"/>
      <c r="G378" s="111"/>
      <c r="H378" s="111">
        <f t="shared" si="108"/>
        <v>0</v>
      </c>
      <c r="I378" s="111">
        <f t="shared" si="108"/>
        <v>0</v>
      </c>
      <c r="J378" s="111">
        <f t="shared" si="108"/>
        <v>0</v>
      </c>
      <c r="K378" s="111">
        <f t="shared" si="108"/>
        <v>0</v>
      </c>
      <c r="L378" s="111">
        <f t="shared" si="108"/>
        <v>0</v>
      </c>
      <c r="M378" s="111">
        <f t="shared" si="108"/>
        <v>0</v>
      </c>
      <c r="N378" s="111">
        <f t="shared" si="108"/>
        <v>0</v>
      </c>
      <c r="O378" s="111">
        <f t="shared" si="108"/>
        <v>0</v>
      </c>
      <c r="P378" s="111">
        <f t="shared" si="108"/>
        <v>0</v>
      </c>
      <c r="Q378" s="111">
        <f t="shared" si="108"/>
        <v>0</v>
      </c>
      <c r="R378" s="111">
        <f t="shared" si="108"/>
        <v>0</v>
      </c>
      <c r="S378" s="111">
        <f t="shared" si="108"/>
        <v>0</v>
      </c>
      <c r="T378" s="111">
        <f t="shared" si="108"/>
        <v>0</v>
      </c>
      <c r="U378" s="111">
        <f t="shared" si="108"/>
        <v>0</v>
      </c>
      <c r="V378" s="111">
        <f t="shared" si="108"/>
        <v>0</v>
      </c>
      <c r="W378" s="111">
        <f t="shared" si="108"/>
        <v>0</v>
      </c>
      <c r="X378" s="111">
        <f t="shared" si="108"/>
        <v>0</v>
      </c>
      <c r="Y378" s="111">
        <f t="shared" si="108"/>
        <v>0</v>
      </c>
      <c r="Z378" s="111">
        <f t="shared" si="108"/>
        <v>0</v>
      </c>
      <c r="AA378" s="111">
        <f t="shared" si="108"/>
        <v>0</v>
      </c>
      <c r="AB378" s="111">
        <f t="shared" si="108"/>
        <v>0</v>
      </c>
      <c r="AC378" s="111">
        <f t="shared" si="108"/>
        <v>0</v>
      </c>
      <c r="AD378" s="111">
        <f t="shared" si="108"/>
        <v>0</v>
      </c>
      <c r="AE378" s="111">
        <f t="shared" si="108"/>
        <v>0</v>
      </c>
      <c r="AG378" s="24">
        <f t="shared" si="103"/>
        <v>0</v>
      </c>
    </row>
    <row r="380" spans="1:33" x14ac:dyDescent="0.3">
      <c r="B380" s="111">
        <f>B19+B25+B38+B44+B50+B68+B74+B92+B98+B104+B110+B124+B130+B142+B149+B163+B177+B189+B202+B208+B220+B226+B232+B238+B250+B256+B270+B276+B289+B295+B301+B313+B325+B331+B337+B349+B355-B360</f>
        <v>-156.19999999995343</v>
      </c>
      <c r="C380" s="111">
        <f>C19+C25+C38+C44+C50+C68+C74+C92+C98+C104+C110+C124+C130+C142+C149+C163+C177+C189+C202+C208+C220+C226+C232+C238+C250+C256+C270+C276+C289+C295+C301+C313+C325+C331+C337+C349+C355-C360</f>
        <v>58603.862549999983</v>
      </c>
      <c r="D380" s="111">
        <f>D19+D25+D38+D44+D50+D68+D74+D92+D98+D104+D110+D124+D130+D142+D149+D163+D177+D189+D202+D208+D220+D226+D232+D238+D250+D256+D270+D276+D289+D295+D301+D313+D325+D331+D337+D349+D355-D360</f>
        <v>-56.100000000005821</v>
      </c>
      <c r="E380" s="111">
        <f>E19+E25+E38+E44+E50+E68+E74+E92+E98+E104+E110+E124+E130+E142+E149+E163+E177+E189+E202+E208+E220+E226+E232+E238+E250+E256+E270+E276+E289+E295+E301+E313+E325+E331+E337+E349+E355-E360</f>
        <v>-56.100000000005821</v>
      </c>
      <c r="F380" s="111">
        <f t="shared" ref="F380:AE380" si="109">F19+F25+F38+F44+F50+F68+F74+F92+F98+F104+F110+F124+F130+F142+F149+F163+F177+F189+F202+F208+F220+F226+F232+F238+F250+F256+F270+F276+F289+F295+F301+F313+F325+F331+F337+F349+F355-F360</f>
        <v>191.1033747482669</v>
      </c>
      <c r="G380" s="111">
        <f t="shared" si="109"/>
        <v>174.74165172722999</v>
      </c>
      <c r="H380" s="111">
        <f t="shared" si="109"/>
        <v>0</v>
      </c>
      <c r="I380" s="111">
        <f t="shared" si="109"/>
        <v>0</v>
      </c>
      <c r="J380" s="111">
        <f t="shared" si="109"/>
        <v>0</v>
      </c>
      <c r="K380" s="111">
        <f t="shared" si="109"/>
        <v>0</v>
      </c>
      <c r="L380" s="111">
        <f t="shared" si="109"/>
        <v>0</v>
      </c>
      <c r="M380" s="111">
        <f t="shared" si="109"/>
        <v>0</v>
      </c>
      <c r="N380" s="111">
        <f t="shared" si="109"/>
        <v>0</v>
      </c>
      <c r="O380" s="111">
        <f t="shared" si="109"/>
        <v>0</v>
      </c>
      <c r="P380" s="111">
        <f t="shared" si="109"/>
        <v>0</v>
      </c>
      <c r="Q380" s="111">
        <f t="shared" si="109"/>
        <v>0</v>
      </c>
      <c r="R380" s="111">
        <f t="shared" si="109"/>
        <v>0</v>
      </c>
      <c r="S380" s="111">
        <f t="shared" si="109"/>
        <v>0</v>
      </c>
      <c r="T380" s="111">
        <f t="shared" si="109"/>
        <v>0</v>
      </c>
      <c r="U380" s="111">
        <f t="shared" si="109"/>
        <v>0</v>
      </c>
      <c r="V380" s="111">
        <f t="shared" si="109"/>
        <v>0</v>
      </c>
      <c r="W380" s="111">
        <f t="shared" si="109"/>
        <v>0</v>
      </c>
      <c r="X380" s="111">
        <f>X19+X25+X38+X44+X50+X68+X74+X92+X98+X104+X110+X124+X130+X142+X149+X163+X177+X189+X202+X208+X220+X226+X232+X238+X250+X256+X270+X276+X289+X295+X301+X313+X325+X331+X337+X349+X355-X360</f>
        <v>-39.05000000000291</v>
      </c>
      <c r="Y380" s="111">
        <f>Y19+Y25+Y38+Y44+Y50+Y68+Y74+Y92+Y98+Y104+Y110+Y124+Y130+Y142+Y149+Y163+Y177+Y189+Y202+Y208+Y220+Y226+Y232+Y238+Y250+Y256+Y270+Y276+Y289+Y295+Y301+Y313+Y325+Y331+Y337+Y349+Y355-Y360</f>
        <v>-30</v>
      </c>
      <c r="Z380" s="111">
        <f t="shared" si="109"/>
        <v>-39.049999999999272</v>
      </c>
      <c r="AA380" s="111">
        <f t="shared" si="109"/>
        <v>-26.100000000000364</v>
      </c>
      <c r="AB380" s="111">
        <f t="shared" si="109"/>
        <v>-39.049999999988358</v>
      </c>
      <c r="AC380" s="111">
        <f t="shared" si="109"/>
        <v>0</v>
      </c>
      <c r="AD380" s="111">
        <f>AD19+AD25+AD38+AD44+AD50+AD68+AD74+AD92+AD98+AD104+AD110+AD124+AD130+AD142+AD149+AD163+AD177+AD189+AD202+AD208+AD220+AD226+AD232+AD238+AD250+AD256+AD270+AD276+AD289+AD295+AD301+AD313+AD325+AD331+AD337+AD349+AD355-AD360</f>
        <v>-39.049999999999272</v>
      </c>
      <c r="AE380" s="111">
        <f t="shared" si="109"/>
        <v>0</v>
      </c>
    </row>
    <row r="381" spans="1:33" x14ac:dyDescent="0.3">
      <c r="B381" s="111">
        <f t="shared" ref="B381:AE382" si="110">B20+B26+B39+B45+B51+B69+B75+B93+B99+B105+B111+B125+B131+B143+B150+B164+B178+B190+B203+B209+B221+B227+B233+B239+B251+B257+B271+B277+B290+B296+B302+B314+B326+B332+B338+B350+B356-B361</f>
        <v>0</v>
      </c>
      <c r="C381" s="111">
        <f t="shared" si="110"/>
        <v>1135281.9893299998</v>
      </c>
      <c r="D381" s="111">
        <f t="shared" si="110"/>
        <v>0</v>
      </c>
      <c r="E381" s="111">
        <f t="shared" si="110"/>
        <v>0</v>
      </c>
      <c r="F381" s="111">
        <f t="shared" si="110"/>
        <v>708.28797252650406</v>
      </c>
      <c r="G381" s="111">
        <f t="shared" si="110"/>
        <v>812.22590418839741</v>
      </c>
      <c r="H381" s="111">
        <f t="shared" si="110"/>
        <v>0</v>
      </c>
      <c r="I381" s="111">
        <f t="shared" si="110"/>
        <v>0</v>
      </c>
      <c r="J381" s="111">
        <f t="shared" si="110"/>
        <v>0</v>
      </c>
      <c r="K381" s="111">
        <f t="shared" si="110"/>
        <v>0</v>
      </c>
      <c r="L381" s="111">
        <f t="shared" si="110"/>
        <v>0</v>
      </c>
      <c r="M381" s="111">
        <f t="shared" si="110"/>
        <v>0</v>
      </c>
      <c r="N381" s="111">
        <f t="shared" si="110"/>
        <v>0</v>
      </c>
      <c r="O381" s="111">
        <f t="shared" si="110"/>
        <v>0</v>
      </c>
      <c r="P381" s="111">
        <f t="shared" si="110"/>
        <v>0</v>
      </c>
      <c r="Q381" s="111">
        <f t="shared" si="110"/>
        <v>0</v>
      </c>
      <c r="R381" s="111">
        <f t="shared" si="110"/>
        <v>0</v>
      </c>
      <c r="S381" s="111">
        <f t="shared" si="110"/>
        <v>0</v>
      </c>
      <c r="T381" s="111">
        <f t="shared" si="110"/>
        <v>0</v>
      </c>
      <c r="U381" s="111">
        <f t="shared" si="110"/>
        <v>0</v>
      </c>
      <c r="V381" s="111">
        <f t="shared" si="110"/>
        <v>0</v>
      </c>
      <c r="W381" s="111">
        <f t="shared" si="110"/>
        <v>0</v>
      </c>
      <c r="X381" s="111">
        <f t="shared" si="110"/>
        <v>0</v>
      </c>
      <c r="Y381" s="111">
        <f t="shared" si="110"/>
        <v>0</v>
      </c>
      <c r="Z381" s="111">
        <f t="shared" si="110"/>
        <v>0</v>
      </c>
      <c r="AA381" s="111">
        <f t="shared" si="110"/>
        <v>0</v>
      </c>
      <c r="AB381" s="111">
        <f t="shared" si="110"/>
        <v>0</v>
      </c>
      <c r="AC381" s="111">
        <f t="shared" si="110"/>
        <v>0</v>
      </c>
      <c r="AD381" s="111">
        <f t="shared" si="110"/>
        <v>0</v>
      </c>
      <c r="AE381" s="111">
        <f t="shared" si="110"/>
        <v>0</v>
      </c>
    </row>
    <row r="382" spans="1:33" x14ac:dyDescent="0.3">
      <c r="B382" s="111">
        <f>B21+B27+B40+B46+B52+B70+B76+B94+B100+B106+B112+B126+B132+B144+B151+B165+B179+B191+B204+B210+B222+B228+B234+B240+B252+B258+B272+B278+B291+B297+B303+B315+B327+B333+B339+B351+B357+B55-B362</f>
        <v>0</v>
      </c>
      <c r="C382" s="111">
        <f>C21+C27+C40+C46+C52+C70+C76+C94+C100+C106+C112+C126+C132+C144+C151+C165+C179+C191+C204+C210+C222+C228+C234+C240+C252+C258+C272+C278+C291+C297+C303+C315+C327+C333+C339+C351+C357-C362</f>
        <v>295181.04452000017</v>
      </c>
      <c r="D382" s="111">
        <f t="shared" si="110"/>
        <v>0</v>
      </c>
      <c r="E382" s="111">
        <f t="shared" si="110"/>
        <v>0</v>
      </c>
      <c r="F382" s="111">
        <f t="shared" si="110"/>
        <v>1922.9123124981154</v>
      </c>
      <c r="G382" s="111">
        <f t="shared" si="110"/>
        <v>2179.1034905154829</v>
      </c>
      <c r="H382" s="111">
        <f t="shared" si="110"/>
        <v>0</v>
      </c>
      <c r="I382" s="111">
        <f t="shared" si="110"/>
        <v>0</v>
      </c>
      <c r="J382" s="111">
        <f t="shared" si="110"/>
        <v>0</v>
      </c>
      <c r="K382" s="111">
        <f t="shared" si="110"/>
        <v>0</v>
      </c>
      <c r="L382" s="111">
        <f t="shared" si="110"/>
        <v>0</v>
      </c>
      <c r="M382" s="111">
        <f t="shared" si="110"/>
        <v>0</v>
      </c>
      <c r="N382" s="111">
        <f t="shared" si="110"/>
        <v>0</v>
      </c>
      <c r="O382" s="111">
        <f t="shared" si="110"/>
        <v>0</v>
      </c>
      <c r="P382" s="111">
        <f t="shared" si="110"/>
        <v>0</v>
      </c>
      <c r="Q382" s="111">
        <f t="shared" si="110"/>
        <v>0</v>
      </c>
      <c r="R382" s="111">
        <f t="shared" si="110"/>
        <v>0</v>
      </c>
      <c r="S382" s="111">
        <f t="shared" si="110"/>
        <v>0</v>
      </c>
      <c r="T382" s="111">
        <f>T21+T27+T40+T46+T52+T70+T76+T94+T100+T106+T112+T126+T132+T144+T151+T165+T179+T191+T204+T210+T222+T228+T234+T240+T252+T258+T272+T278+T291+T297+T303+T315+T327+T333+T339+T351+T357+T58-T362</f>
        <v>0</v>
      </c>
      <c r="U382" s="111">
        <f t="shared" si="110"/>
        <v>0</v>
      </c>
      <c r="V382" s="111">
        <f t="shared" si="110"/>
        <v>0</v>
      </c>
      <c r="W382" s="111">
        <f t="shared" si="110"/>
        <v>0</v>
      </c>
      <c r="X382" s="111">
        <f t="shared" si="110"/>
        <v>0</v>
      </c>
      <c r="Y382" s="111">
        <f t="shared" si="110"/>
        <v>0</v>
      </c>
      <c r="Z382" s="111">
        <f t="shared" si="110"/>
        <v>0</v>
      </c>
      <c r="AA382" s="111">
        <f t="shared" si="110"/>
        <v>0</v>
      </c>
      <c r="AB382" s="111">
        <f t="shared" si="110"/>
        <v>0</v>
      </c>
      <c r="AC382" s="111">
        <f t="shared" si="110"/>
        <v>0</v>
      </c>
      <c r="AD382" s="111">
        <f t="shared" si="110"/>
        <v>0</v>
      </c>
      <c r="AE382" s="111">
        <f t="shared" si="110"/>
        <v>0</v>
      </c>
    </row>
    <row r="383" spans="1:33" x14ac:dyDescent="0.3">
      <c r="B383" s="111">
        <f>B22+B28+B41+B47+B53+B71+B77+B95+B101+B107+B113+B127+B133+B146+B152+B166+B180+B192+B205+B211+B223+B229+B235+B241+B253+B259+B273+B279+B292+B298+B304+B316+B328+B334+B340+B352+B358-B363</f>
        <v>0</v>
      </c>
      <c r="C383" s="111">
        <f>C22+C28+C41+C47+C53+C71+C77+C95+C101+C107+C113+C127+C133+C146+C152+C166+C180+C192+C205+C211+C223+C229+C235+C241+C253+C259+C273+C279+C292+C298+C304+C316+C328+C334+C340+C352+C358-C363</f>
        <v>2477.5</v>
      </c>
      <c r="D383" s="111">
        <f>D22+D28+D41+D47+D53+D71+D77+D95+D101+D107+D113+D127+D133+D146+D152+D166+D180+D192+D205+D211+D223+D229+D235+D241+D253+D259+D273+D279+D292+D298+D304+D316+D328+D334+D340+D352+D358-D363</f>
        <v>0</v>
      </c>
      <c r="E383" s="111">
        <f>E22+E28+E41+E47+E53+E71+E77+E95+E101+E107+E113+E127+E133+E146+E152+E166+E180+E192+E205+E211+E223+E229+E235+E241+E253+E259+E273+E279+E292+E298+E304+E316+E328+E334+E340+E352+E358-E363</f>
        <v>0</v>
      </c>
      <c r="F383" s="111">
        <f>F22+F28+F41+F47+F53+F71+F77+F95+F101+F107+F113+F127+F133+F146+F152+F166+F180+F192+F205+F211+F223+F229+F235+F241+F253+F259+F273+F279+F292+F298+F304+F316+F328+F334+F340+F352+F358-F363</f>
        <v>294.28098040335942</v>
      </c>
      <c r="G383" s="111">
        <f>G22+G28+G41+G47+G53+G71+G77+G95+G101+G107+G113+G127+G133+G146+G152+G166+G180+G192+G205+G211+G223+G229+G235+G241+G253+G259+G273+G279+G292+G298+G304+G316+G328+G334+G340+G352+G358+G89-G363</f>
        <v>285.46238704377419</v>
      </c>
      <c r="H383" s="111">
        <f t="shared" ref="H383:AE383" si="111">H22+H28+H41+H47+H53+H71+H77+H95+H101+H107+H113+H127+H133+H146+H152+H166+H180+H192+H205+H211+H223+H229+H235+H241+H253+H259+H273+H279+H292+H298+H304+H316+H328+H334+H340+H352+H358-H363</f>
        <v>0</v>
      </c>
      <c r="I383" s="111">
        <f t="shared" si="111"/>
        <v>0</v>
      </c>
      <c r="J383" s="111">
        <f t="shared" si="111"/>
        <v>0</v>
      </c>
      <c r="K383" s="111">
        <f t="shared" si="111"/>
        <v>0</v>
      </c>
      <c r="L383" s="111">
        <f t="shared" si="111"/>
        <v>0</v>
      </c>
      <c r="M383" s="111">
        <f t="shared" si="111"/>
        <v>0</v>
      </c>
      <c r="N383" s="111">
        <f t="shared" si="111"/>
        <v>0</v>
      </c>
      <c r="O383" s="111">
        <f t="shared" si="111"/>
        <v>0</v>
      </c>
      <c r="P383" s="111">
        <f t="shared" si="111"/>
        <v>0</v>
      </c>
      <c r="Q383" s="111">
        <f t="shared" si="111"/>
        <v>0</v>
      </c>
      <c r="R383" s="111">
        <f t="shared" si="111"/>
        <v>0</v>
      </c>
      <c r="S383" s="111">
        <f t="shared" si="111"/>
        <v>0</v>
      </c>
      <c r="T383" s="111">
        <f t="shared" si="111"/>
        <v>0</v>
      </c>
      <c r="U383" s="111">
        <f t="shared" si="111"/>
        <v>0</v>
      </c>
      <c r="V383" s="111">
        <f t="shared" si="111"/>
        <v>0</v>
      </c>
      <c r="W383" s="111">
        <f t="shared" si="111"/>
        <v>0</v>
      </c>
      <c r="X383" s="111">
        <f t="shared" si="111"/>
        <v>0</v>
      </c>
      <c r="Y383" s="111">
        <f t="shared" si="111"/>
        <v>0</v>
      </c>
      <c r="Z383" s="111">
        <f t="shared" si="111"/>
        <v>0</v>
      </c>
      <c r="AA383" s="111">
        <f t="shared" si="111"/>
        <v>0</v>
      </c>
      <c r="AB383" s="111">
        <f t="shared" si="111"/>
        <v>0</v>
      </c>
      <c r="AC383" s="111">
        <f t="shared" si="111"/>
        <v>0</v>
      </c>
      <c r="AD383" s="111">
        <f t="shared" si="111"/>
        <v>0</v>
      </c>
      <c r="AE383" s="111">
        <f t="shared" si="111"/>
        <v>0</v>
      </c>
    </row>
    <row r="384" spans="1:33" x14ac:dyDescent="0.3">
      <c r="B384" s="111"/>
      <c r="C384" s="111"/>
      <c r="D384" s="111"/>
      <c r="E384" s="111"/>
      <c r="F384" s="111"/>
      <c r="G384" s="111"/>
      <c r="H384" s="111"/>
      <c r="I384" s="111"/>
      <c r="J384" s="111"/>
      <c r="K384" s="111"/>
      <c r="L384" s="111"/>
      <c r="M384" s="111"/>
      <c r="N384" s="111"/>
      <c r="O384" s="111"/>
      <c r="P384" s="111"/>
      <c r="Q384" s="111"/>
      <c r="R384" s="111"/>
      <c r="S384" s="111"/>
      <c r="T384" s="111"/>
      <c r="U384" s="111"/>
      <c r="V384" s="111"/>
      <c r="W384" s="111"/>
      <c r="X384" s="111"/>
      <c r="Y384" s="111"/>
      <c r="Z384" s="111"/>
      <c r="AA384" s="111"/>
      <c r="AB384" s="111"/>
      <c r="AC384" s="111"/>
      <c r="AD384" s="111"/>
      <c r="AE384" s="111"/>
    </row>
    <row r="385" spans="1:31" x14ac:dyDescent="0.3">
      <c r="A385" s="113"/>
      <c r="B385" s="111"/>
      <c r="C385" s="111"/>
      <c r="D385" s="111"/>
      <c r="E385" s="111"/>
      <c r="F385" s="111"/>
      <c r="G385" s="111"/>
      <c r="H385" s="111"/>
      <c r="I385" s="111"/>
      <c r="J385" s="111"/>
      <c r="K385" s="111"/>
      <c r="L385" s="111"/>
      <c r="M385" s="111"/>
      <c r="N385" s="111"/>
      <c r="O385" s="111"/>
      <c r="P385" s="111"/>
      <c r="Q385" s="111"/>
      <c r="R385" s="111"/>
      <c r="S385" s="111"/>
      <c r="T385" s="111"/>
      <c r="U385" s="111"/>
      <c r="V385" s="111"/>
      <c r="W385" s="111"/>
      <c r="X385" s="111"/>
      <c r="Y385" s="111"/>
      <c r="Z385" s="111"/>
      <c r="AA385" s="111"/>
      <c r="AB385" s="111"/>
      <c r="AC385" s="111"/>
      <c r="AD385" s="111"/>
      <c r="AE385" s="111"/>
    </row>
    <row r="386" spans="1:31" ht="37.5" x14ac:dyDescent="0.3">
      <c r="A386" s="114" t="s">
        <v>102</v>
      </c>
      <c r="B386" s="115"/>
      <c r="C386" s="115"/>
      <c r="D386" s="116" t="s">
        <v>103</v>
      </c>
      <c r="E386" s="117"/>
      <c r="F386" s="111"/>
      <c r="G386" s="111"/>
      <c r="H386" s="111"/>
      <c r="I386" s="111"/>
      <c r="J386" s="111"/>
      <c r="K386" s="111"/>
      <c r="L386" s="111"/>
      <c r="M386" s="111"/>
      <c r="N386" s="111"/>
      <c r="O386" s="111"/>
      <c r="P386" s="111"/>
      <c r="Q386" s="111"/>
      <c r="R386" s="111"/>
      <c r="S386" s="111"/>
      <c r="T386" s="111"/>
      <c r="U386" s="111"/>
      <c r="V386" s="111"/>
      <c r="W386" s="111"/>
      <c r="X386" s="111"/>
      <c r="Y386" s="111"/>
      <c r="Z386" s="111"/>
      <c r="AA386" s="111"/>
      <c r="AB386" s="111"/>
      <c r="AC386" s="111"/>
      <c r="AD386" s="111"/>
      <c r="AE386" s="111"/>
    </row>
    <row r="387" spans="1:31" x14ac:dyDescent="0.3">
      <c r="A387" s="114"/>
      <c r="B387" s="118" t="s">
        <v>104</v>
      </c>
      <c r="C387" s="118"/>
      <c r="D387" s="119"/>
      <c r="E387" s="111"/>
      <c r="F387" s="111"/>
      <c r="G387" s="111"/>
      <c r="H387" s="111"/>
      <c r="I387" s="111"/>
      <c r="J387" s="111"/>
      <c r="K387" s="111"/>
      <c r="L387" s="111"/>
      <c r="M387" s="111"/>
      <c r="N387" s="111"/>
      <c r="O387" s="111"/>
      <c r="P387" s="111"/>
      <c r="Q387" s="111"/>
      <c r="R387" s="111"/>
      <c r="S387" s="111"/>
      <c r="T387" s="111"/>
      <c r="U387" s="111"/>
      <c r="V387" s="111"/>
      <c r="W387" s="111"/>
      <c r="X387" s="111"/>
      <c r="Y387" s="111"/>
      <c r="Z387" s="111"/>
      <c r="AA387" s="111"/>
      <c r="AB387" s="111"/>
      <c r="AC387" s="111"/>
      <c r="AD387" s="111"/>
      <c r="AE387" s="111"/>
    </row>
    <row r="388" spans="1:31" ht="37.5" x14ac:dyDescent="0.3">
      <c r="A388" s="120" t="s">
        <v>105</v>
      </c>
      <c r="B388" s="120"/>
      <c r="C388" s="120"/>
      <c r="D388" s="114"/>
    </row>
  </sheetData>
  <mergeCells count="27">
    <mergeCell ref="A167:AF167"/>
    <mergeCell ref="A168:AF168"/>
    <mergeCell ref="A193:AF193"/>
    <mergeCell ref="A260:AF260"/>
    <mergeCell ref="A261:AF261"/>
    <mergeCell ref="A280:AF280"/>
    <mergeCell ref="AF6:AF7"/>
    <mergeCell ref="A9:AF9"/>
    <mergeCell ref="A10:AF10"/>
    <mergeCell ref="A29:AF29"/>
    <mergeCell ref="A153:AF153"/>
    <mergeCell ref="A154:AF154"/>
    <mergeCell ref="T6:U6"/>
    <mergeCell ref="V6:W6"/>
    <mergeCell ref="X6:Y6"/>
    <mergeCell ref="Z6:AA6"/>
    <mergeCell ref="AB6:AC6"/>
    <mergeCell ref="AD6:AE6"/>
    <mergeCell ref="A4:AF4"/>
    <mergeCell ref="A6:A7"/>
    <mergeCell ref="F6:G6"/>
    <mergeCell ref="H6:I6"/>
    <mergeCell ref="J6:K6"/>
    <mergeCell ref="L6:M6"/>
    <mergeCell ref="N6:O6"/>
    <mergeCell ref="P6:Q6"/>
    <mergeCell ref="R6:S6"/>
  </mergeCells>
  <hyperlinks>
    <hyperlink ref="A4:AF4" location="Оглавление!A1" display="Комплексный план (сетевой график) по реализации муниципальной программы  &quot;Развитие образования в городе Когалыме&quot;"/>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2024-11-14T05:11:12Z</dcterms:modified>
</cp:coreProperties>
</file>