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firstSheet="2" activeTab="2"/>
  </bookViews>
  <sheets>
    <sheet name="Титульный лист" sheetId="1" r:id="rId1"/>
    <sheet name="2014 год " sheetId="2" r:id="rId2"/>
    <sheet name="сентябрь 2014 год " sheetId="3" r:id="rId3"/>
  </sheets>
  <definedNames>
    <definedName name="_xlnm.Print_Titles" localSheetId="1">'2014 год '!$A:$A,'2014 год '!$4:$7</definedName>
    <definedName name="_xlnm.Print_Titles" localSheetId="2">'сентябрь 2014 год '!$A:$F,'сентябрь 2014 год '!$1:$6</definedName>
  </definedNames>
  <calcPr fullCalcOnLoad="1"/>
</workbook>
</file>

<file path=xl/sharedStrings.xml><?xml version="1.0" encoding="utf-8"?>
<sst xmlns="http://schemas.openxmlformats.org/spreadsheetml/2006/main" count="249" uniqueCount="96">
  <si>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</si>
  <si>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</si>
  <si>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</si>
  <si>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</si>
  <si>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</si>
  <si>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</si>
  <si>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</si>
  <si>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</si>
  <si>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</si>
  <si>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</si>
  <si>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</si>
  <si>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</si>
  <si>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</si>
  <si>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</si>
  <si>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</si>
  <si>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</si>
  <si>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</si>
  <si>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</si>
  <si>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</si>
  <si>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</si>
  <si>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</si>
  <si>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</si>
  <si>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План на 2014 год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</si>
  <si>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</si>
  <si>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</si>
  <si>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</si>
  <si>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</si>
  <si>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Сетевой график</t>
  </si>
  <si>
    <t>по реализации мероприятий муниципальной программы</t>
  </si>
  <si>
    <t>г. Когалым</t>
  </si>
  <si>
    <t>2013 год</t>
  </si>
  <si>
    <t>Всего</t>
  </si>
  <si>
    <t>Итого по программе, в том числе</t>
  </si>
  <si>
    <t>Муниципальная программа "Содержание объектов городского хозяйства и инженерной инфраструктуры в городе Когалыме на 2014-2016 годы"</t>
  </si>
  <si>
    <t>Задача  2 "Организация наружного освещения улиц, дворовых территорий города Когалыма"</t>
  </si>
  <si>
    <t>Задача 3. "Организация ритуальных услуг и содержание мест захоронения"</t>
  </si>
  <si>
    <t>Задача 1 "Создание новых мест для отдыха и физического развития горожан"</t>
  </si>
  <si>
    <t>Задача 2 "Осуществление иных функций, необходимых для реализации возложенных на МКУ "УЖКХ г.Когалыма" полномочий Администрации города Когалыма задач в соответствии с ФЗ, законодательством ХМАО-Югры, муниципальными правовыми актами органов местного самоуправления"</t>
  </si>
  <si>
    <t>Задача 2 "Реализация МКУ "УЖКХ г.Когалыма" полномочий Администрации города Когалыма в вопросах осуществления функций заказчика в сфере ЖКК, капитального ремонта жилищного фонда и благоустройства, реконструкции и замены инженерных сетей тепло-,водоснабжения,ритуальных услуг и содержания мест захоронения и других работ(услуг) по обслуживанию городского хозяйства в городе Когалыме"</t>
  </si>
  <si>
    <t>2.1.Организация освещения улиц и дворовых территорий</t>
  </si>
  <si>
    <t>2.2. Техническое обслуживание сетей наружного освещения улиц и дворовых территорий</t>
  </si>
  <si>
    <t>3.1. Содержание территории городского кладбища</t>
  </si>
  <si>
    <t>3.2. Обеспечение ритуальных услуг</t>
  </si>
  <si>
    <t>3.3. Оказание услуг по перевозке умерших с места происшедшего летального исхода</t>
  </si>
  <si>
    <t>1.1.Создание новых мест для отдыха и физического развития горожан</t>
  </si>
  <si>
    <t>1.1. Обеспечение деятельности МКУ "УЖКХ г.Когалыма" по реализации полномочий</t>
  </si>
  <si>
    <t>2.1.Организация проведения комплекса организационных, санитарно-противоэпидемических мероприятий в городе Когалыме, направленных на предупреждение возникновения и распространения случаев заболевания туляремией среди людей.</t>
  </si>
  <si>
    <t>Задача  1 "Организация благоустройства территории города Когалыма, включая озеленение территории и содержание малых архитектурных форм"</t>
  </si>
  <si>
    <t>1.1. Содержание объектов благоустройства территории города Когалыма, включая озеленение территории и содержание малых архитектурных форм</t>
  </si>
  <si>
    <t>Исполнитель Шмытова Е.Ю.  тел.  93-792</t>
  </si>
  <si>
    <t>Начальник ОРЖКХ</t>
  </si>
  <si>
    <t>Л.Г.Низамова</t>
  </si>
  <si>
    <t>Согласовано</t>
  </si>
  <si>
    <t xml:space="preserve">Заместитель главы </t>
  </si>
  <si>
    <t>Администрации города Когалыма</t>
  </si>
  <si>
    <t>_______________Т.В.Новоселова</t>
  </si>
  <si>
    <t xml:space="preserve">"Отдел развития жилищно-коммунального хозяйства
 Администрации города Когалыма" </t>
  </si>
  <si>
    <t>"Содержание объектов городского хозяйства 
и инженерной инфраструктуры в городе Когалыме 
на 2014-2016 годы"</t>
  </si>
  <si>
    <t xml:space="preserve">2.2. Выполнение работ по визуальному и инструментальному обследованию конструктивных элементов жилых многоквартирных домов </t>
  </si>
  <si>
    <t>Итого по задаче 1</t>
  </si>
  <si>
    <t>Итого по задаче 2</t>
  </si>
  <si>
    <t>Итого по задаче 3</t>
  </si>
  <si>
    <t>Задача 1 "Реализация МКУ "УЖКХ г.Когалыма" полномочий Администрации города Когалыма в вопросах осуществления функций заказчика в сфере ЖКК, капитального ремонта жилищного фонда и благоустройства, реконструкции и замены инженерных сетей тепло-,водоснабжения,ритуальных услуг и содержания мест захоронения и других работ(услуг) по обслуживанию городского хозяйства в городе Когалыме"</t>
  </si>
  <si>
    <t>Всего по разделу 1</t>
  </si>
  <si>
    <t>Всего по разделу 2</t>
  </si>
  <si>
    <t>Всего по разделу 3</t>
  </si>
  <si>
    <t>Цель(раздел) 3. Создание условий для решения вопросов местного значения</t>
  </si>
  <si>
    <t>ВСЕГО по программе, в том числе</t>
  </si>
  <si>
    <t>Начальник отдела</t>
  </si>
  <si>
    <t>Исполнитель Шмытова Е.Ю. тел.  93-792</t>
  </si>
  <si>
    <t>Цель(раздел) 2. Обеспечение условий для отдыха и физического развития детей, 
организация досуга детей и приобщение к здоровому образу жизни, 
массовым спортивным мероприятиям</t>
  </si>
  <si>
    <t xml:space="preserve">Цель(раздел) 1. Повышение уровня благоустройства территории города Когалыма, 
повышение качества и технической оснащённости выполняемых работ
 по содержанию объектов городского хозяйства и инженерной инфраструктуры </t>
  </si>
  <si>
    <t>2.3. Выполнение работ по восстановлению несущей способности конструктивных элементов МКД №18 по ул. Др.народов</t>
  </si>
  <si>
    <t>Экономия сложилась в результате проведения процедуры определения исполнителя услуг (муниципальный контракт заключен на меньшую сумму).</t>
  </si>
  <si>
    <t>2.4. Выполнение специализированной экспертной организацией расчёта тарифа на содержание муниципального жилого фонда г. Когалыма</t>
  </si>
  <si>
    <t>Экономия днежных средств сложилась по оплате кредиторской задолженности за декабрь 2013 года, а также  в связи с меньшим количеством захороненных в мае 2014 года.</t>
  </si>
  <si>
    <t>2.5. Реконструкция и ремонт сетей наружного освещения, в том числе установка и перенос опор наружного освещения</t>
  </si>
  <si>
    <t>2.6. Обеспечение бесперебойной работы музыкального фонтана, расположенного на площади по ул. Мира (водоснабжение и водоотведение)</t>
  </si>
  <si>
    <t>2.7. Устранение нарушений природоохранного законодательства (освобождение прибрежной защитной полосы реки Ингу-Ягун от временных строений, используемых ранее под гаражи для хранения лодок, ликвидация несанкционированной свалки на территории, ранее занимаемой лодочными кооперативами "Нептун" и "Рыбак")</t>
  </si>
  <si>
    <t>2.8. Благоустройство города, в т.ч. ремонт и реконструкция сетей наружного освещения</t>
  </si>
  <si>
    <t>2.9. Архитектурное освещение города, в т.ч. подсветка зданий, сооружений, жилых домов</t>
  </si>
  <si>
    <t xml:space="preserve">1) ДОГОВОР  №165/13 от 07.11.2013 с ООО "Стройсервис"
на выполнение работ по визуальному и инструментальному обследованию фасада и конструкций элементов балконов муниципальных квартир здания по адресу: г.Когалым, ул. Студенческая д.32, на общую сумму 99 тыс.руб. Работы выполнены, оплата произведена в полном объёме.                                                                                                                                   2) ДОГОВОР №УПЭЦ-14-1 от 09.01.2014 с ООО «Уральский проектно-экспертный центр»на техническое обследование несущих строительных конструкций 9-ти этажного жилого дома по адресу:  г.Когалым, ул.Дружбы народов, д.18, на общую сумм 100 тыс.руб. Работы выполнены, оплата произведена в полном объёме.                                                                                            3) ДОГОВОР №УПЭЦ- 14-1/1 от 09.01.2014 с ООО «Уральский проектно-экспертный центр» на разработку проектно-сметной документации на устранение дефектов, выявленных в результате технического обследования несущих строительных конструкций 9-ти этажного жилого дома по адресу:  г.Когалым, ул.Дружбы народов, д.18, на общую сумму 100 тыс.руб. Работы выполнены, оплата произведена в полном объёме.                                                                                                                                                                                                                   4) 18.06.2014 состоялся открытый аувкцион на право заключения муниципального контракта на выполнение работ по оценке технического сотояния несущих и ограждающих конструкций 36 жилых домов. По результатам аукциона 03.07.2014 заключнен муниципальный контракт с ООО "Научно-производственное отделение исследований строительных материалов" (г.Братск) на общую сумму 472,16 тыс.руб.  </t>
  </si>
  <si>
    <t xml:space="preserve">План на отчетную дату </t>
  </si>
  <si>
    <t>Остаток субсидии сложился по следующим причинам:
- вакантные единицы в кол-ве 9 ед.;
- экономия по оплате ГСМ - установлена системы навигации, позволяющая контролировать пробег автотранспорта; 
- приобретение запасных частей и материалов на автотранспорт не проводилось в связи с увеличением сроков проведения аукционов на поставку товара согласно  44-ФЗ;
- по факту проведения открытых аукционов на приобретение запасных частей и материалов.
Также, в сентябре запланировано приобретение спецтехники на сумму 19,7 тыс.руб. Аукционы проведены, контракты заключены, окончательный срок действия контрактов 30.10.2014. Оплата будет проведена по факту поставки техники.</t>
  </si>
  <si>
    <t>Муниципальный контракт с ОАО "ЮТЭК-Когалым" на оказание услуг по эксплуатации и ремонту эл/оборудования эл. сетей заключён 01.09.2014. Оплата по контракту будет проводится с октября текущего года.</t>
  </si>
  <si>
    <t>Экономия днежных средств сложилась по оплате кредиторской задолженности за декабрь 2013 года, а также  в связи с меньшим количеством перевезённых умерших во 2 и 3 кварталах 2014 года.</t>
  </si>
  <si>
    <t xml:space="preserve"> 01.07.2014 заключен контракт  с ООО "КСИЛ" на поставку, монтаж и установку стационарного оборудования детских игровых площадок на территории г. Когалым на сумму 2749,0 т.р. 
На сумму сложившейся экономии 881,0 т.р. проведён аукцион и 08.09.2014 с ООО "КИЛ" заключён  муниципальный контракт на поставку детского игрового оборудования на сумму 801,5 тыс.руб. Оплата будет проведена по факту поставки (ориентировочно - октябрь 2014 года).
На остаток денежных средств в сумме 79,5 тыс. руб. с ООО "КСИЛ" заключен договор на поставку сидений для качелей. Оплата будет проведена по факту поставки (ориентировочно - ноябрь 2014 года).</t>
  </si>
  <si>
    <t xml:space="preserve">1020,5 т.р. - по статьям заработная плата и отчисления от ФЗП (на данные статьи перераспределена экономия, сложившаяся по оплате льготного проезда к месту отпуска и обратно и частичной компенсации стоимости санаторно-курортных путевок);                                                                                                                                                                                                                             183,9т.р. по статье "Прочие услуги" - заключен муниципальный контракт на оказание услуг на производство и трансляцию телевизионных новостных сюжетов, а также договора на участие в форуме руководителей ЖКК, который состоится в г.Москве 11-12 декабря и курсы повышения квалификации по теме "Управление государственными и муниципальными закупками"; 
36,2т.р. по оплате командировочных расходов (запланированные ранее командировки перенесены на 4 квартал 2014 года);
27,9т.р. по оплате за услуги междугородной связи; 
5,4т.р. по ТО оргтехники (договор заключен на меньшую сумму).
 На сумму сложившейся экономии будет заключен договор на покупку картриджей.                                                                                      </t>
  </si>
  <si>
    <t xml:space="preserve">Санитарно-противоэпидемические мероприятия в г.Когалыме были проведены централизованно за счёт средств бюджета ХМАО-Югры, в связи с чем по данной статье затрат сложилась экономия денежных средств, которая перераспределена на перенос и модернизацию светофорных объектов (269,7т.р.) и пошив полотнищ для флаговых композиций (83,5т.р.). </t>
  </si>
  <si>
    <t>23.05.2014 состоялся открытый аукцион, по результатам  аукциона заключен муниципальный контркт № 0187300013714000178-0070611-01на выполнение комплекса восстановительных работ в жилом многоквартирном доме по адресу: г.Когалым, ул. Дружбы народов, д.18 с ООО "Стройтехмонтаж" на общую сумму 797 757, 32 руб.  Подрядной организацией работы выполнены, оплата проведена в полном объёме. 
 На сумму 88,6т.р заключен договор с ООО "Нефтестрой-Эксперт" на проведение технического надзора за выполнением комплекса восстановительных работ в жилом МКД по адресу: г.Когалым, ул.Дружбы народов, д.18. Работы выполнены, оплата проведена в полном объёме.</t>
  </si>
  <si>
    <t>30.06.2014 года проведён открытый конкурс, победителем которого признано ООО "АРН-ЭНЕРГИЯ". Контракт заключен на сумму 495,0 т.р. Срок выполнения контракта - 60 дней с даты заключения контракта. Оплата будет проведена в октябре текущего года.</t>
  </si>
  <si>
    <t>На выполнение работ по реконструкции и ремонту сетей наружного освещения, в том числе установке и переносу опор наружного освещения, 14.07.2014 проведен запрос котировок. С победителем (ОАО "ЮТЭК-Когалым") заключен муниципальный контракт. Работы выполнены. Оплата проведена в полном объёме.</t>
  </si>
  <si>
    <t>На выполнение работ по устранению нарушений природоохранного законодательства (освобождение прибрежной защитной полосы реки Ингу-Ягун от временных строений, используемых ранее под гаражи для хранения лодок, ликвидация несанкционированной свалки на территории, ранее занимаемой лодочными кооперативами "Нептун" и "Рыбак") 21.07.2014 объявлен аукцион в электронной форме.                                                                                                Аукцион состоялся 04.08.2014. Контракт заключен. Срок действия контракта до 31.10.2014. Оплата будет проведена пофакту выпоненных работ.</t>
  </si>
  <si>
    <t>Выполнены работы по реконструкции сетей наружного освещения в районе ул.Рижская, 1 и Таллинская, 1А на сумму 491,8т.р. Оплата работ будет проведена 03.10.2014.</t>
  </si>
  <si>
    <t>2.10. Выполнение работ по изготовлению флаговых полотнищ</t>
  </si>
  <si>
    <t>Экономия денежных средств по статье затрат "Организация проведения комплекса организационных, санитарно-противоэпидемических мероприятий в городе Когалыме, направленных на предупреждение возникновения и распространения случаев заболевания туляремией среди людей" в сумме 83,5т.р. перераспределена на пошив полотнищ для флаговых композиций. Договор на указанные работы заключен 24.09.2014. Оплата будет проведена в октябре 2014 года.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</si>
</sst>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0_ ;[Red]\-#,##0.000\ "/>
    <numFmt numFmtId="185" formatCode="#,##0.0000_ ;[Red]\-#,##0.0000\ "/>
    <numFmt numFmtId="186" formatCode="0.0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8"/>
      <name val="Arial"/>
      <family val="2"/>
    </font>
    <font>
      <b/>
      <sz val="18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173" fontId="4" fillId="0" borderId="10" xfId="0" applyNumberFormat="1" applyFont="1" applyFill="1" applyBorder="1" applyAlignment="1" applyProtection="1">
      <alignment vertical="center" wrapText="1"/>
      <protection/>
    </xf>
    <xf numFmtId="173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2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 applyProtection="1">
      <alignment horizontal="left" vertical="center"/>
      <protection locked="0"/>
    </xf>
    <xf numFmtId="173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8" fillId="0" borderId="0" xfId="0" applyFont="1" applyAlignment="1">
      <alignment/>
    </xf>
    <xf numFmtId="0" fontId="6" fillId="0" borderId="11" xfId="0" applyFont="1" applyFill="1" applyBorder="1" applyAlignment="1">
      <alignment vertical="center" wrapText="1"/>
    </xf>
    <xf numFmtId="0" fontId="12" fillId="0" borderId="0" xfId="0" applyFont="1" applyFill="1" applyAlignment="1">
      <alignment horizontal="right" wrapText="1"/>
    </xf>
    <xf numFmtId="0" fontId="4" fillId="33" borderId="10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11" fillId="0" borderId="0" xfId="0" applyFont="1" applyAlignment="1">
      <alignment/>
    </xf>
    <xf numFmtId="173" fontId="4" fillId="0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Fill="1" applyBorder="1" applyAlignment="1">
      <alignment horizontal="right" wrapText="1"/>
    </xf>
    <xf numFmtId="178" fontId="5" fillId="0" borderId="10" xfId="0" applyNumberFormat="1" applyFont="1" applyFill="1" applyBorder="1" applyAlignment="1">
      <alignment horizontal="center" wrapText="1"/>
    </xf>
    <xf numFmtId="178" fontId="5" fillId="0" borderId="10" xfId="0" applyNumberFormat="1" applyFont="1" applyFill="1" applyBorder="1" applyAlignment="1">
      <alignment horizontal="right" wrapText="1"/>
    </xf>
    <xf numFmtId="178" fontId="4" fillId="0" borderId="10" xfId="0" applyNumberFormat="1" applyFont="1" applyFill="1" applyBorder="1" applyAlignment="1" applyProtection="1">
      <alignment horizontal="right" vertical="center" wrapText="1"/>
      <protection/>
    </xf>
    <xf numFmtId="173" fontId="4" fillId="0" borderId="10" xfId="0" applyNumberFormat="1" applyFont="1" applyFill="1" applyBorder="1" applyAlignment="1">
      <alignment horizontal="right" wrapText="1"/>
    </xf>
    <xf numFmtId="173" fontId="5" fillId="0" borderId="10" xfId="0" applyNumberFormat="1" applyFont="1" applyFill="1" applyBorder="1" applyAlignment="1">
      <alignment horizontal="right" wrapText="1"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173" fontId="4" fillId="0" borderId="10" xfId="0" applyNumberFormat="1" applyFont="1" applyFill="1" applyBorder="1" applyAlignment="1" applyProtection="1">
      <alignment horizontal="right" vertical="center"/>
      <protection/>
    </xf>
    <xf numFmtId="173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horizontal="justify" wrapText="1"/>
    </xf>
    <xf numFmtId="173" fontId="5" fillId="0" borderId="0" xfId="0" applyNumberFormat="1" applyFont="1" applyFill="1" applyBorder="1" applyAlignment="1" applyProtection="1">
      <alignment vertical="center" wrapText="1"/>
      <protection/>
    </xf>
    <xf numFmtId="173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6" fillId="0" borderId="0" xfId="53" applyFont="1" applyFill="1" applyAlignment="1">
      <alignment horizontal="left"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6" fillId="0" borderId="11" xfId="53" applyFont="1" applyFill="1" applyBorder="1" applyAlignment="1">
      <alignment vertical="center" wrapText="1"/>
      <protection/>
    </xf>
    <xf numFmtId="0" fontId="7" fillId="0" borderId="0" xfId="53" applyFont="1" applyFill="1" applyAlignment="1">
      <alignment vertical="center" wrapText="1"/>
      <protection/>
    </xf>
    <xf numFmtId="0" fontId="12" fillId="0" borderId="0" xfId="53" applyFont="1" applyFill="1" applyAlignment="1">
      <alignment horizontal="right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vertical="center" wrapText="1"/>
      <protection/>
    </xf>
    <xf numFmtId="173" fontId="5" fillId="0" borderId="10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34" borderId="10" xfId="53" applyFont="1" applyFill="1" applyBorder="1" applyAlignment="1">
      <alignment horizontal="left" vertical="center" wrapText="1"/>
      <protection/>
    </xf>
    <xf numFmtId="173" fontId="4" fillId="34" borderId="10" xfId="53" applyNumberFormat="1" applyFont="1" applyFill="1" applyBorder="1" applyAlignment="1" applyProtection="1">
      <alignment horizontal="right" vertical="center"/>
      <protection/>
    </xf>
    <xf numFmtId="0" fontId="3" fillId="0" borderId="0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horizontal="justify"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0" fontId="2" fillId="0" borderId="10" xfId="53" applyNumberFormat="1" applyFont="1" applyFill="1" applyBorder="1" applyAlignment="1">
      <alignment horizontal="left" vertical="center" wrapText="1"/>
      <protection/>
    </xf>
    <xf numFmtId="49" fontId="3" fillId="0" borderId="10" xfId="53" applyNumberFormat="1" applyFont="1" applyBorder="1" applyAlignment="1">
      <alignment horizontal="left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173" fontId="2" fillId="0" borderId="0" xfId="53" applyNumberFormat="1" applyFont="1" applyFill="1" applyAlignment="1">
      <alignment vertical="center" wrapText="1"/>
      <protection/>
    </xf>
    <xf numFmtId="49" fontId="2" fillId="0" borderId="0" xfId="53" applyNumberFormat="1" applyFont="1" applyBorder="1" applyAlignment="1">
      <alignment vertical="center" wrapText="1"/>
      <protection/>
    </xf>
    <xf numFmtId="0" fontId="4" fillId="35" borderId="12" xfId="53" applyFont="1" applyFill="1" applyBorder="1" applyAlignment="1">
      <alignment horizontal="center" vertical="center" wrapText="1"/>
      <protection/>
    </xf>
    <xf numFmtId="0" fontId="4" fillId="35" borderId="13" xfId="53" applyFont="1" applyFill="1" applyBorder="1" applyAlignment="1">
      <alignment horizontal="left" vertical="center" wrapText="1"/>
      <protection/>
    </xf>
    <xf numFmtId="0" fontId="14" fillId="0" borderId="0" xfId="53" applyFont="1" applyFill="1" applyBorder="1" applyAlignment="1">
      <alignment horizontal="left" vertical="center" wrapText="1"/>
      <protection/>
    </xf>
    <xf numFmtId="4" fontId="4" fillId="35" borderId="14" xfId="53" applyNumberFormat="1" applyFont="1" applyFill="1" applyBorder="1" applyAlignment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53" applyNumberFormat="1" applyFont="1" applyFill="1" applyBorder="1" applyAlignment="1" applyProtection="1">
      <alignment horizontal="center" vertical="center" wrapText="1"/>
      <protection/>
    </xf>
    <xf numFmtId="4" fontId="4" fillId="35" borderId="10" xfId="53" applyNumberFormat="1" applyFont="1" applyFill="1" applyBorder="1" applyAlignment="1">
      <alignment horizontal="center" vertical="center" wrapText="1"/>
      <protection/>
    </xf>
    <xf numFmtId="4" fontId="4" fillId="34" borderId="10" xfId="53" applyNumberFormat="1" applyFont="1" applyFill="1" applyBorder="1" applyAlignment="1" applyProtection="1">
      <alignment horizontal="center" vertical="center"/>
      <protection locked="0"/>
    </xf>
    <xf numFmtId="4" fontId="4" fillId="34" borderId="10" xfId="53" applyNumberFormat="1" applyFont="1" applyFill="1" applyBorder="1" applyAlignment="1">
      <alignment horizontal="center" vertical="center" wrapText="1"/>
      <protection/>
    </xf>
    <xf numFmtId="4" fontId="4" fillId="0" borderId="10" xfId="53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5" fillId="0" borderId="10" xfId="53" applyNumberFormat="1" applyFont="1" applyFill="1" applyBorder="1" applyAlignment="1">
      <alignment horizontal="center" vertical="center" wrapText="1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53" applyFont="1" applyFill="1" applyBorder="1" applyAlignment="1">
      <alignment horizontal="left" vertical="center" wrapText="1"/>
      <protection/>
    </xf>
    <xf numFmtId="49" fontId="2" fillId="0" borderId="10" xfId="53" applyNumberFormat="1" applyFont="1" applyBorder="1" applyAlignment="1">
      <alignment horizontal="left" vertical="center" wrapText="1"/>
      <protection/>
    </xf>
    <xf numFmtId="49" fontId="3" fillId="0" borderId="10" xfId="53" applyNumberFormat="1" applyFont="1" applyBorder="1" applyAlignment="1">
      <alignment horizontal="left" vertical="center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Alignment="1">
      <alignment horizontal="left" vertical="center" wrapText="1"/>
      <protection/>
    </xf>
    <xf numFmtId="49" fontId="2" fillId="0" borderId="10" xfId="53" applyNumberFormat="1" applyFont="1" applyFill="1" applyBorder="1" applyAlignment="1">
      <alignment horizontal="left" vertical="center" wrapText="1"/>
      <protection/>
    </xf>
    <xf numFmtId="4" fontId="55" fillId="0" borderId="10" xfId="53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14" fillId="0" borderId="0" xfId="0" applyFont="1" applyFill="1" applyBorder="1" applyAlignment="1">
      <alignment vertical="center" wrapText="1"/>
    </xf>
    <xf numFmtId="173" fontId="1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173" fontId="4" fillId="0" borderId="16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horizontal="left" vertical="center" wrapText="1"/>
    </xf>
    <xf numFmtId="173" fontId="3" fillId="0" borderId="0" xfId="0" applyNumberFormat="1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173" fontId="4" fillId="0" borderId="15" xfId="53" applyNumberFormat="1" applyFont="1" applyFill="1" applyBorder="1" applyAlignment="1">
      <alignment horizontal="center" vertical="center" wrapText="1"/>
      <protection/>
    </xf>
    <xf numFmtId="173" fontId="4" fillId="0" borderId="16" xfId="53" applyNumberFormat="1" applyFont="1" applyFill="1" applyBorder="1" applyAlignment="1">
      <alignment horizontal="center" vertical="center" wrapText="1"/>
      <protection/>
    </xf>
    <xf numFmtId="173" fontId="3" fillId="0" borderId="0" xfId="53" applyNumberFormat="1" applyFont="1" applyFill="1" applyAlignment="1">
      <alignment horizontal="center" vertical="center" wrapText="1"/>
      <protection/>
    </xf>
    <xf numFmtId="173" fontId="3" fillId="0" borderId="0" xfId="53" applyNumberFormat="1" applyFont="1" applyFill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53" applyFont="1" applyFill="1" applyAlignment="1">
      <alignment horizontal="left" vertical="center" wrapText="1"/>
      <protection/>
    </xf>
    <xf numFmtId="0" fontId="5" fillId="0" borderId="15" xfId="53" applyFont="1" applyFill="1" applyBorder="1" applyAlignment="1">
      <alignment horizontal="justify" vertical="center" wrapText="1"/>
      <protection/>
    </xf>
    <xf numFmtId="0" fontId="0" fillId="0" borderId="16" xfId="0" applyFont="1" applyFill="1" applyBorder="1" applyAlignment="1">
      <alignment horizontal="justify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0">
      <selection activeCell="A12" sqref="A12:I12"/>
    </sheetView>
  </sheetViews>
  <sheetFormatPr defaultColWidth="9.140625" defaultRowHeight="12.75"/>
  <cols>
    <col min="1" max="5" width="9.140625" style="23" customWidth="1"/>
    <col min="6" max="6" width="8.8515625" style="23" customWidth="1"/>
    <col min="7" max="8" width="9.140625" style="23" customWidth="1"/>
    <col min="9" max="9" width="18.421875" style="23" customWidth="1"/>
    <col min="10" max="16384" width="9.140625" style="23" customWidth="1"/>
  </cols>
  <sheetData>
    <row r="1" spans="1:9" ht="18.75">
      <c r="A1" s="38"/>
      <c r="B1" s="38"/>
      <c r="G1" s="111" t="s">
        <v>52</v>
      </c>
      <c r="H1" s="111"/>
      <c r="I1" s="111"/>
    </row>
    <row r="2" spans="7:9" ht="16.5">
      <c r="G2" s="114" t="s">
        <v>53</v>
      </c>
      <c r="H2" s="114"/>
      <c r="I2" s="114"/>
    </row>
    <row r="3" spans="7:9" ht="16.5">
      <c r="G3" s="114" t="s">
        <v>54</v>
      </c>
      <c r="H3" s="114"/>
      <c r="I3" s="114"/>
    </row>
    <row r="4" spans="7:9" ht="25.5" customHeight="1">
      <c r="G4" s="114" t="s">
        <v>55</v>
      </c>
      <c r="H4" s="114"/>
      <c r="I4" s="114"/>
    </row>
    <row r="5" ht="14.25" customHeight="1"/>
    <row r="12" spans="1:9" ht="20.25">
      <c r="A12" s="113"/>
      <c r="B12" s="113"/>
      <c r="C12" s="113"/>
      <c r="D12" s="113"/>
      <c r="E12" s="113"/>
      <c r="F12" s="113"/>
      <c r="G12" s="113"/>
      <c r="H12" s="113"/>
      <c r="I12" s="113"/>
    </row>
    <row r="13" spans="1:9" ht="51.75" customHeight="1">
      <c r="A13" s="112" t="s">
        <v>56</v>
      </c>
      <c r="B13" s="112"/>
      <c r="C13" s="112"/>
      <c r="D13" s="112"/>
      <c r="E13" s="112"/>
      <c r="F13" s="112"/>
      <c r="G13" s="112"/>
      <c r="H13" s="112"/>
      <c r="I13" s="112"/>
    </row>
    <row r="14" ht="22.5" customHeight="1"/>
    <row r="15" spans="1:9" ht="27" customHeight="1">
      <c r="A15" s="113" t="s">
        <v>27</v>
      </c>
      <c r="B15" s="113"/>
      <c r="C15" s="113"/>
      <c r="D15" s="113"/>
      <c r="E15" s="113"/>
      <c r="F15" s="113"/>
      <c r="G15" s="113"/>
      <c r="H15" s="113"/>
      <c r="I15" s="113"/>
    </row>
    <row r="16" spans="1:9" ht="27" customHeight="1">
      <c r="A16" s="113" t="s">
        <v>28</v>
      </c>
      <c r="B16" s="113"/>
      <c r="C16" s="113"/>
      <c r="D16" s="113"/>
      <c r="E16" s="113"/>
      <c r="F16" s="113"/>
      <c r="G16" s="113"/>
      <c r="H16" s="113"/>
      <c r="I16" s="113"/>
    </row>
    <row r="17" spans="1:9" ht="87.75" customHeight="1">
      <c r="A17" s="115" t="s">
        <v>57</v>
      </c>
      <c r="B17" s="115"/>
      <c r="C17" s="115"/>
      <c r="D17" s="115"/>
      <c r="E17" s="115"/>
      <c r="F17" s="115"/>
      <c r="G17" s="115"/>
      <c r="H17" s="115"/>
      <c r="I17" s="115"/>
    </row>
    <row r="44" spans="1:9" ht="16.5">
      <c r="A44" s="111" t="s">
        <v>29</v>
      </c>
      <c r="B44" s="111"/>
      <c r="C44" s="111"/>
      <c r="D44" s="111"/>
      <c r="E44" s="111"/>
      <c r="F44" s="111"/>
      <c r="G44" s="111"/>
      <c r="H44" s="111"/>
      <c r="I44" s="111"/>
    </row>
    <row r="45" spans="1:9" ht="16.5">
      <c r="A45" s="111" t="s">
        <v>30</v>
      </c>
      <c r="B45" s="111"/>
      <c r="C45" s="111"/>
      <c r="D45" s="111"/>
      <c r="E45" s="111"/>
      <c r="F45" s="111"/>
      <c r="G45" s="111"/>
      <c r="H45" s="111"/>
      <c r="I45" s="111"/>
    </row>
  </sheetData>
  <sheetProtection/>
  <mergeCells count="11">
    <mergeCell ref="A44:I44"/>
    <mergeCell ref="A45:I45"/>
    <mergeCell ref="A13:I13"/>
    <mergeCell ref="A15:I15"/>
    <mergeCell ref="A12:I12"/>
    <mergeCell ref="A16:I16"/>
    <mergeCell ref="G1:I1"/>
    <mergeCell ref="G2:I2"/>
    <mergeCell ref="G3:I3"/>
    <mergeCell ref="G4:I4"/>
    <mergeCell ref="A17:I17"/>
  </mergeCells>
  <printOptions/>
  <pageMargins left="0.7" right="0.54" top="0.75" bottom="0.4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5"/>
  <sheetViews>
    <sheetView showGridLines="0" zoomScale="70" zoomScaleNormal="70" zoomScaleSheetLayoutView="100" zoomScalePageLayoutView="0" workbookViewId="0" topLeftCell="A43">
      <selection activeCell="A8" sqref="A8:IV14"/>
    </sheetView>
  </sheetViews>
  <sheetFormatPr defaultColWidth="9.140625" defaultRowHeight="12.75"/>
  <cols>
    <col min="1" max="1" width="66.28125" style="6" customWidth="1"/>
    <col min="2" max="2" width="17.421875" style="6" customWidth="1"/>
    <col min="3" max="3" width="13.8515625" style="7" customWidth="1"/>
    <col min="4" max="6" width="13.421875" style="7" customWidth="1"/>
    <col min="7" max="16" width="16.140625" style="1" customWidth="1"/>
    <col min="17" max="17" width="14.140625" style="1" customWidth="1"/>
    <col min="18" max="18" width="13.7109375" style="1" customWidth="1"/>
    <col min="19" max="30" width="16.140625" style="7" customWidth="1"/>
    <col min="31" max="31" width="49.28125" style="6" customWidth="1"/>
    <col min="32" max="16384" width="9.140625" style="1" customWidth="1"/>
  </cols>
  <sheetData>
    <row r="1" spans="1:10" ht="12.75" customHeight="1">
      <c r="A1" s="116" t="s">
        <v>33</v>
      </c>
      <c r="F1" s="123"/>
      <c r="G1" s="123"/>
      <c r="H1" s="21"/>
      <c r="I1" s="21"/>
      <c r="J1" s="21"/>
    </row>
    <row r="2" spans="1:31" ht="105" customHeight="1">
      <c r="A2" s="11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124"/>
      <c r="O2" s="124"/>
      <c r="P2" s="124"/>
      <c r="Q2" s="124"/>
      <c r="R2" s="124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</row>
    <row r="3" spans="1:31" s="9" customFormat="1" ht="30" customHeight="1">
      <c r="A3" s="57"/>
      <c r="B3" s="24"/>
      <c r="C3" s="24"/>
      <c r="D3" s="24"/>
      <c r="E3" s="24"/>
      <c r="F3" s="24"/>
      <c r="G3" s="24"/>
      <c r="H3" s="24"/>
      <c r="I3" s="24"/>
      <c r="K3" s="24"/>
      <c r="L3" s="24"/>
      <c r="M3" s="24"/>
      <c r="N3" s="24"/>
      <c r="O3" s="24"/>
      <c r="P3" s="24"/>
      <c r="Q3" s="24"/>
      <c r="R3" s="25" t="s">
        <v>14</v>
      </c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5" t="s">
        <v>14</v>
      </c>
    </row>
    <row r="4" spans="1:31" s="11" customFormat="1" ht="18.75" customHeight="1">
      <c r="A4" s="126" t="s">
        <v>5</v>
      </c>
      <c r="B4" s="121" t="s">
        <v>22</v>
      </c>
      <c r="C4" s="121" t="s">
        <v>19</v>
      </c>
      <c r="D4" s="121" t="s">
        <v>20</v>
      </c>
      <c r="E4" s="120" t="s">
        <v>15</v>
      </c>
      <c r="F4" s="120"/>
      <c r="G4" s="120" t="s">
        <v>0</v>
      </c>
      <c r="H4" s="120"/>
      <c r="I4" s="120" t="s">
        <v>1</v>
      </c>
      <c r="J4" s="120"/>
      <c r="K4" s="120" t="s">
        <v>2</v>
      </c>
      <c r="L4" s="120"/>
      <c r="M4" s="120" t="s">
        <v>3</v>
      </c>
      <c r="N4" s="120"/>
      <c r="O4" s="120" t="s">
        <v>4</v>
      </c>
      <c r="P4" s="120"/>
      <c r="Q4" s="120" t="s">
        <v>6</v>
      </c>
      <c r="R4" s="120"/>
      <c r="S4" s="120" t="s">
        <v>7</v>
      </c>
      <c r="T4" s="120"/>
      <c r="U4" s="120" t="s">
        <v>8</v>
      </c>
      <c r="V4" s="120"/>
      <c r="W4" s="120" t="s">
        <v>9</v>
      </c>
      <c r="X4" s="120"/>
      <c r="Y4" s="120" t="s">
        <v>10</v>
      </c>
      <c r="Z4" s="120"/>
      <c r="AA4" s="120" t="s">
        <v>11</v>
      </c>
      <c r="AB4" s="120"/>
      <c r="AC4" s="120" t="s">
        <v>12</v>
      </c>
      <c r="AD4" s="120"/>
      <c r="AE4" s="126" t="s">
        <v>21</v>
      </c>
    </row>
    <row r="5" spans="1:31" s="13" customFormat="1" ht="83.25" customHeight="1">
      <c r="A5" s="126"/>
      <c r="B5" s="122"/>
      <c r="C5" s="122"/>
      <c r="D5" s="122"/>
      <c r="E5" s="10" t="s">
        <v>17</v>
      </c>
      <c r="F5" s="10" t="s">
        <v>16</v>
      </c>
      <c r="G5" s="12" t="s">
        <v>13</v>
      </c>
      <c r="H5" s="12" t="s">
        <v>18</v>
      </c>
      <c r="I5" s="12" t="s">
        <v>13</v>
      </c>
      <c r="J5" s="12" t="s">
        <v>18</v>
      </c>
      <c r="K5" s="12" t="s">
        <v>13</v>
      </c>
      <c r="L5" s="12" t="s">
        <v>18</v>
      </c>
      <c r="M5" s="12" t="s">
        <v>13</v>
      </c>
      <c r="N5" s="12" t="s">
        <v>18</v>
      </c>
      <c r="O5" s="12" t="s">
        <v>13</v>
      </c>
      <c r="P5" s="12" t="s">
        <v>18</v>
      </c>
      <c r="Q5" s="12" t="s">
        <v>13</v>
      </c>
      <c r="R5" s="12" t="s">
        <v>18</v>
      </c>
      <c r="S5" s="12" t="s">
        <v>13</v>
      </c>
      <c r="T5" s="12" t="s">
        <v>18</v>
      </c>
      <c r="U5" s="12" t="s">
        <v>13</v>
      </c>
      <c r="V5" s="12" t="s">
        <v>18</v>
      </c>
      <c r="W5" s="12" t="s">
        <v>13</v>
      </c>
      <c r="X5" s="12" t="s">
        <v>18</v>
      </c>
      <c r="Y5" s="12" t="s">
        <v>13</v>
      </c>
      <c r="Z5" s="12" t="s">
        <v>18</v>
      </c>
      <c r="AA5" s="12" t="s">
        <v>13</v>
      </c>
      <c r="AB5" s="12" t="s">
        <v>18</v>
      </c>
      <c r="AC5" s="12" t="s">
        <v>13</v>
      </c>
      <c r="AD5" s="12" t="s">
        <v>18</v>
      </c>
      <c r="AE5" s="126"/>
    </row>
    <row r="6" spans="1:31" s="15" customFormat="1" ht="17.2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4">
        <v>20</v>
      </c>
      <c r="U6" s="14">
        <v>21</v>
      </c>
      <c r="V6" s="14">
        <v>22</v>
      </c>
      <c r="W6" s="14">
        <v>23</v>
      </c>
      <c r="X6" s="14">
        <v>24</v>
      </c>
      <c r="Y6" s="14">
        <v>25</v>
      </c>
      <c r="Z6" s="14">
        <v>26</v>
      </c>
      <c r="AA6" s="14">
        <v>27</v>
      </c>
      <c r="AB6" s="14">
        <v>28</v>
      </c>
      <c r="AC6" s="14">
        <v>29</v>
      </c>
      <c r="AD6" s="14">
        <v>30</v>
      </c>
      <c r="AE6" s="14">
        <v>31</v>
      </c>
    </row>
    <row r="7" spans="1:31" s="16" customFormat="1" ht="70.5" customHeight="1">
      <c r="A7" s="26" t="s">
        <v>33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</row>
    <row r="8" spans="1:31" s="16" customFormat="1" ht="78" customHeight="1">
      <c r="A8" s="29" t="s">
        <v>47</v>
      </c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</row>
    <row r="9" spans="1:31" s="16" customFormat="1" ht="70.5" customHeight="1">
      <c r="A9" s="27" t="s">
        <v>48</v>
      </c>
      <c r="B9" s="46">
        <f>G9+I9+K9+M9+O9+Q9+S9+U9+W9+Y9+AA9+AC9</f>
        <v>32315.9</v>
      </c>
      <c r="C9" s="51"/>
      <c r="D9" s="51"/>
      <c r="E9" s="51"/>
      <c r="F9" s="51"/>
      <c r="G9" s="51">
        <v>3455.3</v>
      </c>
      <c r="H9" s="51"/>
      <c r="I9" s="51">
        <v>3402.2</v>
      </c>
      <c r="J9" s="51"/>
      <c r="K9" s="51">
        <v>2520.2</v>
      </c>
      <c r="L9" s="51"/>
      <c r="M9" s="51">
        <v>3431.8</v>
      </c>
      <c r="N9" s="51"/>
      <c r="O9" s="51">
        <v>2884.3</v>
      </c>
      <c r="P9" s="51"/>
      <c r="Q9" s="51">
        <v>2266.9</v>
      </c>
      <c r="R9" s="51"/>
      <c r="S9" s="51">
        <v>2531.1</v>
      </c>
      <c r="T9" s="51"/>
      <c r="U9" s="51">
        <v>2664</v>
      </c>
      <c r="V9" s="51"/>
      <c r="W9" s="51">
        <v>1846.7</v>
      </c>
      <c r="X9" s="51"/>
      <c r="Y9" s="51">
        <v>1840.2</v>
      </c>
      <c r="Z9" s="51"/>
      <c r="AA9" s="51">
        <v>2328.2</v>
      </c>
      <c r="AB9" s="51"/>
      <c r="AC9" s="51">
        <v>3145</v>
      </c>
      <c r="AD9" s="51"/>
      <c r="AE9" s="51"/>
    </row>
    <row r="10" spans="1:31" s="17" customFormat="1" ht="25.5" customHeight="1">
      <c r="A10" s="5" t="s">
        <v>31</v>
      </c>
      <c r="B10" s="47">
        <f>B9</f>
        <v>32315.9</v>
      </c>
      <c r="C10" s="50"/>
      <c r="D10" s="50"/>
      <c r="E10" s="50"/>
      <c r="F10" s="50"/>
      <c r="G10" s="2">
        <f>G9</f>
        <v>3455.3</v>
      </c>
      <c r="H10" s="2"/>
      <c r="I10" s="2">
        <f aca="true" t="shared" si="0" ref="I10:AC10">I9</f>
        <v>3402.2</v>
      </c>
      <c r="J10" s="2"/>
      <c r="K10" s="2">
        <f t="shared" si="0"/>
        <v>2520.2</v>
      </c>
      <c r="L10" s="2"/>
      <c r="M10" s="2">
        <f t="shared" si="0"/>
        <v>3431.8</v>
      </c>
      <c r="N10" s="2"/>
      <c r="O10" s="2">
        <f t="shared" si="0"/>
        <v>2884.3</v>
      </c>
      <c r="P10" s="2"/>
      <c r="Q10" s="2">
        <f t="shared" si="0"/>
        <v>2266.9</v>
      </c>
      <c r="R10" s="2"/>
      <c r="S10" s="2">
        <f t="shared" si="0"/>
        <v>2531.1</v>
      </c>
      <c r="T10" s="2"/>
      <c r="U10" s="2">
        <f t="shared" si="0"/>
        <v>2664</v>
      </c>
      <c r="V10" s="2"/>
      <c r="W10" s="2">
        <f t="shared" si="0"/>
        <v>1846.7</v>
      </c>
      <c r="X10" s="2"/>
      <c r="Y10" s="2">
        <f t="shared" si="0"/>
        <v>1840.2</v>
      </c>
      <c r="Z10" s="2"/>
      <c r="AA10" s="2">
        <f t="shared" si="0"/>
        <v>2328.2</v>
      </c>
      <c r="AB10" s="2"/>
      <c r="AC10" s="2">
        <f t="shared" si="0"/>
        <v>3145</v>
      </c>
      <c r="AD10" s="2"/>
      <c r="AE10" s="50"/>
    </row>
    <row r="11" spans="1:31" s="16" customFormat="1" ht="25.5" customHeight="1">
      <c r="A11" s="4" t="s">
        <v>23</v>
      </c>
      <c r="B11" s="49"/>
      <c r="C11" s="50"/>
      <c r="D11" s="50"/>
      <c r="E11" s="50"/>
      <c r="F11" s="50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50"/>
    </row>
    <row r="12" spans="1:31" s="16" customFormat="1" ht="25.5" customHeight="1">
      <c r="A12" s="4" t="s">
        <v>24</v>
      </c>
      <c r="B12" s="46">
        <f>B10</f>
        <v>32315.9</v>
      </c>
      <c r="C12" s="50"/>
      <c r="D12" s="50"/>
      <c r="E12" s="50"/>
      <c r="F12" s="50"/>
      <c r="G12" s="3">
        <f aca="true" t="shared" si="1" ref="G12:AC12">G10</f>
        <v>3455.3</v>
      </c>
      <c r="H12" s="3"/>
      <c r="I12" s="3">
        <f t="shared" si="1"/>
        <v>3402.2</v>
      </c>
      <c r="J12" s="3"/>
      <c r="K12" s="3">
        <f t="shared" si="1"/>
        <v>2520.2</v>
      </c>
      <c r="L12" s="3"/>
      <c r="M12" s="3">
        <f t="shared" si="1"/>
        <v>3431.8</v>
      </c>
      <c r="N12" s="3"/>
      <c r="O12" s="3">
        <f t="shared" si="1"/>
        <v>2884.3</v>
      </c>
      <c r="P12" s="3"/>
      <c r="Q12" s="3">
        <f t="shared" si="1"/>
        <v>2266.9</v>
      </c>
      <c r="R12" s="3"/>
      <c r="S12" s="3">
        <f t="shared" si="1"/>
        <v>2531.1</v>
      </c>
      <c r="T12" s="3"/>
      <c r="U12" s="3">
        <f t="shared" si="1"/>
        <v>2664</v>
      </c>
      <c r="V12" s="3"/>
      <c r="W12" s="3">
        <f t="shared" si="1"/>
        <v>1846.7</v>
      </c>
      <c r="X12" s="3"/>
      <c r="Y12" s="3">
        <f t="shared" si="1"/>
        <v>1840.2</v>
      </c>
      <c r="Z12" s="3"/>
      <c r="AA12" s="3">
        <f t="shared" si="1"/>
        <v>2328.2</v>
      </c>
      <c r="AB12" s="3"/>
      <c r="AC12" s="3">
        <f t="shared" si="1"/>
        <v>3145</v>
      </c>
      <c r="AD12" s="3"/>
      <c r="AE12" s="50"/>
    </row>
    <row r="13" spans="1:31" s="16" customFormat="1" ht="25.5" customHeight="1">
      <c r="A13" s="4" t="s">
        <v>25</v>
      </c>
      <c r="B13" s="49"/>
      <c r="C13" s="50"/>
      <c r="D13" s="50"/>
      <c r="E13" s="50"/>
      <c r="F13" s="50"/>
      <c r="G13" s="50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50"/>
    </row>
    <row r="14" spans="1:31" s="16" customFormat="1" ht="24" customHeight="1">
      <c r="A14" s="4" t="s">
        <v>26</v>
      </c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</row>
    <row r="15" spans="1:31" s="17" customFormat="1" ht="40.5" customHeight="1">
      <c r="A15" s="29" t="s">
        <v>34</v>
      </c>
      <c r="B15" s="5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0"/>
    </row>
    <row r="16" spans="1:31" s="17" customFormat="1" ht="21" customHeight="1">
      <c r="A16" s="27" t="s">
        <v>39</v>
      </c>
      <c r="B16" s="46">
        <f>G16+I16+K16+M16+O16+Q16+S16+U16+W16+Y16+AA16+AC16</f>
        <v>15449.2</v>
      </c>
      <c r="C16" s="3"/>
      <c r="D16" s="2"/>
      <c r="E16" s="2"/>
      <c r="F16" s="2"/>
      <c r="G16" s="3">
        <f>ROUND(1229060.74/1000,1)</f>
        <v>1229.1</v>
      </c>
      <c r="H16" s="3"/>
      <c r="I16" s="3">
        <f>ROUND(1908208.75/1000,1)</f>
        <v>1908.2</v>
      </c>
      <c r="J16" s="3"/>
      <c r="K16" s="3">
        <f>ROUND(1526215.81/1000,1)</f>
        <v>1526.2</v>
      </c>
      <c r="L16" s="2"/>
      <c r="M16" s="3">
        <f>ROUND(1143283.76/1000,1)</f>
        <v>1143.3</v>
      </c>
      <c r="N16" s="3"/>
      <c r="O16" s="3">
        <f>ROUND(846130.73/1000,1)</f>
        <v>846.1</v>
      </c>
      <c r="P16" s="3"/>
      <c r="Q16" s="3">
        <f>ROUND(559477.06/1000,1)</f>
        <v>559.5</v>
      </c>
      <c r="R16" s="2"/>
      <c r="S16" s="3">
        <f>ROUND(167018.74/1000,1)</f>
        <v>167</v>
      </c>
      <c r="T16" s="3"/>
      <c r="U16" s="3">
        <f>ROUND(527677.41/1000,1)</f>
        <v>527.7</v>
      </c>
      <c r="V16" s="3"/>
      <c r="W16" s="3">
        <f>ROUND(1425126.61/1000,1)</f>
        <v>1425.1</v>
      </c>
      <c r="X16" s="2"/>
      <c r="Y16" s="3">
        <f>ROUND(1562822.94/1000,1)</f>
        <v>1562.8</v>
      </c>
      <c r="Z16" s="3"/>
      <c r="AA16" s="3">
        <f>ROUND(1831064.83/1000,1)</f>
        <v>1831.1</v>
      </c>
      <c r="AB16" s="3"/>
      <c r="AC16" s="3">
        <f>ROUND(2723112.62/1000,1)</f>
        <v>2723.1</v>
      </c>
      <c r="AD16" s="2"/>
      <c r="AE16" s="20"/>
    </row>
    <row r="17" spans="1:31" s="17" customFormat="1" ht="39" customHeight="1">
      <c r="A17" s="27" t="s">
        <v>40</v>
      </c>
      <c r="B17" s="46">
        <f>G17+I17+K17+M17+O17+Q17+S17+U17+W17+Y17+AA17+AC17</f>
        <v>12898.7</v>
      </c>
      <c r="C17" s="3"/>
      <c r="D17" s="2"/>
      <c r="E17" s="2"/>
      <c r="F17" s="2"/>
      <c r="G17" s="3">
        <f>ROUND(974522.57/1000,1)+0.1</f>
        <v>974.6</v>
      </c>
      <c r="H17" s="3"/>
      <c r="I17" s="3">
        <f>ROUND(1084008.39/1000,1)</f>
        <v>1084</v>
      </c>
      <c r="J17" s="3"/>
      <c r="K17" s="3">
        <f>ROUND(1084008.39/1000,1)</f>
        <v>1084</v>
      </c>
      <c r="L17" s="3"/>
      <c r="M17" s="3">
        <f>ROUND(1084008.39/1000,1)</f>
        <v>1084</v>
      </c>
      <c r="N17" s="3"/>
      <c r="O17" s="3">
        <f>ROUND(1084008.39/1000,1)</f>
        <v>1084</v>
      </c>
      <c r="P17" s="3"/>
      <c r="Q17" s="3">
        <f>ROUND(1084008.39/1000,1)</f>
        <v>1084</v>
      </c>
      <c r="R17" s="3"/>
      <c r="S17" s="3">
        <f>ROUND(1084008.39/1000,1)</f>
        <v>1084</v>
      </c>
      <c r="T17" s="3"/>
      <c r="U17" s="3">
        <f>ROUND(1084008.39/1000,1)</f>
        <v>1084</v>
      </c>
      <c r="V17" s="3"/>
      <c r="W17" s="3">
        <f>ROUND(1084008.39/1000,1)</f>
        <v>1084</v>
      </c>
      <c r="X17" s="3"/>
      <c r="Y17" s="3">
        <f>ROUND(1084008.39/1000,1)</f>
        <v>1084</v>
      </c>
      <c r="Z17" s="3"/>
      <c r="AA17" s="3">
        <f>ROUND(1084008.39/1000,1)</f>
        <v>1084</v>
      </c>
      <c r="AB17" s="3"/>
      <c r="AC17" s="3">
        <f>ROUND(1084093.53/1000,1)</f>
        <v>1084.1</v>
      </c>
      <c r="AD17" s="3"/>
      <c r="AE17" s="20"/>
    </row>
    <row r="18" spans="1:31" s="17" customFormat="1" ht="24" customHeight="1">
      <c r="A18" s="5" t="s">
        <v>31</v>
      </c>
      <c r="B18" s="47">
        <f>B16+B17</f>
        <v>28347.9</v>
      </c>
      <c r="C18" s="3"/>
      <c r="D18" s="2"/>
      <c r="E18" s="2"/>
      <c r="F18" s="2"/>
      <c r="G18" s="2">
        <f>G16+G17</f>
        <v>2203.7</v>
      </c>
      <c r="H18" s="2"/>
      <c r="I18" s="2">
        <f>I16+I17</f>
        <v>2992.2</v>
      </c>
      <c r="J18" s="2"/>
      <c r="K18" s="2">
        <f>K16+K17</f>
        <v>2610.2</v>
      </c>
      <c r="L18" s="2"/>
      <c r="M18" s="2">
        <f>M16+M17</f>
        <v>2227.3</v>
      </c>
      <c r="N18" s="2"/>
      <c r="O18" s="2">
        <f>O16+O17</f>
        <v>1930.1</v>
      </c>
      <c r="P18" s="2"/>
      <c r="Q18" s="2">
        <f>Q16+Q17</f>
        <v>1643.5</v>
      </c>
      <c r="R18" s="2"/>
      <c r="S18" s="2">
        <f>S16+S17</f>
        <v>1251</v>
      </c>
      <c r="T18" s="2"/>
      <c r="U18" s="2">
        <f>U16+U17</f>
        <v>1611.7</v>
      </c>
      <c r="V18" s="2"/>
      <c r="W18" s="2">
        <f>W16+W17</f>
        <v>2509.1</v>
      </c>
      <c r="X18" s="2"/>
      <c r="Y18" s="2">
        <f>Y16+Y17</f>
        <v>2646.8</v>
      </c>
      <c r="Z18" s="2"/>
      <c r="AA18" s="2">
        <f>AA16+AA17</f>
        <v>2915.1</v>
      </c>
      <c r="AB18" s="2"/>
      <c r="AC18" s="2">
        <f>AC16+AC17</f>
        <v>3807.2</v>
      </c>
      <c r="AD18" s="2"/>
      <c r="AE18" s="20"/>
    </row>
    <row r="19" spans="1:31" s="17" customFormat="1" ht="21.75" customHeight="1">
      <c r="A19" s="4" t="s">
        <v>23</v>
      </c>
      <c r="B19" s="32"/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0"/>
    </row>
    <row r="20" spans="1:31" s="17" customFormat="1" ht="21.75" customHeight="1">
      <c r="A20" s="4" t="s">
        <v>24</v>
      </c>
      <c r="B20" s="46">
        <f>B18</f>
        <v>28347.9</v>
      </c>
      <c r="C20" s="3"/>
      <c r="D20" s="2"/>
      <c r="E20" s="2"/>
      <c r="F20" s="2"/>
      <c r="G20" s="3">
        <f>G18</f>
        <v>2203.7</v>
      </c>
      <c r="H20" s="3"/>
      <c r="I20" s="3">
        <f>I18</f>
        <v>2992.2</v>
      </c>
      <c r="J20" s="3"/>
      <c r="K20" s="3">
        <f>K18</f>
        <v>2610.2</v>
      </c>
      <c r="L20" s="3"/>
      <c r="M20" s="3">
        <f>M18</f>
        <v>2227.3</v>
      </c>
      <c r="N20" s="3"/>
      <c r="O20" s="3">
        <f>O18</f>
        <v>1930.1</v>
      </c>
      <c r="P20" s="3"/>
      <c r="Q20" s="3">
        <f>Q18</f>
        <v>1643.5</v>
      </c>
      <c r="R20" s="3"/>
      <c r="S20" s="3">
        <f>S18</f>
        <v>1251</v>
      </c>
      <c r="T20" s="3"/>
      <c r="U20" s="3">
        <f>U18</f>
        <v>1611.7</v>
      </c>
      <c r="V20" s="3"/>
      <c r="W20" s="3">
        <f>W18</f>
        <v>2509.1</v>
      </c>
      <c r="X20" s="3"/>
      <c r="Y20" s="3">
        <f>Y18</f>
        <v>2646.8</v>
      </c>
      <c r="Z20" s="3"/>
      <c r="AA20" s="3">
        <f>AA18</f>
        <v>2915.1</v>
      </c>
      <c r="AB20" s="2"/>
      <c r="AC20" s="3">
        <f>AC18</f>
        <v>3807.2</v>
      </c>
      <c r="AD20" s="2"/>
      <c r="AE20" s="20"/>
    </row>
    <row r="21" spans="1:31" s="17" customFormat="1" ht="21.75" customHeight="1">
      <c r="A21" s="4" t="s">
        <v>25</v>
      </c>
      <c r="B21" s="32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0"/>
    </row>
    <row r="22" spans="1:31" s="17" customFormat="1" ht="21.75" customHeight="1">
      <c r="A22" s="4" t="s">
        <v>26</v>
      </c>
      <c r="B22" s="32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0"/>
    </row>
    <row r="23" spans="1:31" s="17" customFormat="1" ht="41.25" customHeight="1">
      <c r="A23" s="31" t="s">
        <v>35</v>
      </c>
      <c r="B23" s="46"/>
      <c r="C23" s="3"/>
      <c r="D23" s="2"/>
      <c r="E23" s="2"/>
      <c r="F23" s="2"/>
      <c r="G23" s="2"/>
      <c r="H23" s="2"/>
      <c r="I23" s="2"/>
      <c r="J23" s="2"/>
      <c r="K23" s="2"/>
      <c r="L23" s="2"/>
      <c r="M23" s="32"/>
      <c r="N23" s="32"/>
      <c r="O23" s="32"/>
      <c r="P23" s="32"/>
      <c r="Q23" s="3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0"/>
    </row>
    <row r="24" spans="1:31" s="17" customFormat="1" ht="18.75">
      <c r="A24" s="27" t="s">
        <v>41</v>
      </c>
      <c r="B24" s="46">
        <f>G24+I24+K24+M24+O24+Q24+S24+U24+W24+Y24+AA24+AC24</f>
        <v>2119.6</v>
      </c>
      <c r="C24" s="3"/>
      <c r="D24" s="2"/>
      <c r="E24" s="2"/>
      <c r="F24" s="2"/>
      <c r="G24" s="42">
        <f>ROUND(168592.5/1000,1)</f>
        <v>168.6</v>
      </c>
      <c r="H24" s="41"/>
      <c r="I24" s="42">
        <f>ROUND(177000/1000,1)</f>
        <v>177</v>
      </c>
      <c r="J24" s="42"/>
      <c r="K24" s="42">
        <f>ROUND(177000/1000,1)</f>
        <v>177</v>
      </c>
      <c r="L24" s="43"/>
      <c r="M24" s="42">
        <f>ROUND(177000/1000,1)</f>
        <v>177</v>
      </c>
      <c r="N24" s="40"/>
      <c r="O24" s="42">
        <f>ROUND(177000/1000,1)</f>
        <v>177</v>
      </c>
      <c r="P24" s="42"/>
      <c r="Q24" s="42">
        <f>ROUND(177000/1000,1)</f>
        <v>177</v>
      </c>
      <c r="R24" s="43"/>
      <c r="S24" s="42">
        <f>ROUND(177000/1000,1)</f>
        <v>177</v>
      </c>
      <c r="T24" s="32"/>
      <c r="U24" s="42">
        <f>ROUND(177000/1000,1)</f>
        <v>177</v>
      </c>
      <c r="V24" s="42"/>
      <c r="W24" s="42">
        <f>ROUND(177000/1000,1)</f>
        <v>177</v>
      </c>
      <c r="X24" s="43"/>
      <c r="Y24" s="42">
        <f>ROUND(177000/1000,1)</f>
        <v>177</v>
      </c>
      <c r="Z24" s="42"/>
      <c r="AA24" s="42">
        <f>ROUND(177000/1000,1)</f>
        <v>177</v>
      </c>
      <c r="AB24" s="40"/>
      <c r="AC24" s="42">
        <f>ROUND(181007.5/1000,1)</f>
        <v>181</v>
      </c>
      <c r="AD24" s="2"/>
      <c r="AE24" s="20"/>
    </row>
    <row r="25" spans="1:31" s="17" customFormat="1" ht="18.75">
      <c r="A25" s="28" t="s">
        <v>42</v>
      </c>
      <c r="B25" s="46">
        <f>G25+I25+K25+M25+O25+Q25+S25+U25+W25+Y25+AA25+AC25</f>
        <v>1375.1000000000001</v>
      </c>
      <c r="C25" s="3"/>
      <c r="D25" s="2"/>
      <c r="E25" s="2"/>
      <c r="F25" s="2"/>
      <c r="G25" s="42">
        <f>ROUND(109383.4/1000,1)</f>
        <v>109.4</v>
      </c>
      <c r="H25" s="41"/>
      <c r="I25" s="42">
        <f>ROUND(104600.37/1000,1)</f>
        <v>104.6</v>
      </c>
      <c r="J25" s="42"/>
      <c r="K25" s="42">
        <f>ROUND(104600.37/1000,1)</f>
        <v>104.6</v>
      </c>
      <c r="L25" s="43"/>
      <c r="M25" s="42">
        <f>ROUND(104600.37/1000,1)</f>
        <v>104.6</v>
      </c>
      <c r="N25" s="40"/>
      <c r="O25" s="42">
        <f>ROUND(104600.37/1000,1)</f>
        <v>104.6</v>
      </c>
      <c r="P25" s="42"/>
      <c r="Q25" s="42">
        <f>ROUND(104600.37/1000,1)</f>
        <v>104.6</v>
      </c>
      <c r="R25" s="43"/>
      <c r="S25" s="42">
        <f>ROUND(104600.37/1000,1)</f>
        <v>104.6</v>
      </c>
      <c r="T25" s="32"/>
      <c r="U25" s="42">
        <f>ROUND(104600.37/1000,1)</f>
        <v>104.6</v>
      </c>
      <c r="V25" s="42"/>
      <c r="W25" s="42">
        <f>ROUND(104600.37/1000,1)</f>
        <v>104.6</v>
      </c>
      <c r="X25" s="43"/>
      <c r="Y25" s="42">
        <f>ROUND(104600.37/1000,1)</f>
        <v>104.6</v>
      </c>
      <c r="Z25" s="42"/>
      <c r="AA25" s="42">
        <f>ROUND(104600.37/1000,1)</f>
        <v>104.6</v>
      </c>
      <c r="AB25" s="40"/>
      <c r="AC25" s="42">
        <f>ROUND(219712.9/1000,1)</f>
        <v>219.7</v>
      </c>
      <c r="AD25" s="2"/>
      <c r="AE25" s="20"/>
    </row>
    <row r="26" spans="1:31" s="17" customFormat="1" ht="31.5">
      <c r="A26" s="27" t="s">
        <v>43</v>
      </c>
      <c r="B26" s="46">
        <f>G26+I26+K26+M26+O26+Q26+S26+U26+W26+Y26+AA26+AC26</f>
        <v>867.7000000000002</v>
      </c>
      <c r="C26" s="3"/>
      <c r="D26" s="2"/>
      <c r="E26" s="2"/>
      <c r="F26" s="2"/>
      <c r="G26" s="42">
        <f>ROUND(68833/1000,1)+0.1</f>
        <v>68.89999999999999</v>
      </c>
      <c r="H26" s="41"/>
      <c r="I26" s="42">
        <f>ROUND(72618.81/1000,1)</f>
        <v>72.6</v>
      </c>
      <c r="J26" s="42"/>
      <c r="K26" s="42">
        <f>ROUND(72618.81/1000,1)</f>
        <v>72.6</v>
      </c>
      <c r="L26" s="43"/>
      <c r="M26" s="42">
        <f>ROUND(72618.81/1000,1)+0.1</f>
        <v>72.69999999999999</v>
      </c>
      <c r="N26" s="40"/>
      <c r="O26" s="42">
        <f>ROUND(72618.81/1000,1)</f>
        <v>72.6</v>
      </c>
      <c r="P26" s="42"/>
      <c r="Q26" s="42">
        <f>ROUND(72618.81/1000,1)</f>
        <v>72.6</v>
      </c>
      <c r="R26" s="43"/>
      <c r="S26" s="42">
        <f>ROUND(72618.81/1000,1)</f>
        <v>72.6</v>
      </c>
      <c r="T26" s="32"/>
      <c r="U26" s="42">
        <f>ROUND(72618.81/1000,1)</f>
        <v>72.6</v>
      </c>
      <c r="V26" s="42"/>
      <c r="W26" s="42">
        <f>ROUND(72618.81/1000,1)</f>
        <v>72.6</v>
      </c>
      <c r="X26" s="43"/>
      <c r="Y26" s="42">
        <f>ROUND(72618.81/1000,1)</f>
        <v>72.6</v>
      </c>
      <c r="Z26" s="42"/>
      <c r="AA26" s="42">
        <f>ROUND(72618.81/1000,1)</f>
        <v>72.6</v>
      </c>
      <c r="AB26" s="40"/>
      <c r="AC26" s="42">
        <f>ROUND(72678.9/1000,1)</f>
        <v>72.7</v>
      </c>
      <c r="AD26" s="2"/>
      <c r="AE26" s="20"/>
    </row>
    <row r="27" spans="1:31" s="17" customFormat="1" ht="18.75">
      <c r="A27" s="5" t="s">
        <v>31</v>
      </c>
      <c r="B27" s="47">
        <f>B24+B25+B26</f>
        <v>4362.4</v>
      </c>
      <c r="C27" s="3"/>
      <c r="D27" s="2"/>
      <c r="E27" s="2"/>
      <c r="F27" s="2"/>
      <c r="G27" s="39">
        <f>G24+G25+G26</f>
        <v>346.9</v>
      </c>
      <c r="H27" s="39"/>
      <c r="I27" s="39">
        <f aca="true" t="shared" si="2" ref="I27:AC27">I24+I25+I26</f>
        <v>354.20000000000005</v>
      </c>
      <c r="J27" s="39"/>
      <c r="K27" s="39">
        <f t="shared" si="2"/>
        <v>354.20000000000005</v>
      </c>
      <c r="L27" s="39"/>
      <c r="M27" s="39">
        <f t="shared" si="2"/>
        <v>354.3</v>
      </c>
      <c r="N27" s="39"/>
      <c r="O27" s="39">
        <f t="shared" si="2"/>
        <v>354.20000000000005</v>
      </c>
      <c r="P27" s="39"/>
      <c r="Q27" s="39">
        <f t="shared" si="2"/>
        <v>354.20000000000005</v>
      </c>
      <c r="R27" s="39"/>
      <c r="S27" s="39">
        <f t="shared" si="2"/>
        <v>354.20000000000005</v>
      </c>
      <c r="T27" s="39"/>
      <c r="U27" s="39">
        <f t="shared" si="2"/>
        <v>354.20000000000005</v>
      </c>
      <c r="V27" s="39"/>
      <c r="W27" s="39">
        <f t="shared" si="2"/>
        <v>354.20000000000005</v>
      </c>
      <c r="X27" s="39"/>
      <c r="Y27" s="39">
        <f t="shared" si="2"/>
        <v>354.20000000000005</v>
      </c>
      <c r="Z27" s="39"/>
      <c r="AA27" s="39">
        <f t="shared" si="2"/>
        <v>354.20000000000005</v>
      </c>
      <c r="AB27" s="39"/>
      <c r="AC27" s="39">
        <f t="shared" si="2"/>
        <v>473.4</v>
      </c>
      <c r="AD27" s="39"/>
      <c r="AE27" s="20"/>
    </row>
    <row r="28" spans="1:31" s="17" customFormat="1" ht="18.75">
      <c r="A28" s="4" t="s">
        <v>23</v>
      </c>
      <c r="B28" s="32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0"/>
    </row>
    <row r="29" spans="1:31" s="17" customFormat="1" ht="18.75">
      <c r="A29" s="4" t="s">
        <v>24</v>
      </c>
      <c r="B29" s="46">
        <f>B27</f>
        <v>4362.4</v>
      </c>
      <c r="C29" s="3"/>
      <c r="D29" s="2"/>
      <c r="E29" s="2"/>
      <c r="F29" s="2"/>
      <c r="G29" s="3">
        <f>G27</f>
        <v>346.9</v>
      </c>
      <c r="H29" s="2"/>
      <c r="I29" s="3">
        <f>I27</f>
        <v>354.20000000000005</v>
      </c>
      <c r="J29" s="2"/>
      <c r="K29" s="3">
        <f>K27</f>
        <v>354.20000000000005</v>
      </c>
      <c r="L29" s="2"/>
      <c r="M29" s="3">
        <f>M27</f>
        <v>354.3</v>
      </c>
      <c r="N29" s="2"/>
      <c r="O29" s="3">
        <f>O27</f>
        <v>354.20000000000005</v>
      </c>
      <c r="P29" s="3"/>
      <c r="Q29" s="3">
        <f>Q27</f>
        <v>354.20000000000005</v>
      </c>
      <c r="R29" s="2"/>
      <c r="S29" s="3">
        <f>S27</f>
        <v>354.20000000000005</v>
      </c>
      <c r="T29" s="3"/>
      <c r="U29" s="3">
        <f>U27</f>
        <v>354.20000000000005</v>
      </c>
      <c r="V29" s="2"/>
      <c r="W29" s="3">
        <f>W27</f>
        <v>354.20000000000005</v>
      </c>
      <c r="X29" s="3"/>
      <c r="Y29" s="3">
        <f>Y27</f>
        <v>354.20000000000005</v>
      </c>
      <c r="Z29" s="3"/>
      <c r="AA29" s="3">
        <f>AA27</f>
        <v>354.20000000000005</v>
      </c>
      <c r="AB29" s="3"/>
      <c r="AC29" s="3">
        <f>AC27</f>
        <v>473.4</v>
      </c>
      <c r="AD29" s="2"/>
      <c r="AE29" s="20"/>
    </row>
    <row r="30" spans="1:31" s="17" customFormat="1" ht="18.75">
      <c r="A30" s="4" t="s">
        <v>25</v>
      </c>
      <c r="B30" s="32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0"/>
    </row>
    <row r="31" spans="1:31" s="17" customFormat="1" ht="18.75">
      <c r="A31" s="4" t="s">
        <v>26</v>
      </c>
      <c r="B31" s="32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0"/>
    </row>
    <row r="32" spans="1:31" s="17" customFormat="1" ht="38.25" customHeight="1">
      <c r="A32" s="31" t="s">
        <v>36</v>
      </c>
      <c r="B32" s="32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0"/>
    </row>
    <row r="33" spans="1:31" s="17" customFormat="1" ht="31.5">
      <c r="A33" s="33" t="s">
        <v>44</v>
      </c>
      <c r="B33" s="46">
        <f>G33+I33+K33+M33+O33+Q33+S33+U33+W33+Y33+AA33+AC33</f>
        <v>3630</v>
      </c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3">
        <v>3630</v>
      </c>
      <c r="V33" s="2"/>
      <c r="W33" s="2"/>
      <c r="X33" s="2"/>
      <c r="Y33" s="2"/>
      <c r="Z33" s="2"/>
      <c r="AA33" s="2"/>
      <c r="AB33" s="2"/>
      <c r="AC33" s="2"/>
      <c r="AD33" s="2"/>
      <c r="AE33" s="20"/>
    </row>
    <row r="34" spans="1:31" s="17" customFormat="1" ht="18.75">
      <c r="A34" s="5" t="s">
        <v>31</v>
      </c>
      <c r="B34" s="47">
        <f>B33</f>
        <v>3630</v>
      </c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44">
        <f>U33</f>
        <v>3630</v>
      </c>
      <c r="V34" s="2"/>
      <c r="W34" s="2"/>
      <c r="X34" s="2"/>
      <c r="Y34" s="2"/>
      <c r="Z34" s="2"/>
      <c r="AA34" s="2"/>
      <c r="AB34" s="2"/>
      <c r="AC34" s="2"/>
      <c r="AD34" s="2"/>
      <c r="AE34" s="20"/>
    </row>
    <row r="35" spans="1:31" s="17" customFormat="1" ht="18.75">
      <c r="A35" s="4" t="s">
        <v>23</v>
      </c>
      <c r="B35" s="32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45"/>
      <c r="V35" s="2"/>
      <c r="W35" s="2"/>
      <c r="X35" s="2"/>
      <c r="Y35" s="2"/>
      <c r="Z35" s="2"/>
      <c r="AA35" s="2"/>
      <c r="AB35" s="2"/>
      <c r="AC35" s="2"/>
      <c r="AD35" s="2"/>
      <c r="AE35" s="20"/>
    </row>
    <row r="36" spans="1:31" s="17" customFormat="1" ht="18.75">
      <c r="A36" s="4" t="s">
        <v>24</v>
      </c>
      <c r="B36" s="46">
        <f>B34</f>
        <v>3630</v>
      </c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45">
        <f>U34</f>
        <v>3630</v>
      </c>
      <c r="V36" s="2"/>
      <c r="W36" s="2"/>
      <c r="X36" s="2"/>
      <c r="Y36" s="2"/>
      <c r="Z36" s="2"/>
      <c r="AA36" s="2"/>
      <c r="AB36" s="2"/>
      <c r="AC36" s="2"/>
      <c r="AD36" s="2"/>
      <c r="AE36" s="20"/>
    </row>
    <row r="37" spans="1:31" s="17" customFormat="1" ht="18.75">
      <c r="A37" s="4" t="s">
        <v>25</v>
      </c>
      <c r="B37" s="32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0"/>
    </row>
    <row r="38" spans="1:31" s="17" customFormat="1" ht="18.75">
      <c r="A38" s="4" t="s">
        <v>26</v>
      </c>
      <c r="B38" s="32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0"/>
    </row>
    <row r="39" spans="1:31" s="17" customFormat="1" ht="132.75" customHeight="1">
      <c r="A39" s="34" t="s">
        <v>38</v>
      </c>
      <c r="B39" s="32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0"/>
    </row>
    <row r="40" spans="1:31" s="17" customFormat="1" ht="35.25" customHeight="1">
      <c r="A40" s="35" t="s">
        <v>45</v>
      </c>
      <c r="B40" s="46">
        <f>G40+I40+K40+M40+O40+Q40+S40+U40+W40+Y40+AA40+AC40</f>
        <v>19862.9</v>
      </c>
      <c r="C40" s="3"/>
      <c r="D40" s="2"/>
      <c r="E40" s="2"/>
      <c r="F40" s="2"/>
      <c r="G40" s="3">
        <f>ROUND(3478667.24/1000,1)</f>
        <v>3478.7</v>
      </c>
      <c r="H40" s="3"/>
      <c r="I40" s="3">
        <f>ROUND(1672737.33/1000,1)</f>
        <v>1672.7</v>
      </c>
      <c r="J40" s="3"/>
      <c r="K40" s="3">
        <f>ROUND(1100187.33/1000,1)</f>
        <v>1100.2</v>
      </c>
      <c r="L40" s="3"/>
      <c r="M40" s="3">
        <f>ROUND(1663910.33/1000,1)</f>
        <v>1663.9</v>
      </c>
      <c r="N40" s="3"/>
      <c r="O40" s="3">
        <f>ROUND(1887037.33/1000,1)</f>
        <v>1887</v>
      </c>
      <c r="P40" s="3"/>
      <c r="Q40" s="3">
        <f>ROUND(1871387.33/1000,1)</f>
        <v>1871.4</v>
      </c>
      <c r="R40" s="3"/>
      <c r="S40" s="3">
        <f>ROUND(2157187.35/1000,1)</f>
        <v>2157.2</v>
      </c>
      <c r="T40" s="3"/>
      <c r="U40" s="3">
        <f>ROUND(1204487.35/1000,1)</f>
        <v>1204.5</v>
      </c>
      <c r="V40" s="3"/>
      <c r="W40" s="3">
        <f>ROUND(942487.35/1000,1)</f>
        <v>942.5</v>
      </c>
      <c r="X40" s="3"/>
      <c r="Y40" s="3">
        <f>ROUND(1461887.36/1000,1)</f>
        <v>1461.9</v>
      </c>
      <c r="Z40" s="3"/>
      <c r="AA40" s="3">
        <f>ROUND(821737.36/1000,1)</f>
        <v>821.7</v>
      </c>
      <c r="AB40" s="3"/>
      <c r="AC40" s="3">
        <f>ROUND(1601186.34/1000,1)</f>
        <v>1601.2</v>
      </c>
      <c r="AD40" s="2"/>
      <c r="AE40" s="20"/>
    </row>
    <row r="41" spans="1:31" s="17" customFormat="1" ht="19.5" customHeight="1">
      <c r="A41" s="5" t="s">
        <v>31</v>
      </c>
      <c r="B41" s="47">
        <f>B40</f>
        <v>19862.9</v>
      </c>
      <c r="C41" s="3"/>
      <c r="D41" s="2"/>
      <c r="E41" s="2"/>
      <c r="F41" s="2"/>
      <c r="G41" s="44">
        <f>G40</f>
        <v>3478.7</v>
      </c>
      <c r="H41" s="39"/>
      <c r="I41" s="44">
        <f>I40</f>
        <v>1672.7</v>
      </c>
      <c r="J41" s="2"/>
      <c r="K41" s="44">
        <f>K40</f>
        <v>1100.2</v>
      </c>
      <c r="L41" s="2"/>
      <c r="M41" s="44">
        <f>M40</f>
        <v>1663.9</v>
      </c>
      <c r="N41" s="2"/>
      <c r="O41" s="44">
        <f>O40</f>
        <v>1887</v>
      </c>
      <c r="P41" s="2"/>
      <c r="Q41" s="44">
        <f>Q40</f>
        <v>1871.4</v>
      </c>
      <c r="R41" s="2"/>
      <c r="S41" s="44">
        <f>S40</f>
        <v>2157.2</v>
      </c>
      <c r="T41" s="2"/>
      <c r="U41" s="44">
        <f>U40</f>
        <v>1204.5</v>
      </c>
      <c r="V41" s="2"/>
      <c r="W41" s="44">
        <f>W40</f>
        <v>942.5</v>
      </c>
      <c r="X41" s="2"/>
      <c r="Y41" s="44">
        <f>Y40</f>
        <v>1461.9</v>
      </c>
      <c r="Z41" s="2"/>
      <c r="AA41" s="44">
        <f>AA40</f>
        <v>821.7</v>
      </c>
      <c r="AB41" s="2"/>
      <c r="AC41" s="44">
        <f>AC40</f>
        <v>1601.2</v>
      </c>
      <c r="AD41" s="2"/>
      <c r="AE41" s="20"/>
    </row>
    <row r="42" spans="1:31" s="17" customFormat="1" ht="19.5" customHeight="1">
      <c r="A42" s="4" t="s">
        <v>23</v>
      </c>
      <c r="B42" s="32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0"/>
    </row>
    <row r="43" spans="1:31" s="17" customFormat="1" ht="19.5" customHeight="1">
      <c r="A43" s="4" t="s">
        <v>24</v>
      </c>
      <c r="B43" s="46">
        <f>B41</f>
        <v>19862.9</v>
      </c>
      <c r="C43" s="3"/>
      <c r="D43" s="2"/>
      <c r="E43" s="2"/>
      <c r="F43" s="2"/>
      <c r="G43" s="3">
        <f>G41</f>
        <v>3478.7</v>
      </c>
      <c r="H43" s="3"/>
      <c r="I43" s="3">
        <f>I41</f>
        <v>1672.7</v>
      </c>
      <c r="J43" s="3"/>
      <c r="K43" s="3">
        <f>K41</f>
        <v>1100.2</v>
      </c>
      <c r="L43" s="3"/>
      <c r="M43" s="3">
        <f>M41</f>
        <v>1663.9</v>
      </c>
      <c r="N43" s="3"/>
      <c r="O43" s="3">
        <f>O41</f>
        <v>1887</v>
      </c>
      <c r="P43" s="3"/>
      <c r="Q43" s="3">
        <f>Q41</f>
        <v>1871.4</v>
      </c>
      <c r="R43" s="3"/>
      <c r="S43" s="3">
        <f>S41</f>
        <v>2157.2</v>
      </c>
      <c r="T43" s="3"/>
      <c r="U43" s="3">
        <f>U41</f>
        <v>1204.5</v>
      </c>
      <c r="V43" s="3"/>
      <c r="W43" s="3">
        <f>W41</f>
        <v>942.5</v>
      </c>
      <c r="X43" s="3"/>
      <c r="Y43" s="3">
        <f>Y41</f>
        <v>1461.9</v>
      </c>
      <c r="Z43" s="3"/>
      <c r="AA43" s="3">
        <f>AA41</f>
        <v>821.7</v>
      </c>
      <c r="AB43" s="3"/>
      <c r="AC43" s="3">
        <f>AC41</f>
        <v>1601.2</v>
      </c>
      <c r="AD43" s="2"/>
      <c r="AE43" s="20"/>
    </row>
    <row r="44" spans="1:31" s="17" customFormat="1" ht="19.5" customHeight="1">
      <c r="A44" s="4" t="s">
        <v>25</v>
      </c>
      <c r="B44" s="32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0"/>
    </row>
    <row r="45" spans="1:31" s="17" customFormat="1" ht="19.5" customHeight="1">
      <c r="A45" s="4" t="s">
        <v>26</v>
      </c>
      <c r="B45" s="32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0"/>
    </row>
    <row r="46" spans="1:31" s="17" customFormat="1" ht="99.75" customHeight="1">
      <c r="A46" s="34" t="s">
        <v>37</v>
      </c>
      <c r="B46" s="32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0"/>
    </row>
    <row r="47" spans="1:31" s="17" customFormat="1" ht="69" customHeight="1">
      <c r="A47" s="27" t="s">
        <v>46</v>
      </c>
      <c r="B47" s="36">
        <f>G47+I47+K47+M47+O47+Q47+S47+U47+W47+Y47+AA47+AC47</f>
        <v>353.2</v>
      </c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>
        <v>353.2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0"/>
    </row>
    <row r="48" spans="1:31" s="17" customFormat="1" ht="19.5" customHeight="1">
      <c r="A48" s="5" t="s">
        <v>31</v>
      </c>
      <c r="B48" s="30">
        <f>B47</f>
        <v>353.2</v>
      </c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48">
        <f>Q47</f>
        <v>353.2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0"/>
    </row>
    <row r="49" spans="1:31" s="17" customFormat="1" ht="18.75">
      <c r="A49" s="4" t="s">
        <v>23</v>
      </c>
      <c r="B49" s="4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4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0"/>
    </row>
    <row r="50" spans="1:31" s="17" customFormat="1" ht="18.75">
      <c r="A50" s="4" t="s">
        <v>24</v>
      </c>
      <c r="B50" s="32">
        <f>B48</f>
        <v>353.2</v>
      </c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42">
        <f>Q48</f>
        <v>353.2</v>
      </c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0"/>
    </row>
    <row r="51" spans="1:31" s="17" customFormat="1" ht="18.75">
      <c r="A51" s="4" t="s">
        <v>25</v>
      </c>
      <c r="B51" s="4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0"/>
    </row>
    <row r="52" spans="1:31" s="17" customFormat="1" ht="18.75">
      <c r="A52" s="4" t="s">
        <v>26</v>
      </c>
      <c r="B52" s="4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0"/>
    </row>
    <row r="53" spans="1:31" ht="18.75">
      <c r="A53" s="5" t="s">
        <v>32</v>
      </c>
      <c r="B53" s="47">
        <f>B18+B27+B34+B41+B48+B10</f>
        <v>88872.3</v>
      </c>
      <c r="C53" s="3"/>
      <c r="D53" s="2"/>
      <c r="E53" s="2"/>
      <c r="F53" s="2"/>
      <c r="G53" s="44">
        <f aca="true" t="shared" si="3" ref="G53:AC53">G18+G27+G34+G41+G48+G10</f>
        <v>9484.599999999999</v>
      </c>
      <c r="H53" s="44"/>
      <c r="I53" s="44">
        <f t="shared" si="3"/>
        <v>8421.3</v>
      </c>
      <c r="J53" s="44"/>
      <c r="K53" s="44">
        <f t="shared" si="3"/>
        <v>6584.799999999999</v>
      </c>
      <c r="L53" s="44"/>
      <c r="M53" s="44">
        <f t="shared" si="3"/>
        <v>7677.3</v>
      </c>
      <c r="N53" s="44"/>
      <c r="O53" s="44">
        <f t="shared" si="3"/>
        <v>7055.6</v>
      </c>
      <c r="P53" s="44"/>
      <c r="Q53" s="44">
        <f t="shared" si="3"/>
        <v>6489.200000000001</v>
      </c>
      <c r="R53" s="44"/>
      <c r="S53" s="44">
        <f t="shared" si="3"/>
        <v>6293.5</v>
      </c>
      <c r="T53" s="44"/>
      <c r="U53" s="44">
        <f t="shared" si="3"/>
        <v>9464.4</v>
      </c>
      <c r="V53" s="44"/>
      <c r="W53" s="44">
        <f t="shared" si="3"/>
        <v>5652.5</v>
      </c>
      <c r="X53" s="44"/>
      <c r="Y53" s="44">
        <f t="shared" si="3"/>
        <v>6303.099999999999</v>
      </c>
      <c r="Z53" s="44"/>
      <c r="AA53" s="44">
        <f t="shared" si="3"/>
        <v>6419.2</v>
      </c>
      <c r="AB53" s="44"/>
      <c r="AC53" s="44">
        <f t="shared" si="3"/>
        <v>9026.8</v>
      </c>
      <c r="AD53" s="44"/>
      <c r="AE53" s="20"/>
    </row>
    <row r="54" spans="1:31" s="17" customFormat="1" ht="18.75">
      <c r="A54" s="4" t="s">
        <v>23</v>
      </c>
      <c r="B54" s="4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0"/>
    </row>
    <row r="55" spans="1:31" s="17" customFormat="1" ht="18.75">
      <c r="A55" s="4" t="s">
        <v>24</v>
      </c>
      <c r="B55" s="46">
        <f>B53</f>
        <v>88872.3</v>
      </c>
      <c r="C55" s="3"/>
      <c r="D55" s="2"/>
      <c r="E55" s="2"/>
      <c r="F55" s="2"/>
      <c r="G55" s="42">
        <f aca="true" t="shared" si="4" ref="G55:AC55">G53</f>
        <v>9484.599999999999</v>
      </c>
      <c r="H55" s="42"/>
      <c r="I55" s="42">
        <f t="shared" si="4"/>
        <v>8421.3</v>
      </c>
      <c r="J55" s="42"/>
      <c r="K55" s="42">
        <f t="shared" si="4"/>
        <v>6584.799999999999</v>
      </c>
      <c r="L55" s="42"/>
      <c r="M55" s="42">
        <f t="shared" si="4"/>
        <v>7677.3</v>
      </c>
      <c r="N55" s="42"/>
      <c r="O55" s="42">
        <f t="shared" si="4"/>
        <v>7055.6</v>
      </c>
      <c r="P55" s="42"/>
      <c r="Q55" s="42">
        <f t="shared" si="4"/>
        <v>6489.200000000001</v>
      </c>
      <c r="R55" s="42"/>
      <c r="S55" s="42">
        <f t="shared" si="4"/>
        <v>6293.5</v>
      </c>
      <c r="T55" s="42"/>
      <c r="U55" s="42">
        <f t="shared" si="4"/>
        <v>9464.4</v>
      </c>
      <c r="V55" s="42"/>
      <c r="W55" s="42">
        <f t="shared" si="4"/>
        <v>5652.5</v>
      </c>
      <c r="X55" s="42"/>
      <c r="Y55" s="42">
        <f t="shared" si="4"/>
        <v>6303.099999999999</v>
      </c>
      <c r="Z55" s="42"/>
      <c r="AA55" s="42">
        <f t="shared" si="4"/>
        <v>6419.2</v>
      </c>
      <c r="AB55" s="42"/>
      <c r="AC55" s="42">
        <f t="shared" si="4"/>
        <v>9026.8</v>
      </c>
      <c r="AD55" s="2"/>
      <c r="AE55" s="20"/>
    </row>
    <row r="56" spans="1:31" s="17" customFormat="1" ht="18.75">
      <c r="A56" s="4" t="s">
        <v>25</v>
      </c>
      <c r="B56" s="4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0"/>
    </row>
    <row r="57" spans="1:31" s="17" customFormat="1" ht="18.75">
      <c r="A57" s="4" t="s">
        <v>26</v>
      </c>
      <c r="B57" s="4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0"/>
    </row>
    <row r="58" spans="1:31" s="17" customFormat="1" ht="18.75">
      <c r="A58" s="52"/>
      <c r="B58" s="52"/>
      <c r="C58" s="53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5"/>
    </row>
    <row r="59" ht="26.25" customHeight="1">
      <c r="B59" s="22"/>
    </row>
    <row r="60" spans="2:43" ht="21.75" customHeight="1">
      <c r="B60" s="21"/>
      <c r="C60" s="21"/>
      <c r="D60" s="21"/>
      <c r="E60" s="21"/>
      <c r="F60" s="21"/>
      <c r="G60" s="7"/>
      <c r="H60" s="7"/>
      <c r="I60" s="7"/>
      <c r="J60" s="7"/>
      <c r="K60" s="7"/>
      <c r="L60" s="7"/>
      <c r="M60" s="7"/>
      <c r="N60" s="7"/>
      <c r="O60" s="7"/>
      <c r="P60" s="8"/>
      <c r="Q60" s="7"/>
      <c r="R60" s="7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6"/>
    </row>
    <row r="61" spans="3:43" ht="19.5" customHeight="1">
      <c r="C61" s="6"/>
      <c r="D61" s="6"/>
      <c r="E61" s="6"/>
      <c r="F61" s="125"/>
      <c r="G61" s="125"/>
      <c r="L61" s="7"/>
      <c r="M61" s="7"/>
      <c r="N61" s="7"/>
      <c r="O61" s="7"/>
      <c r="P61" s="8"/>
      <c r="Q61" s="7"/>
      <c r="R61" s="7"/>
      <c r="S61" s="1"/>
      <c r="T61" s="1"/>
      <c r="U61" s="1"/>
      <c r="V61" s="1"/>
      <c r="W61" s="1"/>
      <c r="X61" s="117" t="s">
        <v>50</v>
      </c>
      <c r="Y61" s="117"/>
      <c r="Z61" s="58"/>
      <c r="AA61" s="58"/>
      <c r="AB61" s="58"/>
      <c r="AC61" s="119" t="s">
        <v>51</v>
      </c>
      <c r="AD61" s="119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6"/>
    </row>
    <row r="62" spans="6:43" ht="48.75" customHeight="1">
      <c r="F62" s="6"/>
      <c r="G62" s="7"/>
      <c r="H62" s="7"/>
      <c r="I62" s="7"/>
      <c r="J62" s="7"/>
      <c r="K62" s="7"/>
      <c r="L62" s="7"/>
      <c r="M62" s="7"/>
      <c r="N62" s="7"/>
      <c r="O62" s="7"/>
      <c r="P62" s="8"/>
      <c r="Q62" s="7"/>
      <c r="R62" s="7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6"/>
    </row>
    <row r="63" spans="2:6" ht="19.5" customHeight="1">
      <c r="B63" s="127"/>
      <c r="C63" s="127"/>
      <c r="D63" s="127"/>
      <c r="E63" s="127"/>
      <c r="F63" s="127"/>
    </row>
    <row r="64" spans="3:21" ht="48.75" customHeight="1">
      <c r="C64" s="6"/>
      <c r="D64" s="6"/>
      <c r="E64" s="6"/>
      <c r="F64" s="6"/>
      <c r="G64" s="37"/>
      <c r="S64" s="118" t="s">
        <v>49</v>
      </c>
      <c r="T64" s="118"/>
      <c r="U64" s="118"/>
    </row>
    <row r="65" spans="2:6" ht="18.75">
      <c r="B65" s="127"/>
      <c r="C65" s="127"/>
      <c r="D65" s="127"/>
      <c r="E65" s="127"/>
      <c r="F65" s="6"/>
    </row>
  </sheetData>
  <sheetProtection/>
  <mergeCells count="28">
    <mergeCell ref="AC4:AD4"/>
    <mergeCell ref="B63:F63"/>
    <mergeCell ref="B65:E65"/>
    <mergeCell ref="F61:G61"/>
    <mergeCell ref="C4:C5"/>
    <mergeCell ref="D4:D5"/>
    <mergeCell ref="U4:V4"/>
    <mergeCell ref="AA4:AB4"/>
    <mergeCell ref="A4:A5"/>
    <mergeCell ref="E4:F4"/>
    <mergeCell ref="AE4:AE5"/>
    <mergeCell ref="K4:L4"/>
    <mergeCell ref="M4:N4"/>
    <mergeCell ref="O4:P4"/>
    <mergeCell ref="Q4:R4"/>
    <mergeCell ref="S4:T4"/>
    <mergeCell ref="W4:X4"/>
    <mergeCell ref="Y4:Z4"/>
    <mergeCell ref="A1:A2"/>
    <mergeCell ref="X61:Y61"/>
    <mergeCell ref="S64:U64"/>
    <mergeCell ref="AC61:AD61"/>
    <mergeCell ref="G4:H4"/>
    <mergeCell ref="I4:J4"/>
    <mergeCell ref="B4:B5"/>
    <mergeCell ref="F1:G1"/>
    <mergeCell ref="N2:R2"/>
    <mergeCell ref="S2:AE2"/>
  </mergeCells>
  <printOptions horizontalCentered="1"/>
  <pageMargins left="0.15748031496062992" right="0.1968503937007874" top="0.35433070866141736" bottom="0.4330708661417323" header="0.31496062992125984" footer="0.6299212598425197"/>
  <pageSetup fitToHeight="4" horizontalDpi="600" verticalDpi="600" orientation="landscape" paperSize="9" scale="45" r:id="rId1"/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86"/>
  <sheetViews>
    <sheetView showGridLines="0" tabSelected="1" zoomScale="80" zoomScaleNormal="8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D9" sqref="D9"/>
    </sheetView>
  </sheetViews>
  <sheetFormatPr defaultColWidth="9.140625" defaultRowHeight="12.75"/>
  <cols>
    <col min="1" max="1" width="61.57421875" style="60" customWidth="1"/>
    <col min="2" max="2" width="15.140625" style="60" customWidth="1"/>
    <col min="3" max="3" width="13.8515625" style="61" customWidth="1"/>
    <col min="4" max="4" width="17.140625" style="61" customWidth="1"/>
    <col min="5" max="6" width="13.421875" style="61" customWidth="1"/>
    <col min="7" max="10" width="16.140625" style="63" customWidth="1"/>
    <col min="11" max="11" width="14.57421875" style="63" customWidth="1"/>
    <col min="12" max="12" width="15.140625" style="63" customWidth="1"/>
    <col min="13" max="13" width="16.140625" style="63" customWidth="1"/>
    <col min="14" max="14" width="13.7109375" style="63" customWidth="1"/>
    <col min="15" max="16" width="14.28125" style="63" customWidth="1"/>
    <col min="17" max="17" width="14.140625" style="63" customWidth="1"/>
    <col min="18" max="18" width="14.28125" style="63" customWidth="1"/>
    <col min="19" max="19" width="12.8515625" style="61" customWidth="1"/>
    <col min="20" max="20" width="15.140625" style="61" customWidth="1"/>
    <col min="21" max="21" width="16.140625" style="61" customWidth="1"/>
    <col min="22" max="22" width="14.8515625" style="61" customWidth="1"/>
    <col min="23" max="23" width="15.28125" style="61" customWidth="1"/>
    <col min="24" max="24" width="13.57421875" style="61" customWidth="1"/>
    <col min="25" max="25" width="14.7109375" style="61" customWidth="1"/>
    <col min="26" max="26" width="12.8515625" style="61" customWidth="1"/>
    <col min="27" max="27" width="13.7109375" style="61" customWidth="1"/>
    <col min="28" max="28" width="13.00390625" style="61" customWidth="1"/>
    <col min="29" max="29" width="14.57421875" style="61" customWidth="1"/>
    <col min="30" max="30" width="12.421875" style="61" customWidth="1"/>
    <col min="31" max="31" width="103.57421875" style="60" customWidth="1"/>
    <col min="32" max="16384" width="9.140625" style="63" customWidth="1"/>
  </cols>
  <sheetData>
    <row r="1" spans="1:10" ht="20.25" customHeight="1">
      <c r="A1" s="59"/>
      <c r="F1" s="108"/>
      <c r="G1" s="108"/>
      <c r="H1" s="62"/>
      <c r="I1" s="62"/>
      <c r="J1" s="62"/>
    </row>
    <row r="2" spans="1:31" ht="119.25" customHeight="1">
      <c r="A2" s="87" t="s">
        <v>33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132"/>
      <c r="O2" s="132"/>
      <c r="P2" s="132"/>
      <c r="Q2" s="132"/>
      <c r="R2" s="132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</row>
    <row r="3" spans="1:31" s="65" customFormat="1" ht="20.25" customHeight="1">
      <c r="A3" s="64"/>
      <c r="B3" s="64"/>
      <c r="C3" s="64"/>
      <c r="D3" s="64"/>
      <c r="E3" s="64"/>
      <c r="F3" s="64"/>
      <c r="G3" s="64"/>
      <c r="H3" s="64"/>
      <c r="I3" s="64"/>
      <c r="K3" s="64"/>
      <c r="L3" s="64"/>
      <c r="M3" s="64"/>
      <c r="N3" s="64"/>
      <c r="O3" s="64"/>
      <c r="P3" s="64"/>
      <c r="Q3" s="64"/>
      <c r="R3" s="66" t="s">
        <v>14</v>
      </c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6" t="s">
        <v>14</v>
      </c>
    </row>
    <row r="4" spans="1:31" s="68" customFormat="1" ht="18.75" customHeight="1">
      <c r="A4" s="129" t="s">
        <v>5</v>
      </c>
      <c r="B4" s="130" t="s">
        <v>22</v>
      </c>
      <c r="C4" s="130" t="s">
        <v>82</v>
      </c>
      <c r="D4" s="130" t="s">
        <v>20</v>
      </c>
      <c r="E4" s="128" t="s">
        <v>15</v>
      </c>
      <c r="F4" s="128"/>
      <c r="G4" s="128" t="s">
        <v>0</v>
      </c>
      <c r="H4" s="128"/>
      <c r="I4" s="128" t="s">
        <v>1</v>
      </c>
      <c r="J4" s="128"/>
      <c r="K4" s="128" t="s">
        <v>2</v>
      </c>
      <c r="L4" s="128"/>
      <c r="M4" s="128" t="s">
        <v>3</v>
      </c>
      <c r="N4" s="128"/>
      <c r="O4" s="128" t="s">
        <v>4</v>
      </c>
      <c r="P4" s="128"/>
      <c r="Q4" s="128" t="s">
        <v>6</v>
      </c>
      <c r="R4" s="128"/>
      <c r="S4" s="128" t="s">
        <v>7</v>
      </c>
      <c r="T4" s="128"/>
      <c r="U4" s="128" t="s">
        <v>8</v>
      </c>
      <c r="V4" s="128"/>
      <c r="W4" s="128" t="s">
        <v>9</v>
      </c>
      <c r="X4" s="128"/>
      <c r="Y4" s="128" t="s">
        <v>10</v>
      </c>
      <c r="Z4" s="128"/>
      <c r="AA4" s="128" t="s">
        <v>11</v>
      </c>
      <c r="AB4" s="128"/>
      <c r="AC4" s="128" t="s">
        <v>12</v>
      </c>
      <c r="AD4" s="128"/>
      <c r="AE4" s="129" t="s">
        <v>21</v>
      </c>
    </row>
    <row r="5" spans="1:31" s="70" customFormat="1" ht="66.75" customHeight="1">
      <c r="A5" s="129"/>
      <c r="B5" s="131"/>
      <c r="C5" s="131"/>
      <c r="D5" s="131"/>
      <c r="E5" s="67" t="s">
        <v>17</v>
      </c>
      <c r="F5" s="67" t="s">
        <v>16</v>
      </c>
      <c r="G5" s="69" t="s">
        <v>13</v>
      </c>
      <c r="H5" s="69" t="s">
        <v>18</v>
      </c>
      <c r="I5" s="69" t="s">
        <v>13</v>
      </c>
      <c r="J5" s="69" t="s">
        <v>18</v>
      </c>
      <c r="K5" s="69" t="s">
        <v>13</v>
      </c>
      <c r="L5" s="69" t="s">
        <v>18</v>
      </c>
      <c r="M5" s="69" t="s">
        <v>13</v>
      </c>
      <c r="N5" s="69" t="s">
        <v>18</v>
      </c>
      <c r="O5" s="69" t="s">
        <v>13</v>
      </c>
      <c r="P5" s="69" t="s">
        <v>18</v>
      </c>
      <c r="Q5" s="69" t="s">
        <v>13</v>
      </c>
      <c r="R5" s="69" t="s">
        <v>18</v>
      </c>
      <c r="S5" s="69" t="s">
        <v>13</v>
      </c>
      <c r="T5" s="69" t="s">
        <v>18</v>
      </c>
      <c r="U5" s="69" t="s">
        <v>13</v>
      </c>
      <c r="V5" s="69" t="s">
        <v>18</v>
      </c>
      <c r="W5" s="69" t="s">
        <v>13</v>
      </c>
      <c r="X5" s="69" t="s">
        <v>18</v>
      </c>
      <c r="Y5" s="69" t="s">
        <v>13</v>
      </c>
      <c r="Z5" s="69" t="s">
        <v>18</v>
      </c>
      <c r="AA5" s="69" t="s">
        <v>13</v>
      </c>
      <c r="AB5" s="69" t="s">
        <v>18</v>
      </c>
      <c r="AC5" s="69" t="s">
        <v>13</v>
      </c>
      <c r="AD5" s="69" t="s">
        <v>18</v>
      </c>
      <c r="AE5" s="129"/>
    </row>
    <row r="6" spans="1:31" s="72" customFormat="1" ht="17.25" customHeigh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1">
        <v>16</v>
      </c>
      <c r="Q6" s="71">
        <v>17</v>
      </c>
      <c r="R6" s="71">
        <v>18</v>
      </c>
      <c r="S6" s="71">
        <v>19</v>
      </c>
      <c r="T6" s="71">
        <v>20</v>
      </c>
      <c r="U6" s="71">
        <v>21</v>
      </c>
      <c r="V6" s="71">
        <v>22</v>
      </c>
      <c r="W6" s="71">
        <v>23</v>
      </c>
      <c r="X6" s="71">
        <v>24</v>
      </c>
      <c r="Y6" s="71">
        <v>25</v>
      </c>
      <c r="Z6" s="71">
        <v>26</v>
      </c>
      <c r="AA6" s="71">
        <v>27</v>
      </c>
      <c r="AB6" s="71">
        <v>28</v>
      </c>
      <c r="AC6" s="71">
        <v>29</v>
      </c>
      <c r="AD6" s="71">
        <v>30</v>
      </c>
      <c r="AE6" s="71">
        <v>31</v>
      </c>
    </row>
    <row r="7" spans="1:31" s="75" customFormat="1" ht="72" customHeight="1">
      <c r="A7" s="73" t="s">
        <v>33</v>
      </c>
      <c r="B7" s="93">
        <f>B75</f>
        <v>126125.31383</v>
      </c>
      <c r="C7" s="93">
        <f>C75</f>
        <v>89171.98383</v>
      </c>
      <c r="D7" s="93">
        <f>D75</f>
        <v>64707.55081999999</v>
      </c>
      <c r="E7" s="94">
        <f>D7/B7*100</f>
        <v>51.30417428115746</v>
      </c>
      <c r="F7" s="94">
        <f>D7/C7*100</f>
        <v>72.56488870244301</v>
      </c>
      <c r="G7" s="93">
        <f aca="true" t="shared" si="0" ref="G7:AD7">G75</f>
        <v>8109.322999999999</v>
      </c>
      <c r="H7" s="93">
        <f t="shared" si="0"/>
        <v>6213.03629</v>
      </c>
      <c r="I7" s="93">
        <f t="shared" si="0"/>
        <v>9171.35083</v>
      </c>
      <c r="J7" s="93">
        <f t="shared" si="0"/>
        <v>8476.82953</v>
      </c>
      <c r="K7" s="93">
        <f>K75</f>
        <v>6732.35</v>
      </c>
      <c r="L7" s="93">
        <f t="shared" si="0"/>
        <v>7150.5</v>
      </c>
      <c r="M7" s="93">
        <f>M75</f>
        <v>8604.41</v>
      </c>
      <c r="N7" s="93">
        <f t="shared" si="0"/>
        <v>7278.5199999999995</v>
      </c>
      <c r="O7" s="93">
        <f>O75</f>
        <v>6733.59</v>
      </c>
      <c r="P7" s="93">
        <f t="shared" si="0"/>
        <v>7462.4</v>
      </c>
      <c r="Q7" s="93">
        <f t="shared" si="0"/>
        <v>6134.900000000001</v>
      </c>
      <c r="R7" s="93">
        <f t="shared" si="0"/>
        <v>6321.605</v>
      </c>
      <c r="S7" s="93">
        <f t="shared" si="0"/>
        <v>6422.119999999999</v>
      </c>
      <c r="T7" s="93">
        <f t="shared" si="0"/>
        <v>6581.5</v>
      </c>
      <c r="U7" s="93">
        <f t="shared" si="0"/>
        <v>11323.02</v>
      </c>
      <c r="V7" s="93">
        <f t="shared" si="0"/>
        <v>5370.92</v>
      </c>
      <c r="W7" s="93">
        <f>W75</f>
        <v>25940.92</v>
      </c>
      <c r="X7" s="93">
        <f t="shared" si="0"/>
        <v>10139.94</v>
      </c>
      <c r="Y7" s="93">
        <f t="shared" si="0"/>
        <v>17038.72</v>
      </c>
      <c r="Z7" s="93">
        <f t="shared" si="0"/>
        <v>0</v>
      </c>
      <c r="AA7" s="93">
        <f t="shared" si="0"/>
        <v>9567.71</v>
      </c>
      <c r="AB7" s="93">
        <f t="shared" si="0"/>
        <v>0</v>
      </c>
      <c r="AC7" s="93">
        <f t="shared" si="0"/>
        <v>10346.9</v>
      </c>
      <c r="AD7" s="93">
        <f t="shared" si="0"/>
        <v>0</v>
      </c>
      <c r="AE7" s="74"/>
    </row>
    <row r="8" spans="1:31" s="75" customFormat="1" ht="129" customHeight="1">
      <c r="A8" s="86" t="s">
        <v>71</v>
      </c>
      <c r="B8" s="92">
        <f>B33</f>
        <v>94431.50383</v>
      </c>
      <c r="C8" s="92">
        <f>C33</f>
        <v>66142.29383</v>
      </c>
      <c r="D8" s="92">
        <f>D33</f>
        <v>44591.330819999996</v>
      </c>
      <c r="E8" s="92">
        <f>D8/B8*100</f>
        <v>47.2208203951463</v>
      </c>
      <c r="F8" s="92">
        <f>D8/C8*100</f>
        <v>67.41727303048994</v>
      </c>
      <c r="G8" s="92">
        <f aca="true" t="shared" si="1" ref="G8:AD8">G33</f>
        <v>4630.623</v>
      </c>
      <c r="H8" s="92">
        <f t="shared" si="1"/>
        <v>2966.4362900000006</v>
      </c>
      <c r="I8" s="92">
        <f t="shared" si="1"/>
        <v>7107.45083</v>
      </c>
      <c r="J8" s="92">
        <f t="shared" si="1"/>
        <v>6340.2295300000005</v>
      </c>
      <c r="K8" s="92">
        <f>K9+K16+K24</f>
        <v>5590.05</v>
      </c>
      <c r="L8" s="92">
        <f t="shared" si="1"/>
        <v>5177.8</v>
      </c>
      <c r="M8" s="92">
        <f>M9+M16+M24</f>
        <v>5925.51</v>
      </c>
      <c r="N8" s="92">
        <f t="shared" si="1"/>
        <v>5303.82</v>
      </c>
      <c r="O8" s="92">
        <f>O9+O16+O24</f>
        <v>5293.39</v>
      </c>
      <c r="P8" s="92">
        <f t="shared" si="1"/>
        <v>5823.099999999999</v>
      </c>
      <c r="Q8" s="92">
        <f t="shared" si="1"/>
        <v>4338.4800000000005</v>
      </c>
      <c r="R8" s="92">
        <f t="shared" si="1"/>
        <v>4804.585</v>
      </c>
      <c r="S8" s="92">
        <f t="shared" si="1"/>
        <v>4040.6499999999996</v>
      </c>
      <c r="T8" s="92">
        <f t="shared" si="1"/>
        <v>4506.1</v>
      </c>
      <c r="U8" s="92">
        <f t="shared" si="1"/>
        <v>4721.72</v>
      </c>
      <c r="V8" s="92">
        <f t="shared" si="1"/>
        <v>3091.12</v>
      </c>
      <c r="W8" s="92">
        <f>W9+W16+W24</f>
        <v>24494.42</v>
      </c>
      <c r="X8" s="92">
        <f t="shared" si="1"/>
        <v>6578.14</v>
      </c>
      <c r="Y8" s="92">
        <f>Y9+Y16+Y24</f>
        <v>14919.620000000003</v>
      </c>
      <c r="Z8" s="92">
        <f t="shared" si="1"/>
        <v>0</v>
      </c>
      <c r="AA8" s="92">
        <f t="shared" si="1"/>
        <v>5770.0199999999995</v>
      </c>
      <c r="AB8" s="92">
        <f t="shared" si="1"/>
        <v>0</v>
      </c>
      <c r="AC8" s="92">
        <f t="shared" si="1"/>
        <v>7599.57</v>
      </c>
      <c r="AD8" s="92">
        <f t="shared" si="1"/>
        <v>0</v>
      </c>
      <c r="AE8" s="85"/>
    </row>
    <row r="9" spans="1:31" s="16" customFormat="1" ht="78" customHeight="1">
      <c r="A9" s="101" t="s">
        <v>47</v>
      </c>
      <c r="B9" s="89">
        <f>B11</f>
        <v>62185.10383</v>
      </c>
      <c r="C9" s="89">
        <f>C11</f>
        <v>44446.793829999995</v>
      </c>
      <c r="D9" s="89">
        <f>D11</f>
        <v>25432.62582</v>
      </c>
      <c r="E9" s="95">
        <f>D9/B9*100</f>
        <v>40.898260601971565</v>
      </c>
      <c r="F9" s="95">
        <f>D9/C9*100</f>
        <v>57.22038335830174</v>
      </c>
      <c r="G9" s="89">
        <f>G11</f>
        <v>2543.923</v>
      </c>
      <c r="H9" s="89">
        <f aca="true" t="shared" si="2" ref="H9:AD9">H11</f>
        <v>1234.43629</v>
      </c>
      <c r="I9" s="89">
        <f t="shared" si="2"/>
        <v>3761.05083</v>
      </c>
      <c r="J9" s="89">
        <f t="shared" si="2"/>
        <v>2738.72953</v>
      </c>
      <c r="K9" s="89">
        <f>K10</f>
        <v>2625.65</v>
      </c>
      <c r="L9" s="89">
        <f t="shared" si="2"/>
        <v>2477.6</v>
      </c>
      <c r="M9" s="89">
        <f t="shared" si="2"/>
        <v>3343.91</v>
      </c>
      <c r="N9" s="89">
        <f t="shared" si="2"/>
        <v>2774.72</v>
      </c>
      <c r="O9" s="89">
        <f t="shared" si="2"/>
        <v>3009.09</v>
      </c>
      <c r="P9" s="89">
        <f t="shared" si="2"/>
        <v>3684.2</v>
      </c>
      <c r="Q9" s="89">
        <f t="shared" si="2"/>
        <v>2340.78</v>
      </c>
      <c r="R9" s="89">
        <f t="shared" si="2"/>
        <v>2754.08</v>
      </c>
      <c r="S9" s="89">
        <f t="shared" si="2"/>
        <v>2435.45</v>
      </c>
      <c r="T9" s="89">
        <f t="shared" si="2"/>
        <v>2992.6</v>
      </c>
      <c r="U9" s="89">
        <f t="shared" si="2"/>
        <v>2755.82</v>
      </c>
      <c r="V9" s="89">
        <f t="shared" si="2"/>
        <v>2487.52</v>
      </c>
      <c r="W9" s="89">
        <f t="shared" si="2"/>
        <v>21631.12</v>
      </c>
      <c r="X9" s="89">
        <f t="shared" si="2"/>
        <v>4288.74</v>
      </c>
      <c r="Y9" s="89">
        <f t="shared" si="2"/>
        <v>11918.62</v>
      </c>
      <c r="Z9" s="89">
        <f t="shared" si="2"/>
        <v>0</v>
      </c>
      <c r="AA9" s="89">
        <f t="shared" si="2"/>
        <v>2500.72</v>
      </c>
      <c r="AB9" s="89">
        <f t="shared" si="2"/>
        <v>0</v>
      </c>
      <c r="AC9" s="89">
        <f t="shared" si="2"/>
        <v>3318.97</v>
      </c>
      <c r="AD9" s="89">
        <f t="shared" si="2"/>
        <v>0</v>
      </c>
      <c r="AE9" s="50"/>
    </row>
    <row r="10" spans="1:31" s="16" customFormat="1" ht="48" customHeight="1">
      <c r="A10" s="102" t="s">
        <v>48</v>
      </c>
      <c r="B10" s="90">
        <f>G10+I10+K10+M10+O10+Q10+S10+U10+W10+Y10+AA10+AC10</f>
        <v>62185.10383</v>
      </c>
      <c r="C10" s="96">
        <f>G10+I10+K10+M10+O10+Q10+S10+U10+W10</f>
        <v>44446.793829999995</v>
      </c>
      <c r="D10" s="91">
        <f>H10+J10+L10+N10+P10+R10+T10+V10+X10+Z10+AB10+AD10</f>
        <v>25432.62582</v>
      </c>
      <c r="E10" s="91">
        <f>D10/B10*100</f>
        <v>40.898260601971565</v>
      </c>
      <c r="F10" s="91">
        <f>D10/C10*100</f>
        <v>57.22038335830174</v>
      </c>
      <c r="G10" s="96">
        <v>2543.923</v>
      </c>
      <c r="H10" s="96">
        <v>1234.43629</v>
      </c>
      <c r="I10" s="96">
        <v>3761.05083</v>
      </c>
      <c r="J10" s="96">
        <v>2738.72953</v>
      </c>
      <c r="K10" s="96">
        <v>2625.65</v>
      </c>
      <c r="L10" s="96">
        <v>2477.6</v>
      </c>
      <c r="M10" s="96">
        <v>3343.91</v>
      </c>
      <c r="N10" s="96">
        <v>2774.72</v>
      </c>
      <c r="O10" s="96">
        <v>3009.09</v>
      </c>
      <c r="P10" s="96">
        <v>3684.2</v>
      </c>
      <c r="Q10" s="96">
        <v>2340.78</v>
      </c>
      <c r="R10" s="96">
        <v>2754.08</v>
      </c>
      <c r="S10" s="96">
        <v>2435.45</v>
      </c>
      <c r="T10" s="96">
        <v>2992.6</v>
      </c>
      <c r="U10" s="96">
        <v>2755.82</v>
      </c>
      <c r="V10" s="96">
        <v>2487.52</v>
      </c>
      <c r="W10" s="96">
        <v>21631.12</v>
      </c>
      <c r="X10" s="96">
        <v>4288.74</v>
      </c>
      <c r="Y10" s="96">
        <v>11918.62</v>
      </c>
      <c r="Z10" s="96"/>
      <c r="AA10" s="96">
        <v>2500.72</v>
      </c>
      <c r="AB10" s="96"/>
      <c r="AC10" s="96">
        <v>3318.97</v>
      </c>
      <c r="AD10" s="96"/>
      <c r="AE10" s="134" t="s">
        <v>83</v>
      </c>
    </row>
    <row r="11" spans="1:31" s="17" customFormat="1" ht="24.75" customHeight="1">
      <c r="A11" s="101" t="s">
        <v>59</v>
      </c>
      <c r="B11" s="89">
        <f>B10</f>
        <v>62185.10383</v>
      </c>
      <c r="C11" s="89">
        <f>C10</f>
        <v>44446.793829999995</v>
      </c>
      <c r="D11" s="89">
        <f>D10</f>
        <v>25432.62582</v>
      </c>
      <c r="E11" s="97">
        <f>D11/B11*100</f>
        <v>40.898260601971565</v>
      </c>
      <c r="F11" s="97">
        <f>D11/C11*100</f>
        <v>57.22038335830174</v>
      </c>
      <c r="G11" s="89">
        <f>G10</f>
        <v>2543.923</v>
      </c>
      <c r="H11" s="89">
        <f>H10</f>
        <v>1234.43629</v>
      </c>
      <c r="I11" s="89">
        <f aca="true" t="shared" si="3" ref="I11:AD11">I10</f>
        <v>3761.05083</v>
      </c>
      <c r="J11" s="89">
        <f t="shared" si="3"/>
        <v>2738.72953</v>
      </c>
      <c r="K11" s="89">
        <f t="shared" si="3"/>
        <v>2625.65</v>
      </c>
      <c r="L11" s="89">
        <f t="shared" si="3"/>
        <v>2477.6</v>
      </c>
      <c r="M11" s="89">
        <f t="shared" si="3"/>
        <v>3343.91</v>
      </c>
      <c r="N11" s="89">
        <f t="shared" si="3"/>
        <v>2774.72</v>
      </c>
      <c r="O11" s="89">
        <f t="shared" si="3"/>
        <v>3009.09</v>
      </c>
      <c r="P11" s="89">
        <f t="shared" si="3"/>
        <v>3684.2</v>
      </c>
      <c r="Q11" s="89">
        <f t="shared" si="3"/>
        <v>2340.78</v>
      </c>
      <c r="R11" s="89">
        <f t="shared" si="3"/>
        <v>2754.08</v>
      </c>
      <c r="S11" s="89">
        <f t="shared" si="3"/>
        <v>2435.45</v>
      </c>
      <c r="T11" s="89">
        <f t="shared" si="3"/>
        <v>2992.6</v>
      </c>
      <c r="U11" s="89">
        <f t="shared" si="3"/>
        <v>2755.82</v>
      </c>
      <c r="V11" s="89">
        <f t="shared" si="3"/>
        <v>2487.52</v>
      </c>
      <c r="W11" s="89">
        <f t="shared" si="3"/>
        <v>21631.12</v>
      </c>
      <c r="X11" s="89">
        <f t="shared" si="3"/>
        <v>4288.74</v>
      </c>
      <c r="Y11" s="89">
        <f t="shared" si="3"/>
        <v>11918.62</v>
      </c>
      <c r="Z11" s="89">
        <f t="shared" si="3"/>
        <v>0</v>
      </c>
      <c r="AA11" s="89">
        <f t="shared" si="3"/>
        <v>2500.72</v>
      </c>
      <c r="AB11" s="89">
        <f t="shared" si="3"/>
        <v>0</v>
      </c>
      <c r="AC11" s="89">
        <f t="shared" si="3"/>
        <v>3318.97</v>
      </c>
      <c r="AD11" s="89">
        <f t="shared" si="3"/>
        <v>0</v>
      </c>
      <c r="AE11" s="135"/>
    </row>
    <row r="12" spans="1:31" s="16" customFormat="1" ht="23.25" customHeight="1">
      <c r="A12" s="103" t="s">
        <v>23</v>
      </c>
      <c r="B12" s="98"/>
      <c r="C12" s="97"/>
      <c r="D12" s="97"/>
      <c r="E12" s="97"/>
      <c r="F12" s="97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135"/>
    </row>
    <row r="13" spans="1:31" s="16" customFormat="1" ht="24.75" customHeight="1">
      <c r="A13" s="103" t="s">
        <v>24</v>
      </c>
      <c r="B13" s="90">
        <f>B11</f>
        <v>62185.10383</v>
      </c>
      <c r="C13" s="90">
        <f>C11</f>
        <v>44446.793829999995</v>
      </c>
      <c r="D13" s="90">
        <f>D11</f>
        <v>25432.62582</v>
      </c>
      <c r="E13" s="96">
        <f>D13/B13*100</f>
        <v>40.898260601971565</v>
      </c>
      <c r="F13" s="96">
        <f>D13/C13*100</f>
        <v>57.22038335830174</v>
      </c>
      <c r="G13" s="90">
        <f aca="true" t="shared" si="4" ref="G13:AD13">G11</f>
        <v>2543.923</v>
      </c>
      <c r="H13" s="90">
        <f>H11</f>
        <v>1234.43629</v>
      </c>
      <c r="I13" s="90">
        <f t="shared" si="4"/>
        <v>3761.05083</v>
      </c>
      <c r="J13" s="90">
        <f t="shared" si="4"/>
        <v>2738.72953</v>
      </c>
      <c r="K13" s="90">
        <f t="shared" si="4"/>
        <v>2625.65</v>
      </c>
      <c r="L13" s="90">
        <f t="shared" si="4"/>
        <v>2477.6</v>
      </c>
      <c r="M13" s="90">
        <f t="shared" si="4"/>
        <v>3343.91</v>
      </c>
      <c r="N13" s="90">
        <f t="shared" si="4"/>
        <v>2774.72</v>
      </c>
      <c r="O13" s="90">
        <f t="shared" si="4"/>
        <v>3009.09</v>
      </c>
      <c r="P13" s="90">
        <f t="shared" si="4"/>
        <v>3684.2</v>
      </c>
      <c r="Q13" s="90">
        <f t="shared" si="4"/>
        <v>2340.78</v>
      </c>
      <c r="R13" s="90">
        <f t="shared" si="4"/>
        <v>2754.08</v>
      </c>
      <c r="S13" s="90">
        <f t="shared" si="4"/>
        <v>2435.45</v>
      </c>
      <c r="T13" s="90">
        <f t="shared" si="4"/>
        <v>2992.6</v>
      </c>
      <c r="U13" s="90">
        <f t="shared" si="4"/>
        <v>2755.82</v>
      </c>
      <c r="V13" s="90">
        <f t="shared" si="4"/>
        <v>2487.52</v>
      </c>
      <c r="W13" s="90">
        <f t="shared" si="4"/>
        <v>21631.12</v>
      </c>
      <c r="X13" s="90">
        <f t="shared" si="4"/>
        <v>4288.74</v>
      </c>
      <c r="Y13" s="90">
        <f t="shared" si="4"/>
        <v>11918.62</v>
      </c>
      <c r="Z13" s="90">
        <f t="shared" si="4"/>
        <v>0</v>
      </c>
      <c r="AA13" s="90">
        <f t="shared" si="4"/>
        <v>2500.72</v>
      </c>
      <c r="AB13" s="90">
        <f t="shared" si="4"/>
        <v>0</v>
      </c>
      <c r="AC13" s="90">
        <f t="shared" si="4"/>
        <v>3318.97</v>
      </c>
      <c r="AD13" s="90">
        <f t="shared" si="4"/>
        <v>0</v>
      </c>
      <c r="AE13" s="135"/>
    </row>
    <row r="14" spans="1:31" s="16" customFormat="1" ht="23.25" customHeight="1">
      <c r="A14" s="103" t="s">
        <v>25</v>
      </c>
      <c r="B14" s="98"/>
      <c r="C14" s="97"/>
      <c r="D14" s="97"/>
      <c r="E14" s="97"/>
      <c r="F14" s="97"/>
      <c r="G14" s="97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135"/>
    </row>
    <row r="15" spans="1:31" s="16" customFormat="1" ht="19.5" customHeight="1">
      <c r="A15" s="103" t="s">
        <v>26</v>
      </c>
      <c r="B15" s="98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136"/>
    </row>
    <row r="16" spans="1:31" s="77" customFormat="1" ht="53.25" customHeight="1">
      <c r="A16" s="104" t="s">
        <v>34</v>
      </c>
      <c r="B16" s="95">
        <f>B19</f>
        <v>27884</v>
      </c>
      <c r="C16" s="95">
        <f>C19</f>
        <v>18514.9</v>
      </c>
      <c r="D16" s="95">
        <f>D19</f>
        <v>16346.605</v>
      </c>
      <c r="E16" s="91">
        <f>D16/B16*100</f>
        <v>58.62360134844356</v>
      </c>
      <c r="F16" s="91">
        <f>D16/C16*100</f>
        <v>88.28891865470511</v>
      </c>
      <c r="G16" s="95">
        <f aca="true" t="shared" si="5" ref="G16:AD16">G19</f>
        <v>1739.8000000000002</v>
      </c>
      <c r="H16" s="95">
        <f t="shared" si="5"/>
        <v>1482.7</v>
      </c>
      <c r="I16" s="95">
        <f t="shared" si="5"/>
        <v>2992.2</v>
      </c>
      <c r="J16" s="95">
        <f t="shared" si="5"/>
        <v>3218.5</v>
      </c>
      <c r="K16" s="95">
        <f>K19</f>
        <v>2610.2</v>
      </c>
      <c r="L16" s="95">
        <f t="shared" si="5"/>
        <v>2356.5</v>
      </c>
      <c r="M16" s="95">
        <f t="shared" si="5"/>
        <v>2227.3</v>
      </c>
      <c r="N16" s="95">
        <f t="shared" si="5"/>
        <v>2169</v>
      </c>
      <c r="O16" s="95">
        <f t="shared" si="5"/>
        <v>1930.1</v>
      </c>
      <c r="P16" s="95">
        <f t="shared" si="5"/>
        <v>1856.5</v>
      </c>
      <c r="Q16" s="95">
        <f t="shared" si="5"/>
        <v>1643.5</v>
      </c>
      <c r="R16" s="95">
        <f t="shared" si="5"/>
        <v>1779.005</v>
      </c>
      <c r="S16" s="95">
        <f t="shared" si="5"/>
        <v>1251</v>
      </c>
      <c r="T16" s="95">
        <f t="shared" si="5"/>
        <v>1194.9</v>
      </c>
      <c r="U16" s="95">
        <f t="shared" si="5"/>
        <v>1611.7</v>
      </c>
      <c r="V16" s="95">
        <f t="shared" si="5"/>
        <v>338.7</v>
      </c>
      <c r="W16" s="95">
        <f t="shared" si="5"/>
        <v>2509.1</v>
      </c>
      <c r="X16" s="95">
        <f t="shared" si="5"/>
        <v>1950.8</v>
      </c>
      <c r="Y16" s="95">
        <f t="shared" si="5"/>
        <v>2646.8</v>
      </c>
      <c r="Z16" s="95">
        <f t="shared" si="5"/>
        <v>0</v>
      </c>
      <c r="AA16" s="95">
        <f t="shared" si="5"/>
        <v>2915.1</v>
      </c>
      <c r="AB16" s="95">
        <f t="shared" si="5"/>
        <v>0</v>
      </c>
      <c r="AC16" s="95">
        <f t="shared" si="5"/>
        <v>3807.2</v>
      </c>
      <c r="AD16" s="95">
        <f t="shared" si="5"/>
        <v>0</v>
      </c>
      <c r="AE16" s="76"/>
    </row>
    <row r="17" spans="1:31" s="77" customFormat="1" ht="42" customHeight="1">
      <c r="A17" s="81" t="s">
        <v>39</v>
      </c>
      <c r="B17" s="91">
        <f>G17+I17+K17+M17+O17+Q17+S17+U17+W17+Y17+AA17+AC17</f>
        <v>14985.300000000001</v>
      </c>
      <c r="C17" s="96">
        <f>G17+I17+K17+M17+O17+Q17+S17+U17+W17</f>
        <v>8868.300000000001</v>
      </c>
      <c r="D17" s="91">
        <f>H17+J17+L17+N17+P17+R17+T17+V17+X17+Z17+AB17+AD17</f>
        <v>8868.005</v>
      </c>
      <c r="E17" s="91">
        <f>D17/B17*100</f>
        <v>59.178027800577894</v>
      </c>
      <c r="F17" s="91">
        <f>D17/C17*100</f>
        <v>99.99667354509882</v>
      </c>
      <c r="G17" s="91">
        <v>765.2</v>
      </c>
      <c r="H17" s="91">
        <v>508.1</v>
      </c>
      <c r="I17" s="91">
        <f>ROUND(1908208.75/1000,1)</f>
        <v>1908.2</v>
      </c>
      <c r="J17" s="91">
        <v>2134.5</v>
      </c>
      <c r="K17" s="91">
        <f>ROUND(1526215.81/1000,1)</f>
        <v>1526.2</v>
      </c>
      <c r="L17" s="91">
        <v>1272.5</v>
      </c>
      <c r="M17" s="91">
        <f>ROUND(1143283.76/1000,1)</f>
        <v>1143.3</v>
      </c>
      <c r="N17" s="91">
        <v>1085</v>
      </c>
      <c r="O17" s="91">
        <f>ROUND(846130.73/1000,1)</f>
        <v>846.1</v>
      </c>
      <c r="P17" s="91">
        <v>772.5</v>
      </c>
      <c r="Q17" s="91">
        <f>ROUND(559477.06/1000,1)</f>
        <v>559.5</v>
      </c>
      <c r="R17" s="91">
        <v>695.005</v>
      </c>
      <c r="S17" s="91">
        <f>ROUND(167018.74/1000,1)</f>
        <v>167</v>
      </c>
      <c r="T17" s="91">
        <v>110.9</v>
      </c>
      <c r="U17" s="91">
        <f>ROUND(527677.41/1000,1)</f>
        <v>527.7</v>
      </c>
      <c r="V17" s="91">
        <v>338.7</v>
      </c>
      <c r="W17" s="91">
        <f>ROUND(1425126.61/1000,1)</f>
        <v>1425.1</v>
      </c>
      <c r="X17" s="91">
        <v>1950.8</v>
      </c>
      <c r="Y17" s="91">
        <f>ROUND(1562822.94/1000,1)</f>
        <v>1562.8</v>
      </c>
      <c r="Z17" s="91"/>
      <c r="AA17" s="91">
        <f>ROUND(1831064.83/1000,1)</f>
        <v>1831.1</v>
      </c>
      <c r="AB17" s="91"/>
      <c r="AC17" s="91">
        <f>ROUND(2723112.62/1000,1)</f>
        <v>2723.1</v>
      </c>
      <c r="AD17" s="95"/>
      <c r="AE17" s="33"/>
    </row>
    <row r="18" spans="1:31" s="77" customFormat="1" ht="56.25">
      <c r="A18" s="81" t="s">
        <v>40</v>
      </c>
      <c r="B18" s="91">
        <f>G18+I18+K18+M18+O18+Q18+S18+U18+W18+Y18+AA18+AC18</f>
        <v>12898.7</v>
      </c>
      <c r="C18" s="96">
        <f>G18+I18+K18+M18+O18+Q18+S18+U18+W18</f>
        <v>9646.6</v>
      </c>
      <c r="D18" s="91">
        <f>H18+J18+L18+N18+P18+R18+T18+V18+X18+Z18+AB18+AD18</f>
        <v>7478.6</v>
      </c>
      <c r="E18" s="91">
        <f>D18/B18*100</f>
        <v>57.979486304821414</v>
      </c>
      <c r="F18" s="91">
        <f>D18/C18*100</f>
        <v>77.52576037152986</v>
      </c>
      <c r="G18" s="91">
        <f>ROUND(974522.57/1000,1)+0.1</f>
        <v>974.6</v>
      </c>
      <c r="H18" s="91">
        <v>974.6</v>
      </c>
      <c r="I18" s="91">
        <f>ROUND(1084008.39/1000,1)</f>
        <v>1084</v>
      </c>
      <c r="J18" s="91">
        <v>1084</v>
      </c>
      <c r="K18" s="91">
        <f>ROUND(1084008.39/1000,1)</f>
        <v>1084</v>
      </c>
      <c r="L18" s="91">
        <v>1084</v>
      </c>
      <c r="M18" s="91">
        <f>ROUND(1084008.39/1000,1)</f>
        <v>1084</v>
      </c>
      <c r="N18" s="91">
        <v>1084</v>
      </c>
      <c r="O18" s="91">
        <f>ROUND(1084008.39/1000,1)</f>
        <v>1084</v>
      </c>
      <c r="P18" s="91">
        <v>1084</v>
      </c>
      <c r="Q18" s="91">
        <f>ROUND(1084008.39/1000,1)</f>
        <v>1084</v>
      </c>
      <c r="R18" s="91">
        <v>1084</v>
      </c>
      <c r="S18" s="91">
        <f>ROUND(1084008.39/1000,1)</f>
        <v>1084</v>
      </c>
      <c r="T18" s="91">
        <v>1084</v>
      </c>
      <c r="U18" s="91">
        <f>ROUND(1084008.39/1000,1)</f>
        <v>1084</v>
      </c>
      <c r="V18" s="91">
        <v>0</v>
      </c>
      <c r="W18" s="91">
        <f>ROUND(1084008.39/1000,1)</f>
        <v>1084</v>
      </c>
      <c r="X18" s="91"/>
      <c r="Y18" s="91">
        <f>ROUND(1084008.39/1000,1)</f>
        <v>1084</v>
      </c>
      <c r="Z18" s="91"/>
      <c r="AA18" s="91">
        <f>ROUND(1084008.39/1000,1)</f>
        <v>1084</v>
      </c>
      <c r="AB18" s="91"/>
      <c r="AC18" s="91">
        <f>ROUND(1084093.53/1000,1)</f>
        <v>1084.1</v>
      </c>
      <c r="AD18" s="91"/>
      <c r="AE18" s="78" t="s">
        <v>84</v>
      </c>
    </row>
    <row r="19" spans="1:31" s="77" customFormat="1" ht="24" customHeight="1">
      <c r="A19" s="104" t="s">
        <v>60</v>
      </c>
      <c r="B19" s="95">
        <f>B17+B18</f>
        <v>27884</v>
      </c>
      <c r="C19" s="95">
        <f>C17+C18</f>
        <v>18514.9</v>
      </c>
      <c r="D19" s="95">
        <f>D17+D18</f>
        <v>16346.605</v>
      </c>
      <c r="E19" s="95">
        <f>D19/B19*100</f>
        <v>58.62360134844356</v>
      </c>
      <c r="F19" s="95">
        <f>D19/C19*100</f>
        <v>88.28891865470511</v>
      </c>
      <c r="G19" s="95">
        <f aca="true" t="shared" si="6" ref="G19:AD19">G17+G18</f>
        <v>1739.8000000000002</v>
      </c>
      <c r="H19" s="95">
        <f t="shared" si="6"/>
        <v>1482.7</v>
      </c>
      <c r="I19" s="95">
        <f t="shared" si="6"/>
        <v>2992.2</v>
      </c>
      <c r="J19" s="95">
        <f t="shared" si="6"/>
        <v>3218.5</v>
      </c>
      <c r="K19" s="95">
        <f t="shared" si="6"/>
        <v>2610.2</v>
      </c>
      <c r="L19" s="95">
        <f t="shared" si="6"/>
        <v>2356.5</v>
      </c>
      <c r="M19" s="95">
        <f t="shared" si="6"/>
        <v>2227.3</v>
      </c>
      <c r="N19" s="95">
        <f t="shared" si="6"/>
        <v>2169</v>
      </c>
      <c r="O19" s="95">
        <f t="shared" si="6"/>
        <v>1930.1</v>
      </c>
      <c r="P19" s="95">
        <f t="shared" si="6"/>
        <v>1856.5</v>
      </c>
      <c r="Q19" s="95">
        <f t="shared" si="6"/>
        <v>1643.5</v>
      </c>
      <c r="R19" s="95">
        <f t="shared" si="6"/>
        <v>1779.005</v>
      </c>
      <c r="S19" s="95">
        <f t="shared" si="6"/>
        <v>1251</v>
      </c>
      <c r="T19" s="95">
        <f t="shared" si="6"/>
        <v>1194.9</v>
      </c>
      <c r="U19" s="95">
        <f t="shared" si="6"/>
        <v>1611.7</v>
      </c>
      <c r="V19" s="95">
        <f t="shared" si="6"/>
        <v>338.7</v>
      </c>
      <c r="W19" s="95">
        <f t="shared" si="6"/>
        <v>2509.1</v>
      </c>
      <c r="X19" s="95">
        <f t="shared" si="6"/>
        <v>1950.8</v>
      </c>
      <c r="Y19" s="95">
        <f t="shared" si="6"/>
        <v>2646.8</v>
      </c>
      <c r="Z19" s="95">
        <f t="shared" si="6"/>
        <v>0</v>
      </c>
      <c r="AA19" s="95">
        <f t="shared" si="6"/>
        <v>2915.1</v>
      </c>
      <c r="AB19" s="95">
        <f t="shared" si="6"/>
        <v>0</v>
      </c>
      <c r="AC19" s="95">
        <f t="shared" si="6"/>
        <v>3807.2</v>
      </c>
      <c r="AD19" s="95">
        <f t="shared" si="6"/>
        <v>0</v>
      </c>
      <c r="AE19" s="76"/>
    </row>
    <row r="20" spans="1:31" s="77" customFormat="1" ht="21.75" customHeight="1">
      <c r="A20" s="78" t="s">
        <v>23</v>
      </c>
      <c r="B20" s="99"/>
      <c r="C20" s="91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76"/>
    </row>
    <row r="21" spans="1:31" s="77" customFormat="1" ht="21.75" customHeight="1">
      <c r="A21" s="78" t="s">
        <v>24</v>
      </c>
      <c r="B21" s="91">
        <f>B19</f>
        <v>27884</v>
      </c>
      <c r="C21" s="91">
        <f>C19</f>
        <v>18514.9</v>
      </c>
      <c r="D21" s="91">
        <f>D19</f>
        <v>16346.605</v>
      </c>
      <c r="E21" s="91">
        <f>D21/B21*100</f>
        <v>58.62360134844356</v>
      </c>
      <c r="F21" s="91">
        <f>D21/C21*100</f>
        <v>88.28891865470511</v>
      </c>
      <c r="G21" s="91">
        <f aca="true" t="shared" si="7" ref="G21:V21">G19</f>
        <v>1739.8000000000002</v>
      </c>
      <c r="H21" s="91">
        <f t="shared" si="7"/>
        <v>1482.7</v>
      </c>
      <c r="I21" s="91">
        <f t="shared" si="7"/>
        <v>2992.2</v>
      </c>
      <c r="J21" s="91">
        <f t="shared" si="7"/>
        <v>3218.5</v>
      </c>
      <c r="K21" s="91">
        <f t="shared" si="7"/>
        <v>2610.2</v>
      </c>
      <c r="L21" s="91">
        <f t="shared" si="7"/>
        <v>2356.5</v>
      </c>
      <c r="M21" s="91">
        <f t="shared" si="7"/>
        <v>2227.3</v>
      </c>
      <c r="N21" s="91">
        <f t="shared" si="7"/>
        <v>2169</v>
      </c>
      <c r="O21" s="91">
        <f t="shared" si="7"/>
        <v>1930.1</v>
      </c>
      <c r="P21" s="91">
        <f t="shared" si="7"/>
        <v>1856.5</v>
      </c>
      <c r="Q21" s="91">
        <f t="shared" si="7"/>
        <v>1643.5</v>
      </c>
      <c r="R21" s="91">
        <f t="shared" si="7"/>
        <v>1779.005</v>
      </c>
      <c r="S21" s="91">
        <f t="shared" si="7"/>
        <v>1251</v>
      </c>
      <c r="T21" s="91">
        <f t="shared" si="7"/>
        <v>1194.9</v>
      </c>
      <c r="U21" s="91">
        <f t="shared" si="7"/>
        <v>1611.7</v>
      </c>
      <c r="V21" s="91">
        <f t="shared" si="7"/>
        <v>338.7</v>
      </c>
      <c r="W21" s="91">
        <f>W19</f>
        <v>2509.1</v>
      </c>
      <c r="X21" s="91">
        <f aca="true" t="shared" si="8" ref="X21:AD21">X19</f>
        <v>1950.8</v>
      </c>
      <c r="Y21" s="91">
        <f t="shared" si="8"/>
        <v>2646.8</v>
      </c>
      <c r="Z21" s="91">
        <f t="shared" si="8"/>
        <v>0</v>
      </c>
      <c r="AA21" s="91">
        <f t="shared" si="8"/>
        <v>2915.1</v>
      </c>
      <c r="AB21" s="91">
        <f t="shared" si="8"/>
        <v>0</v>
      </c>
      <c r="AC21" s="91">
        <f t="shared" si="8"/>
        <v>3807.2</v>
      </c>
      <c r="AD21" s="91">
        <f t="shared" si="8"/>
        <v>0</v>
      </c>
      <c r="AE21" s="76"/>
    </row>
    <row r="22" spans="1:31" s="77" customFormat="1" ht="21.75" customHeight="1">
      <c r="A22" s="78" t="s">
        <v>25</v>
      </c>
      <c r="B22" s="99"/>
      <c r="C22" s="91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76"/>
    </row>
    <row r="23" spans="1:31" s="77" customFormat="1" ht="21.75" customHeight="1">
      <c r="A23" s="78" t="s">
        <v>26</v>
      </c>
      <c r="B23" s="99"/>
      <c r="C23" s="91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76"/>
    </row>
    <row r="24" spans="1:31" s="77" customFormat="1" ht="41.25" customHeight="1">
      <c r="A24" s="105" t="s">
        <v>35</v>
      </c>
      <c r="B24" s="95">
        <f>B28</f>
        <v>4362.4</v>
      </c>
      <c r="C24" s="95">
        <f>C28</f>
        <v>3180.6000000000004</v>
      </c>
      <c r="D24" s="95">
        <f>D28</f>
        <v>2812.1</v>
      </c>
      <c r="E24" s="95">
        <f>D24/B24*100</f>
        <v>64.4622226297451</v>
      </c>
      <c r="F24" s="95">
        <f>D24/C24*100</f>
        <v>88.41413569766709</v>
      </c>
      <c r="G24" s="95">
        <f aca="true" t="shared" si="9" ref="G24:AD24">G28</f>
        <v>346.9</v>
      </c>
      <c r="H24" s="95">
        <f t="shared" si="9"/>
        <v>249.3</v>
      </c>
      <c r="I24" s="95">
        <f t="shared" si="9"/>
        <v>354.20000000000005</v>
      </c>
      <c r="J24" s="95">
        <f t="shared" si="9"/>
        <v>383</v>
      </c>
      <c r="K24" s="95">
        <f t="shared" si="9"/>
        <v>354.20000000000005</v>
      </c>
      <c r="L24" s="95">
        <f t="shared" si="9"/>
        <v>343.7</v>
      </c>
      <c r="M24" s="95">
        <f t="shared" si="9"/>
        <v>354.3</v>
      </c>
      <c r="N24" s="95">
        <f t="shared" si="9"/>
        <v>360.1</v>
      </c>
      <c r="O24" s="95">
        <f t="shared" si="9"/>
        <v>354.20000000000005</v>
      </c>
      <c r="P24" s="95">
        <f t="shared" si="9"/>
        <v>282.4</v>
      </c>
      <c r="Q24" s="95">
        <f t="shared" si="9"/>
        <v>354.20000000000005</v>
      </c>
      <c r="R24" s="95">
        <f t="shared" si="9"/>
        <v>271.5</v>
      </c>
      <c r="S24" s="95">
        <f t="shared" si="9"/>
        <v>354.20000000000005</v>
      </c>
      <c r="T24" s="95">
        <f t="shared" si="9"/>
        <v>318.59999999999997</v>
      </c>
      <c r="U24" s="95">
        <f t="shared" si="9"/>
        <v>354.20000000000005</v>
      </c>
      <c r="V24" s="95">
        <f t="shared" si="9"/>
        <v>264.9</v>
      </c>
      <c r="W24" s="95">
        <f t="shared" si="9"/>
        <v>354.20000000000005</v>
      </c>
      <c r="X24" s="95">
        <f t="shared" si="9"/>
        <v>338.6</v>
      </c>
      <c r="Y24" s="95">
        <f t="shared" si="9"/>
        <v>354.20000000000005</v>
      </c>
      <c r="Z24" s="95">
        <f t="shared" si="9"/>
        <v>0</v>
      </c>
      <c r="AA24" s="95">
        <f t="shared" si="9"/>
        <v>354.20000000000005</v>
      </c>
      <c r="AB24" s="95">
        <f t="shared" si="9"/>
        <v>0</v>
      </c>
      <c r="AC24" s="95">
        <f t="shared" si="9"/>
        <v>473.4</v>
      </c>
      <c r="AD24" s="95">
        <f t="shared" si="9"/>
        <v>0</v>
      </c>
      <c r="AE24" s="76"/>
    </row>
    <row r="25" spans="1:31" s="77" customFormat="1" ht="54" customHeight="1">
      <c r="A25" s="81" t="s">
        <v>41</v>
      </c>
      <c r="B25" s="91">
        <f>G25+I25+K25+M25+O25+Q25+S25+U25+W25+Y25+AA25+AC25</f>
        <v>2119.6</v>
      </c>
      <c r="C25" s="96">
        <f>G25+I25+K25+M25+O25+Q25+S25+U25+W25</f>
        <v>1584.6</v>
      </c>
      <c r="D25" s="91">
        <f>H25+J25+L25+N25+P25+R25+T25+V25+X25+Z25+AB25+AD25</f>
        <v>1538.6</v>
      </c>
      <c r="E25" s="91">
        <f>D25/B25*100</f>
        <v>72.5891677675033</v>
      </c>
      <c r="F25" s="91">
        <f>D25/C25*100</f>
        <v>97.09705919474946</v>
      </c>
      <c r="G25" s="99">
        <f>ROUND(168592.5/1000,1)</f>
        <v>168.6</v>
      </c>
      <c r="H25" s="99">
        <v>168.6</v>
      </c>
      <c r="I25" s="99">
        <f>ROUND(177000/1000,1)</f>
        <v>177</v>
      </c>
      <c r="J25" s="99">
        <v>176.1</v>
      </c>
      <c r="K25" s="99">
        <f>ROUND(177000/1000,1)</f>
        <v>177</v>
      </c>
      <c r="L25" s="91">
        <v>176.1</v>
      </c>
      <c r="M25" s="99">
        <f>ROUND(177000/1000,1)</f>
        <v>177</v>
      </c>
      <c r="N25" s="99">
        <v>172.6</v>
      </c>
      <c r="O25" s="99">
        <f>ROUND(177000/1000,1)</f>
        <v>177</v>
      </c>
      <c r="P25" s="99">
        <v>169</v>
      </c>
      <c r="Q25" s="99">
        <f>ROUND(177000/1000,1)</f>
        <v>177</v>
      </c>
      <c r="R25" s="91">
        <v>169</v>
      </c>
      <c r="S25" s="99">
        <f>ROUND(177000/1000,1)</f>
        <v>177</v>
      </c>
      <c r="T25" s="99">
        <v>169.1</v>
      </c>
      <c r="U25" s="99">
        <f>ROUND(177000/1000,1)</f>
        <v>177</v>
      </c>
      <c r="V25" s="99">
        <v>169</v>
      </c>
      <c r="W25" s="99">
        <f>ROUND(177000/1000,1)</f>
        <v>177</v>
      </c>
      <c r="X25" s="91">
        <v>169.1</v>
      </c>
      <c r="Y25" s="99">
        <f>ROUND(177000/1000,1)</f>
        <v>177</v>
      </c>
      <c r="Z25" s="99"/>
      <c r="AA25" s="99">
        <f>ROUND(177000/1000,1)</f>
        <v>177</v>
      </c>
      <c r="AB25" s="99"/>
      <c r="AC25" s="99">
        <f>ROUND(181007.5/1000,1)</f>
        <v>181</v>
      </c>
      <c r="AD25" s="95"/>
      <c r="AE25" s="78" t="s">
        <v>73</v>
      </c>
    </row>
    <row r="26" spans="1:31" s="77" customFormat="1" ht="60.75" customHeight="1">
      <c r="A26" s="106" t="s">
        <v>42</v>
      </c>
      <c r="B26" s="91">
        <f>G26+I26+K26+M26+O26+Q26+S26+U26+W26+Y26+AA26+AC26</f>
        <v>1375.1000000000001</v>
      </c>
      <c r="C26" s="96">
        <f>G26+I26+K26+M26+O26+Q26+S26+U26+W26</f>
        <v>946.2000000000002</v>
      </c>
      <c r="D26" s="91">
        <f>H26+J26+L26+N26+P26+R26+T26+V26+X26+Z26+AB26+AD26</f>
        <v>786.7099999999999</v>
      </c>
      <c r="E26" s="91">
        <f>D26/B26*100</f>
        <v>57.21111191913314</v>
      </c>
      <c r="F26" s="91">
        <f>D26/C26*100</f>
        <v>83.14415556964698</v>
      </c>
      <c r="G26" s="99">
        <f>ROUND(109383.4/1000,1)</f>
        <v>109.4</v>
      </c>
      <c r="H26" s="99">
        <v>58.7</v>
      </c>
      <c r="I26" s="99">
        <f>ROUND(104600.37/1000,1)</f>
        <v>104.6</v>
      </c>
      <c r="J26" s="99">
        <v>125.5</v>
      </c>
      <c r="K26" s="99">
        <f>ROUND(104600.37/1000,1)</f>
        <v>104.6</v>
      </c>
      <c r="L26" s="91">
        <v>92.1</v>
      </c>
      <c r="M26" s="99">
        <f>ROUND(104600.37/1000,1)</f>
        <v>104.6</v>
      </c>
      <c r="N26" s="99">
        <v>100.4</v>
      </c>
      <c r="O26" s="99">
        <f>ROUND(104600.37/1000,1)</f>
        <v>104.6</v>
      </c>
      <c r="P26" s="99">
        <v>66.9</v>
      </c>
      <c r="Q26" s="99">
        <f>ROUND(104600.37/1000,1)</f>
        <v>104.6</v>
      </c>
      <c r="R26" s="91">
        <v>50.21</v>
      </c>
      <c r="S26" s="99">
        <f>ROUND(104600.37/1000,1)</f>
        <v>104.6</v>
      </c>
      <c r="T26" s="99">
        <v>108.8</v>
      </c>
      <c r="U26" s="99">
        <f>ROUND(104600.37/1000,1)</f>
        <v>104.6</v>
      </c>
      <c r="V26" s="99">
        <v>66.9</v>
      </c>
      <c r="W26" s="99">
        <f>ROUND(104600.37/1000,1)</f>
        <v>104.6</v>
      </c>
      <c r="X26" s="91">
        <v>117.2</v>
      </c>
      <c r="Y26" s="99">
        <f>ROUND(104600.37/1000,1)</f>
        <v>104.6</v>
      </c>
      <c r="Z26" s="99"/>
      <c r="AA26" s="99">
        <f>ROUND(104600.37/1000,1)</f>
        <v>104.6</v>
      </c>
      <c r="AB26" s="99"/>
      <c r="AC26" s="99">
        <f>ROUND(219712.9/1000,1)</f>
        <v>219.7</v>
      </c>
      <c r="AD26" s="95"/>
      <c r="AE26" s="78" t="s">
        <v>75</v>
      </c>
    </row>
    <row r="27" spans="1:31" s="77" customFormat="1" ht="62.25" customHeight="1">
      <c r="A27" s="81" t="s">
        <v>43</v>
      </c>
      <c r="B27" s="91">
        <f>G27+I27+K27+M27+O27+Q27+S27+U27+W27+Y27+AA27+AC27</f>
        <v>867.7000000000002</v>
      </c>
      <c r="C27" s="96">
        <f>G27+I27+K27+M27+O27+Q27+S27+U27+W27</f>
        <v>649.8000000000001</v>
      </c>
      <c r="D27" s="91">
        <f>H27+J27+L27+N27+P27+R27+T27+V27+X27+Z27+AB27+AD27</f>
        <v>486.79</v>
      </c>
      <c r="E27" s="91">
        <f>D27/B27*100</f>
        <v>56.10118704621412</v>
      </c>
      <c r="F27" s="91">
        <f>D27/C27*100</f>
        <v>74.91381963681133</v>
      </c>
      <c r="G27" s="99">
        <f>ROUND(68833/1000,1)+0.1</f>
        <v>68.89999999999999</v>
      </c>
      <c r="H27" s="99">
        <v>22</v>
      </c>
      <c r="I27" s="99">
        <f>ROUND(72618.81/1000,1)</f>
        <v>72.6</v>
      </c>
      <c r="J27" s="99">
        <v>81.4</v>
      </c>
      <c r="K27" s="99">
        <f>ROUND(72618.81/1000,1)</f>
        <v>72.6</v>
      </c>
      <c r="L27" s="91">
        <v>75.5</v>
      </c>
      <c r="M27" s="99">
        <f>ROUND(72618.81/1000,1)+0.1</f>
        <v>72.69999999999999</v>
      </c>
      <c r="N27" s="99">
        <v>87.1</v>
      </c>
      <c r="O27" s="99">
        <f>ROUND(72618.81/1000,1)</f>
        <v>72.6</v>
      </c>
      <c r="P27" s="99">
        <v>46.5</v>
      </c>
      <c r="Q27" s="99">
        <f>ROUND(72618.81/1000,1)</f>
        <v>72.6</v>
      </c>
      <c r="R27" s="91">
        <v>52.29</v>
      </c>
      <c r="S27" s="99">
        <f>ROUND(72618.81/1000,1)</f>
        <v>72.6</v>
      </c>
      <c r="T27" s="99">
        <v>40.7</v>
      </c>
      <c r="U27" s="99">
        <f>ROUND(72618.81/1000,1)</f>
        <v>72.6</v>
      </c>
      <c r="V27" s="99">
        <v>29</v>
      </c>
      <c r="W27" s="99">
        <f>ROUND(72618.81/1000,1)</f>
        <v>72.6</v>
      </c>
      <c r="X27" s="91">
        <v>52.3</v>
      </c>
      <c r="Y27" s="99">
        <f>ROUND(72618.81/1000,1)</f>
        <v>72.6</v>
      </c>
      <c r="Z27" s="99"/>
      <c r="AA27" s="99">
        <f>ROUND(72618.81/1000,1)</f>
        <v>72.6</v>
      </c>
      <c r="AB27" s="99"/>
      <c r="AC27" s="99">
        <f>ROUND(72678.9/1000,1)</f>
        <v>72.7</v>
      </c>
      <c r="AD27" s="95"/>
      <c r="AE27" s="78" t="s">
        <v>85</v>
      </c>
    </row>
    <row r="28" spans="1:31" s="77" customFormat="1" ht="18.75">
      <c r="A28" s="104" t="s">
        <v>61</v>
      </c>
      <c r="B28" s="95">
        <f>B25+B26+B27</f>
        <v>4362.4</v>
      </c>
      <c r="C28" s="95">
        <f>SUM(C25:C27)</f>
        <v>3180.6000000000004</v>
      </c>
      <c r="D28" s="95">
        <f>SUM(D25:D27)</f>
        <v>2812.1</v>
      </c>
      <c r="E28" s="95">
        <f>D28/B28*100</f>
        <v>64.4622226297451</v>
      </c>
      <c r="F28" s="95">
        <f>E28/C28*100</f>
        <v>2.026731517001355</v>
      </c>
      <c r="G28" s="95">
        <f aca="true" t="shared" si="10" ref="G28:AB28">SUM(G25:G27)</f>
        <v>346.9</v>
      </c>
      <c r="H28" s="95">
        <f t="shared" si="10"/>
        <v>249.3</v>
      </c>
      <c r="I28" s="95">
        <f t="shared" si="10"/>
        <v>354.20000000000005</v>
      </c>
      <c r="J28" s="95">
        <f t="shared" si="10"/>
        <v>383</v>
      </c>
      <c r="K28" s="95">
        <f t="shared" si="10"/>
        <v>354.20000000000005</v>
      </c>
      <c r="L28" s="95">
        <f t="shared" si="10"/>
        <v>343.7</v>
      </c>
      <c r="M28" s="95">
        <f t="shared" si="10"/>
        <v>354.3</v>
      </c>
      <c r="N28" s="95">
        <f t="shared" si="10"/>
        <v>360.1</v>
      </c>
      <c r="O28" s="95">
        <f t="shared" si="10"/>
        <v>354.20000000000005</v>
      </c>
      <c r="P28" s="95">
        <f t="shared" si="10"/>
        <v>282.4</v>
      </c>
      <c r="Q28" s="95">
        <f t="shared" si="10"/>
        <v>354.20000000000005</v>
      </c>
      <c r="R28" s="95">
        <f t="shared" si="10"/>
        <v>271.5</v>
      </c>
      <c r="S28" s="95">
        <f t="shared" si="10"/>
        <v>354.20000000000005</v>
      </c>
      <c r="T28" s="95">
        <f t="shared" si="10"/>
        <v>318.59999999999997</v>
      </c>
      <c r="U28" s="95">
        <f t="shared" si="10"/>
        <v>354.20000000000005</v>
      </c>
      <c r="V28" s="95">
        <f t="shared" si="10"/>
        <v>264.9</v>
      </c>
      <c r="W28" s="95">
        <f t="shared" si="10"/>
        <v>354.20000000000005</v>
      </c>
      <c r="X28" s="95">
        <f t="shared" si="10"/>
        <v>338.6</v>
      </c>
      <c r="Y28" s="95">
        <f t="shared" si="10"/>
        <v>354.20000000000005</v>
      </c>
      <c r="Z28" s="95">
        <f t="shared" si="10"/>
        <v>0</v>
      </c>
      <c r="AA28" s="95">
        <f t="shared" si="10"/>
        <v>354.20000000000005</v>
      </c>
      <c r="AB28" s="95">
        <f t="shared" si="10"/>
        <v>0</v>
      </c>
      <c r="AC28" s="95">
        <f>AC25+AC26+AC27</f>
        <v>473.4</v>
      </c>
      <c r="AD28" s="95">
        <f>AD25+AD26+AD27</f>
        <v>0</v>
      </c>
      <c r="AE28" s="76"/>
    </row>
    <row r="29" spans="1:31" s="77" customFormat="1" ht="18.75">
      <c r="A29" s="78" t="s">
        <v>23</v>
      </c>
      <c r="B29" s="99"/>
      <c r="C29" s="91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76"/>
    </row>
    <row r="30" spans="1:31" s="77" customFormat="1" ht="18.75">
      <c r="A30" s="78" t="s">
        <v>24</v>
      </c>
      <c r="B30" s="91">
        <f>B28</f>
        <v>4362.4</v>
      </c>
      <c r="C30" s="91">
        <f>C28</f>
        <v>3180.6000000000004</v>
      </c>
      <c r="D30" s="91">
        <f>D28</f>
        <v>2812.1</v>
      </c>
      <c r="E30" s="91">
        <f>D30/B30*100</f>
        <v>64.4622226297451</v>
      </c>
      <c r="F30" s="91">
        <f>E30/C30*100</f>
        <v>2.026731517001355</v>
      </c>
      <c r="G30" s="91">
        <f aca="true" t="shared" si="11" ref="G30:AD30">G28</f>
        <v>346.9</v>
      </c>
      <c r="H30" s="91">
        <f t="shared" si="11"/>
        <v>249.3</v>
      </c>
      <c r="I30" s="91">
        <f t="shared" si="11"/>
        <v>354.20000000000005</v>
      </c>
      <c r="J30" s="91">
        <f t="shared" si="11"/>
        <v>383</v>
      </c>
      <c r="K30" s="91">
        <f t="shared" si="11"/>
        <v>354.20000000000005</v>
      </c>
      <c r="L30" s="91">
        <f t="shared" si="11"/>
        <v>343.7</v>
      </c>
      <c r="M30" s="91">
        <f t="shared" si="11"/>
        <v>354.3</v>
      </c>
      <c r="N30" s="91">
        <f t="shared" si="11"/>
        <v>360.1</v>
      </c>
      <c r="O30" s="91">
        <f t="shared" si="11"/>
        <v>354.20000000000005</v>
      </c>
      <c r="P30" s="91">
        <f t="shared" si="11"/>
        <v>282.4</v>
      </c>
      <c r="Q30" s="91">
        <f t="shared" si="11"/>
        <v>354.20000000000005</v>
      </c>
      <c r="R30" s="91">
        <f t="shared" si="11"/>
        <v>271.5</v>
      </c>
      <c r="S30" s="91">
        <f t="shared" si="11"/>
        <v>354.20000000000005</v>
      </c>
      <c r="T30" s="91">
        <f t="shared" si="11"/>
        <v>318.59999999999997</v>
      </c>
      <c r="U30" s="91">
        <f t="shared" si="11"/>
        <v>354.20000000000005</v>
      </c>
      <c r="V30" s="91">
        <f t="shared" si="11"/>
        <v>264.9</v>
      </c>
      <c r="W30" s="91">
        <f t="shared" si="11"/>
        <v>354.20000000000005</v>
      </c>
      <c r="X30" s="91">
        <f t="shared" si="11"/>
        <v>338.6</v>
      </c>
      <c r="Y30" s="91">
        <f t="shared" si="11"/>
        <v>354.20000000000005</v>
      </c>
      <c r="Z30" s="91">
        <f t="shared" si="11"/>
        <v>0</v>
      </c>
      <c r="AA30" s="91">
        <f t="shared" si="11"/>
        <v>354.20000000000005</v>
      </c>
      <c r="AB30" s="91">
        <f t="shared" si="11"/>
        <v>0</v>
      </c>
      <c r="AC30" s="91">
        <f t="shared" si="11"/>
        <v>473.4</v>
      </c>
      <c r="AD30" s="91">
        <f t="shared" si="11"/>
        <v>0</v>
      </c>
      <c r="AE30" s="76"/>
    </row>
    <row r="31" spans="1:31" s="77" customFormat="1" ht="18.75">
      <c r="A31" s="78" t="s">
        <v>25</v>
      </c>
      <c r="B31" s="99"/>
      <c r="C31" s="91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76"/>
    </row>
    <row r="32" spans="1:31" s="77" customFormat="1" ht="18.75">
      <c r="A32" s="78" t="s">
        <v>26</v>
      </c>
      <c r="B32" s="99"/>
      <c r="C32" s="91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76"/>
    </row>
    <row r="33" spans="1:31" s="77" customFormat="1" ht="18.75">
      <c r="A33" s="104" t="s">
        <v>63</v>
      </c>
      <c r="B33" s="95">
        <f>B11+B19+B28</f>
        <v>94431.50383</v>
      </c>
      <c r="C33" s="95">
        <f>C11+C19+C28</f>
        <v>66142.29383</v>
      </c>
      <c r="D33" s="95">
        <f>D11+D19+D28</f>
        <v>44591.330819999996</v>
      </c>
      <c r="E33" s="95">
        <f>D33/B33*100</f>
        <v>47.2208203951463</v>
      </c>
      <c r="F33" s="95">
        <f>D33/C33*100</f>
        <v>67.41727303048994</v>
      </c>
      <c r="G33" s="95">
        <f aca="true" t="shared" si="12" ref="G33:AC33">G11+G19+G28</f>
        <v>4630.623</v>
      </c>
      <c r="H33" s="95">
        <f t="shared" si="12"/>
        <v>2966.4362900000006</v>
      </c>
      <c r="I33" s="95">
        <f t="shared" si="12"/>
        <v>7107.45083</v>
      </c>
      <c r="J33" s="95">
        <f t="shared" si="12"/>
        <v>6340.2295300000005</v>
      </c>
      <c r="K33" s="95">
        <f t="shared" si="12"/>
        <v>5590.05</v>
      </c>
      <c r="L33" s="95">
        <f t="shared" si="12"/>
        <v>5177.8</v>
      </c>
      <c r="M33" s="95">
        <f t="shared" si="12"/>
        <v>5925.51</v>
      </c>
      <c r="N33" s="95">
        <f t="shared" si="12"/>
        <v>5303.82</v>
      </c>
      <c r="O33" s="95">
        <f t="shared" si="12"/>
        <v>5293.39</v>
      </c>
      <c r="P33" s="95">
        <f>P11+P19+P28</f>
        <v>5823.099999999999</v>
      </c>
      <c r="Q33" s="95">
        <f>Q11+Q19+Q28</f>
        <v>4338.4800000000005</v>
      </c>
      <c r="R33" s="95">
        <f>R11+R19+R28</f>
        <v>4804.585</v>
      </c>
      <c r="S33" s="95">
        <f t="shared" si="12"/>
        <v>4040.6499999999996</v>
      </c>
      <c r="T33" s="95">
        <f>T11+T19+T28</f>
        <v>4506.1</v>
      </c>
      <c r="U33" s="95">
        <f t="shared" si="12"/>
        <v>4721.72</v>
      </c>
      <c r="V33" s="95">
        <f t="shared" si="12"/>
        <v>3091.12</v>
      </c>
      <c r="W33" s="95">
        <f t="shared" si="12"/>
        <v>24494.42</v>
      </c>
      <c r="X33" s="95">
        <f>X11+X19+X28</f>
        <v>6578.14</v>
      </c>
      <c r="Y33" s="95">
        <f t="shared" si="12"/>
        <v>14919.620000000003</v>
      </c>
      <c r="Z33" s="95">
        <f>Z11+Z19+Z28</f>
        <v>0</v>
      </c>
      <c r="AA33" s="95">
        <f t="shared" si="12"/>
        <v>5770.0199999999995</v>
      </c>
      <c r="AB33" s="95">
        <f>AB11+AB19+AB28</f>
        <v>0</v>
      </c>
      <c r="AC33" s="95">
        <f t="shared" si="12"/>
        <v>7599.57</v>
      </c>
      <c r="AD33" s="95">
        <f>AD11+AD19+AD28</f>
        <v>0</v>
      </c>
      <c r="AE33" s="76"/>
    </row>
    <row r="34" spans="1:31" s="77" customFormat="1" ht="18.75">
      <c r="A34" s="78" t="s">
        <v>23</v>
      </c>
      <c r="B34" s="99"/>
      <c r="C34" s="91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76"/>
    </row>
    <row r="35" spans="1:31" s="77" customFormat="1" ht="18.75">
      <c r="A35" s="78" t="s">
        <v>24</v>
      </c>
      <c r="B35" s="91">
        <f>B33</f>
        <v>94431.50383</v>
      </c>
      <c r="C35" s="96">
        <f>G35+I35+K35</f>
        <v>17328.12383</v>
      </c>
      <c r="D35" s="91">
        <f>H35+J35+L35</f>
        <v>14484.465820000001</v>
      </c>
      <c r="E35" s="91">
        <f>D35/B35*100</f>
        <v>15.338594888921406</v>
      </c>
      <c r="F35" s="91">
        <f>D35/C35*100</f>
        <v>83.5893485186388</v>
      </c>
      <c r="G35" s="91">
        <f aca="true" t="shared" si="13" ref="G35:AD35">G33</f>
        <v>4630.623</v>
      </c>
      <c r="H35" s="91">
        <f t="shared" si="13"/>
        <v>2966.4362900000006</v>
      </c>
      <c r="I35" s="91">
        <f t="shared" si="13"/>
        <v>7107.45083</v>
      </c>
      <c r="J35" s="91">
        <f t="shared" si="13"/>
        <v>6340.2295300000005</v>
      </c>
      <c r="K35" s="91">
        <f t="shared" si="13"/>
        <v>5590.05</v>
      </c>
      <c r="L35" s="91">
        <f t="shared" si="13"/>
        <v>5177.8</v>
      </c>
      <c r="M35" s="91">
        <f t="shared" si="13"/>
        <v>5925.51</v>
      </c>
      <c r="N35" s="91">
        <f t="shared" si="13"/>
        <v>5303.82</v>
      </c>
      <c r="O35" s="91">
        <f t="shared" si="13"/>
        <v>5293.39</v>
      </c>
      <c r="P35" s="91">
        <f t="shared" si="13"/>
        <v>5823.099999999999</v>
      </c>
      <c r="Q35" s="91">
        <f t="shared" si="13"/>
        <v>4338.4800000000005</v>
      </c>
      <c r="R35" s="91">
        <f t="shared" si="13"/>
        <v>4804.585</v>
      </c>
      <c r="S35" s="91">
        <f t="shared" si="13"/>
        <v>4040.6499999999996</v>
      </c>
      <c r="T35" s="91">
        <f t="shared" si="13"/>
        <v>4506.1</v>
      </c>
      <c r="U35" s="91">
        <f t="shared" si="13"/>
        <v>4721.72</v>
      </c>
      <c r="V35" s="91">
        <f t="shared" si="13"/>
        <v>3091.12</v>
      </c>
      <c r="W35" s="91">
        <f t="shared" si="13"/>
        <v>24494.42</v>
      </c>
      <c r="X35" s="91">
        <f t="shared" si="13"/>
        <v>6578.14</v>
      </c>
      <c r="Y35" s="91">
        <f t="shared" si="13"/>
        <v>14919.620000000003</v>
      </c>
      <c r="Z35" s="91">
        <f t="shared" si="13"/>
        <v>0</v>
      </c>
      <c r="AA35" s="91">
        <f t="shared" si="13"/>
        <v>5770.0199999999995</v>
      </c>
      <c r="AB35" s="91">
        <f t="shared" si="13"/>
        <v>0</v>
      </c>
      <c r="AC35" s="91">
        <f t="shared" si="13"/>
        <v>7599.57</v>
      </c>
      <c r="AD35" s="91">
        <f t="shared" si="13"/>
        <v>0</v>
      </c>
      <c r="AE35" s="76"/>
    </row>
    <row r="36" spans="1:31" s="77" customFormat="1" ht="18.75">
      <c r="A36" s="78" t="s">
        <v>25</v>
      </c>
      <c r="B36" s="99"/>
      <c r="C36" s="91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76"/>
    </row>
    <row r="37" spans="1:31" s="77" customFormat="1" ht="18.75">
      <c r="A37" s="78" t="s">
        <v>26</v>
      </c>
      <c r="B37" s="99"/>
      <c r="C37" s="91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76"/>
    </row>
    <row r="38" spans="1:31" s="77" customFormat="1" ht="99" customHeight="1">
      <c r="A38" s="86" t="s">
        <v>70</v>
      </c>
      <c r="B38" s="92">
        <f>B41</f>
        <v>3630</v>
      </c>
      <c r="C38" s="92">
        <f>C41</f>
        <v>3630</v>
      </c>
      <c r="D38" s="92">
        <f>D41</f>
        <v>2749</v>
      </c>
      <c r="E38" s="92">
        <f>D38/B38*100</f>
        <v>75.73002754820936</v>
      </c>
      <c r="F38" s="92">
        <f>D38/C38*100</f>
        <v>75.73002754820936</v>
      </c>
      <c r="G38" s="92">
        <f aca="true" t="shared" si="14" ref="G38:AD38">G41</f>
        <v>0</v>
      </c>
      <c r="H38" s="92">
        <f t="shared" si="14"/>
        <v>0</v>
      </c>
      <c r="I38" s="92">
        <f t="shared" si="14"/>
        <v>0</v>
      </c>
      <c r="J38" s="92">
        <f t="shared" si="14"/>
        <v>0</v>
      </c>
      <c r="K38" s="92">
        <f t="shared" si="14"/>
        <v>0</v>
      </c>
      <c r="L38" s="92">
        <f t="shared" si="14"/>
        <v>0</v>
      </c>
      <c r="M38" s="92">
        <f t="shared" si="14"/>
        <v>0</v>
      </c>
      <c r="N38" s="92">
        <f t="shared" si="14"/>
        <v>0</v>
      </c>
      <c r="O38" s="92">
        <f t="shared" si="14"/>
        <v>0</v>
      </c>
      <c r="P38" s="92">
        <f t="shared" si="14"/>
        <v>0</v>
      </c>
      <c r="Q38" s="92">
        <f t="shared" si="14"/>
        <v>0</v>
      </c>
      <c r="R38" s="92">
        <f t="shared" si="14"/>
        <v>0</v>
      </c>
      <c r="S38" s="92">
        <f t="shared" si="14"/>
        <v>0</v>
      </c>
      <c r="T38" s="92">
        <f t="shared" si="14"/>
        <v>0</v>
      </c>
      <c r="U38" s="92">
        <f t="shared" si="14"/>
        <v>3630</v>
      </c>
      <c r="V38" s="92">
        <f t="shared" si="14"/>
        <v>0</v>
      </c>
      <c r="W38" s="92">
        <f t="shared" si="14"/>
        <v>0</v>
      </c>
      <c r="X38" s="92">
        <f t="shared" si="14"/>
        <v>2749</v>
      </c>
      <c r="Y38" s="92">
        <f t="shared" si="14"/>
        <v>0</v>
      </c>
      <c r="Z38" s="92">
        <f t="shared" si="14"/>
        <v>0</v>
      </c>
      <c r="AA38" s="92">
        <f t="shared" si="14"/>
        <v>0</v>
      </c>
      <c r="AB38" s="92">
        <f t="shared" si="14"/>
        <v>0</v>
      </c>
      <c r="AC38" s="92">
        <f t="shared" si="14"/>
        <v>0</v>
      </c>
      <c r="AD38" s="92">
        <f t="shared" si="14"/>
        <v>0</v>
      </c>
      <c r="AE38" s="85"/>
    </row>
    <row r="39" spans="1:31" s="77" customFormat="1" ht="121.5" customHeight="1">
      <c r="A39" s="109" t="s">
        <v>36</v>
      </c>
      <c r="B39" s="100">
        <f>B41</f>
        <v>3630</v>
      </c>
      <c r="C39" s="100">
        <f>C41</f>
        <v>3630</v>
      </c>
      <c r="D39" s="100">
        <f>D41</f>
        <v>2749</v>
      </c>
      <c r="E39" s="100">
        <f>D39/B39*100</f>
        <v>75.73002754820936</v>
      </c>
      <c r="F39" s="100">
        <f>D39/C39*100</f>
        <v>75.73002754820936</v>
      </c>
      <c r="G39" s="100">
        <f aca="true" t="shared" si="15" ref="G39:AD39">G41</f>
        <v>0</v>
      </c>
      <c r="H39" s="100">
        <f t="shared" si="15"/>
        <v>0</v>
      </c>
      <c r="I39" s="100">
        <f t="shared" si="15"/>
        <v>0</v>
      </c>
      <c r="J39" s="100">
        <f t="shared" si="15"/>
        <v>0</v>
      </c>
      <c r="K39" s="100">
        <f t="shared" si="15"/>
        <v>0</v>
      </c>
      <c r="L39" s="100">
        <f t="shared" si="15"/>
        <v>0</v>
      </c>
      <c r="M39" s="100">
        <f t="shared" si="15"/>
        <v>0</v>
      </c>
      <c r="N39" s="100">
        <f t="shared" si="15"/>
        <v>0</v>
      </c>
      <c r="O39" s="100">
        <f t="shared" si="15"/>
        <v>0</v>
      </c>
      <c r="P39" s="100">
        <f t="shared" si="15"/>
        <v>0</v>
      </c>
      <c r="Q39" s="100">
        <f t="shared" si="15"/>
        <v>0</v>
      </c>
      <c r="R39" s="100">
        <f t="shared" si="15"/>
        <v>0</v>
      </c>
      <c r="S39" s="100">
        <f t="shared" si="15"/>
        <v>0</v>
      </c>
      <c r="T39" s="100">
        <f t="shared" si="15"/>
        <v>0</v>
      </c>
      <c r="U39" s="100">
        <f t="shared" si="15"/>
        <v>3630</v>
      </c>
      <c r="V39" s="100">
        <f t="shared" si="15"/>
        <v>0</v>
      </c>
      <c r="W39" s="100">
        <f t="shared" si="15"/>
        <v>0</v>
      </c>
      <c r="X39" s="100">
        <f t="shared" si="15"/>
        <v>2749</v>
      </c>
      <c r="Y39" s="100">
        <f t="shared" si="15"/>
        <v>0</v>
      </c>
      <c r="Z39" s="100">
        <f t="shared" si="15"/>
        <v>0</v>
      </c>
      <c r="AA39" s="100">
        <f t="shared" si="15"/>
        <v>0</v>
      </c>
      <c r="AB39" s="100">
        <f t="shared" si="15"/>
        <v>0</v>
      </c>
      <c r="AC39" s="100">
        <f t="shared" si="15"/>
        <v>0</v>
      </c>
      <c r="AD39" s="100">
        <f t="shared" si="15"/>
        <v>0</v>
      </c>
      <c r="AE39" s="140" t="s">
        <v>86</v>
      </c>
    </row>
    <row r="40" spans="1:31" s="77" customFormat="1" ht="84.75" customHeight="1">
      <c r="A40" s="79" t="s">
        <v>44</v>
      </c>
      <c r="B40" s="91">
        <f>G40+I40+K40+M40+O40+Q40+S40+U40+W40+Y40+AA40+AC40</f>
        <v>3630</v>
      </c>
      <c r="C40" s="96">
        <f>G40+I40+K40+M40+O40+Q40+S40+U40+W40</f>
        <v>3630</v>
      </c>
      <c r="D40" s="91">
        <f>H40+J40+L40+N40+P40+R40+T40+V40+X40+Z40+AB40+AD40</f>
        <v>2749</v>
      </c>
      <c r="E40" s="91">
        <f>D40/B40*100</f>
        <v>75.73002754820936</v>
      </c>
      <c r="F40" s="99">
        <f>D40/C40*100</f>
        <v>75.73002754820936</v>
      </c>
      <c r="G40" s="91">
        <v>0</v>
      </c>
      <c r="H40" s="91">
        <v>0</v>
      </c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1">
        <v>3630</v>
      </c>
      <c r="V40" s="91">
        <v>0</v>
      </c>
      <c r="W40" s="95"/>
      <c r="X40" s="91">
        <v>2749</v>
      </c>
      <c r="Y40" s="95"/>
      <c r="Z40" s="95"/>
      <c r="AA40" s="95"/>
      <c r="AB40" s="95"/>
      <c r="AC40" s="95"/>
      <c r="AD40" s="95"/>
      <c r="AE40" s="141"/>
    </row>
    <row r="41" spans="1:31" s="77" customFormat="1" ht="18.75">
      <c r="A41" s="104" t="s">
        <v>64</v>
      </c>
      <c r="B41" s="95">
        <f>B40</f>
        <v>3630</v>
      </c>
      <c r="C41" s="95">
        <f>C40</f>
        <v>3630</v>
      </c>
      <c r="D41" s="95">
        <f>D40</f>
        <v>2749</v>
      </c>
      <c r="E41" s="95">
        <f>D41/B41*100</f>
        <v>75.73002754820936</v>
      </c>
      <c r="F41" s="100">
        <f>D41/C41*100</f>
        <v>75.73002754820936</v>
      </c>
      <c r="G41" s="95">
        <f aca="true" t="shared" si="16" ref="G41:AD41">G40</f>
        <v>0</v>
      </c>
      <c r="H41" s="95">
        <f t="shared" si="16"/>
        <v>0</v>
      </c>
      <c r="I41" s="95">
        <f t="shared" si="16"/>
        <v>0</v>
      </c>
      <c r="J41" s="95">
        <f t="shared" si="16"/>
        <v>0</v>
      </c>
      <c r="K41" s="95">
        <f t="shared" si="16"/>
        <v>0</v>
      </c>
      <c r="L41" s="95">
        <f t="shared" si="16"/>
        <v>0</v>
      </c>
      <c r="M41" s="95">
        <f t="shared" si="16"/>
        <v>0</v>
      </c>
      <c r="N41" s="95">
        <f t="shared" si="16"/>
        <v>0</v>
      </c>
      <c r="O41" s="95">
        <f t="shared" si="16"/>
        <v>0</v>
      </c>
      <c r="P41" s="95">
        <f t="shared" si="16"/>
        <v>0</v>
      </c>
      <c r="Q41" s="95">
        <f t="shared" si="16"/>
        <v>0</v>
      </c>
      <c r="R41" s="95">
        <f t="shared" si="16"/>
        <v>0</v>
      </c>
      <c r="S41" s="95">
        <f t="shared" si="16"/>
        <v>0</v>
      </c>
      <c r="T41" s="95">
        <f t="shared" si="16"/>
        <v>0</v>
      </c>
      <c r="U41" s="95">
        <f t="shared" si="16"/>
        <v>3630</v>
      </c>
      <c r="V41" s="95">
        <f t="shared" si="16"/>
        <v>0</v>
      </c>
      <c r="W41" s="95">
        <f t="shared" si="16"/>
        <v>0</v>
      </c>
      <c r="X41" s="95">
        <f t="shared" si="16"/>
        <v>2749</v>
      </c>
      <c r="Y41" s="95">
        <f t="shared" si="16"/>
        <v>0</v>
      </c>
      <c r="Z41" s="95">
        <f t="shared" si="16"/>
        <v>0</v>
      </c>
      <c r="AA41" s="95">
        <f t="shared" si="16"/>
        <v>0</v>
      </c>
      <c r="AB41" s="95">
        <f t="shared" si="16"/>
        <v>0</v>
      </c>
      <c r="AC41" s="95">
        <f t="shared" si="16"/>
        <v>0</v>
      </c>
      <c r="AD41" s="95">
        <f t="shared" si="16"/>
        <v>0</v>
      </c>
      <c r="AE41" s="76"/>
    </row>
    <row r="42" spans="1:31" s="77" customFormat="1" ht="18.75">
      <c r="A42" s="78" t="s">
        <v>23</v>
      </c>
      <c r="B42" s="99"/>
      <c r="C42" s="91"/>
      <c r="D42" s="95"/>
      <c r="E42" s="95"/>
      <c r="F42" s="100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76"/>
    </row>
    <row r="43" spans="1:31" s="77" customFormat="1" ht="18.75">
      <c r="A43" s="78" t="s">
        <v>24</v>
      </c>
      <c r="B43" s="91">
        <f>B41</f>
        <v>3630</v>
      </c>
      <c r="C43" s="91">
        <f>C41</f>
        <v>3630</v>
      </c>
      <c r="D43" s="91">
        <f>D41</f>
        <v>2749</v>
      </c>
      <c r="E43" s="91">
        <f>D43/B43*100</f>
        <v>75.73002754820936</v>
      </c>
      <c r="F43" s="99">
        <f>D43/C43*100</f>
        <v>75.73002754820936</v>
      </c>
      <c r="G43" s="91">
        <f aca="true" t="shared" si="17" ref="G43:AD43">G41</f>
        <v>0</v>
      </c>
      <c r="H43" s="91">
        <f t="shared" si="17"/>
        <v>0</v>
      </c>
      <c r="I43" s="91">
        <f t="shared" si="17"/>
        <v>0</v>
      </c>
      <c r="J43" s="91">
        <f t="shared" si="17"/>
        <v>0</v>
      </c>
      <c r="K43" s="91">
        <f t="shared" si="17"/>
        <v>0</v>
      </c>
      <c r="L43" s="91">
        <f t="shared" si="17"/>
        <v>0</v>
      </c>
      <c r="M43" s="91">
        <f t="shared" si="17"/>
        <v>0</v>
      </c>
      <c r="N43" s="91">
        <f t="shared" si="17"/>
        <v>0</v>
      </c>
      <c r="O43" s="91">
        <f t="shared" si="17"/>
        <v>0</v>
      </c>
      <c r="P43" s="91">
        <f t="shared" si="17"/>
        <v>0</v>
      </c>
      <c r="Q43" s="91">
        <f t="shared" si="17"/>
        <v>0</v>
      </c>
      <c r="R43" s="91">
        <f t="shared" si="17"/>
        <v>0</v>
      </c>
      <c r="S43" s="91">
        <f t="shared" si="17"/>
        <v>0</v>
      </c>
      <c r="T43" s="91">
        <f t="shared" si="17"/>
        <v>0</v>
      </c>
      <c r="U43" s="91">
        <f t="shared" si="17"/>
        <v>3630</v>
      </c>
      <c r="V43" s="91">
        <f t="shared" si="17"/>
        <v>0</v>
      </c>
      <c r="W43" s="91">
        <f t="shared" si="17"/>
        <v>0</v>
      </c>
      <c r="X43" s="91">
        <f t="shared" si="17"/>
        <v>2749</v>
      </c>
      <c r="Y43" s="91">
        <f t="shared" si="17"/>
        <v>0</v>
      </c>
      <c r="Z43" s="91">
        <f t="shared" si="17"/>
        <v>0</v>
      </c>
      <c r="AA43" s="91">
        <f t="shared" si="17"/>
        <v>0</v>
      </c>
      <c r="AB43" s="91">
        <f t="shared" si="17"/>
        <v>0</v>
      </c>
      <c r="AC43" s="91">
        <f t="shared" si="17"/>
        <v>0</v>
      </c>
      <c r="AD43" s="91">
        <f t="shared" si="17"/>
        <v>0</v>
      </c>
      <c r="AE43" s="76"/>
    </row>
    <row r="44" spans="1:31" s="77" customFormat="1" ht="18.75">
      <c r="A44" s="78" t="s">
        <v>25</v>
      </c>
      <c r="B44" s="99"/>
      <c r="C44" s="91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76"/>
    </row>
    <row r="45" spans="1:31" s="77" customFormat="1" ht="18.75">
      <c r="A45" s="78" t="s">
        <v>26</v>
      </c>
      <c r="B45" s="99"/>
      <c r="C45" s="91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76"/>
    </row>
    <row r="46" spans="1:31" s="77" customFormat="1" ht="57" customHeight="1">
      <c r="A46" s="86" t="s">
        <v>66</v>
      </c>
      <c r="B46" s="88">
        <f>B70</f>
        <v>28063.81</v>
      </c>
      <c r="C46" s="88">
        <f>C70</f>
        <v>19399.690000000002</v>
      </c>
      <c r="D46" s="88">
        <f>D70</f>
        <v>17367.219999999998</v>
      </c>
      <c r="E46" s="92">
        <f>D46/B46*100</f>
        <v>61.88475477848516</v>
      </c>
      <c r="F46" s="92">
        <f>D46/C46*100</f>
        <v>89.52318310241037</v>
      </c>
      <c r="G46" s="88">
        <f aca="true" t="shared" si="18" ref="G46:AD46">G70</f>
        <v>3478.7</v>
      </c>
      <c r="H46" s="88">
        <f t="shared" si="18"/>
        <v>3246.6</v>
      </c>
      <c r="I46" s="88">
        <f t="shared" si="18"/>
        <v>2063.9</v>
      </c>
      <c r="J46" s="88">
        <f t="shared" si="18"/>
        <v>2136.6</v>
      </c>
      <c r="K46" s="88">
        <f>K47+K54</f>
        <v>1142.3</v>
      </c>
      <c r="L46" s="88">
        <f t="shared" si="18"/>
        <v>1972.7</v>
      </c>
      <c r="M46" s="88">
        <f>M47+M54</f>
        <v>2678.9</v>
      </c>
      <c r="N46" s="88">
        <f t="shared" si="18"/>
        <v>1974.7</v>
      </c>
      <c r="O46" s="88">
        <f>O47+O54</f>
        <v>1440.2</v>
      </c>
      <c r="P46" s="88">
        <f t="shared" si="18"/>
        <v>1639.3</v>
      </c>
      <c r="Q46" s="88">
        <f t="shared" si="18"/>
        <v>1796.42</v>
      </c>
      <c r="R46" s="88">
        <f t="shared" si="18"/>
        <v>1517.02</v>
      </c>
      <c r="S46" s="88">
        <f t="shared" si="18"/>
        <v>2381.47</v>
      </c>
      <c r="T46" s="88">
        <f t="shared" si="18"/>
        <v>2075.4</v>
      </c>
      <c r="U46" s="88">
        <f t="shared" si="18"/>
        <v>2971.3</v>
      </c>
      <c r="V46" s="88">
        <f t="shared" si="18"/>
        <v>2279.8</v>
      </c>
      <c r="W46" s="88">
        <f>W47+W54</f>
        <v>1446.5</v>
      </c>
      <c r="X46" s="88">
        <f t="shared" si="18"/>
        <v>812.8</v>
      </c>
      <c r="Y46" s="88">
        <f>Y47+Y54</f>
        <v>2119.1</v>
      </c>
      <c r="Z46" s="88">
        <f t="shared" si="18"/>
        <v>0</v>
      </c>
      <c r="AA46" s="88">
        <f t="shared" si="18"/>
        <v>3797.6899999999996</v>
      </c>
      <c r="AB46" s="88">
        <f t="shared" si="18"/>
        <v>0</v>
      </c>
      <c r="AC46" s="88">
        <f t="shared" si="18"/>
        <v>2747.33</v>
      </c>
      <c r="AD46" s="88">
        <f t="shared" si="18"/>
        <v>0</v>
      </c>
      <c r="AE46" s="85"/>
    </row>
    <row r="47" spans="1:31" s="77" customFormat="1" ht="132.75" customHeight="1">
      <c r="A47" s="80" t="s">
        <v>62</v>
      </c>
      <c r="B47" s="100">
        <f>B49</f>
        <v>20870.81</v>
      </c>
      <c r="C47" s="100">
        <f>C49</f>
        <v>16791.79</v>
      </c>
      <c r="D47" s="100">
        <f>D49</f>
        <v>15517.819999999998</v>
      </c>
      <c r="E47" s="100">
        <f>D47/B47*100</f>
        <v>74.35178605909401</v>
      </c>
      <c r="F47" s="100">
        <f>D47/C47*100</f>
        <v>92.4131376107014</v>
      </c>
      <c r="G47" s="100">
        <f>G49</f>
        <v>3478.7</v>
      </c>
      <c r="H47" s="100">
        <f aca="true" t="shared" si="19" ref="H47:AD47">H49</f>
        <v>3246.6</v>
      </c>
      <c r="I47" s="100">
        <f t="shared" si="19"/>
        <v>1764.9</v>
      </c>
      <c r="J47" s="100">
        <f t="shared" si="19"/>
        <v>1936.6</v>
      </c>
      <c r="K47" s="100">
        <f>K48</f>
        <v>1142.3</v>
      </c>
      <c r="L47" s="100">
        <f t="shared" si="19"/>
        <v>933.2</v>
      </c>
      <c r="M47" s="100">
        <f t="shared" si="19"/>
        <v>2678.9</v>
      </c>
      <c r="N47" s="100">
        <f t="shared" si="19"/>
        <v>2627.5</v>
      </c>
      <c r="O47" s="100">
        <f t="shared" si="19"/>
        <v>1440.2</v>
      </c>
      <c r="P47" s="100">
        <f t="shared" si="19"/>
        <v>1639.3</v>
      </c>
      <c r="Q47" s="100">
        <f t="shared" si="19"/>
        <v>1712.92</v>
      </c>
      <c r="R47" s="100">
        <f t="shared" si="19"/>
        <v>1517.02</v>
      </c>
      <c r="S47" s="100">
        <f t="shared" si="19"/>
        <v>2347.97</v>
      </c>
      <c r="T47" s="100">
        <f t="shared" si="19"/>
        <v>2041.9</v>
      </c>
      <c r="U47" s="100">
        <f t="shared" si="19"/>
        <v>1307.6</v>
      </c>
      <c r="V47" s="100">
        <f t="shared" si="19"/>
        <v>890.3</v>
      </c>
      <c r="W47" s="100">
        <f t="shared" si="19"/>
        <v>918.3</v>
      </c>
      <c r="X47" s="100">
        <f t="shared" si="19"/>
        <v>685.4</v>
      </c>
      <c r="Y47" s="100">
        <f t="shared" si="19"/>
        <v>1627.3</v>
      </c>
      <c r="Z47" s="100">
        <f t="shared" si="19"/>
        <v>0</v>
      </c>
      <c r="AA47" s="100">
        <f t="shared" si="19"/>
        <v>795.99</v>
      </c>
      <c r="AB47" s="100">
        <f t="shared" si="19"/>
        <v>0</v>
      </c>
      <c r="AC47" s="100">
        <f t="shared" si="19"/>
        <v>1655.73</v>
      </c>
      <c r="AD47" s="100">
        <f t="shared" si="19"/>
        <v>0</v>
      </c>
      <c r="AE47" s="76"/>
    </row>
    <row r="48" spans="1:31" s="77" customFormat="1" ht="195.75" customHeight="1">
      <c r="A48" s="81" t="s">
        <v>45</v>
      </c>
      <c r="B48" s="91">
        <f>G48+I48+K48+M48+O48+Q48+S48+U48+W48+Y48+AA48+AC48</f>
        <v>20870.81</v>
      </c>
      <c r="C48" s="96">
        <f>G48+I48+K48+M48+O48+Q48+S48+U48+W48</f>
        <v>16791.79</v>
      </c>
      <c r="D48" s="91">
        <f>H48+J48+L48+N48+P48+R48+T48+V48+X48+Z48+AB48+AD48</f>
        <v>15517.819999999998</v>
      </c>
      <c r="E48" s="91">
        <f>D48/B48*100</f>
        <v>74.35178605909401</v>
      </c>
      <c r="F48" s="91">
        <f>D48/C48*100</f>
        <v>92.4131376107014</v>
      </c>
      <c r="G48" s="91">
        <f>ROUND(3478667.24/1000,1)</f>
        <v>3478.7</v>
      </c>
      <c r="H48" s="91">
        <v>3246.6</v>
      </c>
      <c r="I48" s="91">
        <v>1764.9</v>
      </c>
      <c r="J48" s="91">
        <v>1936.6</v>
      </c>
      <c r="K48" s="91">
        <v>1142.3</v>
      </c>
      <c r="L48" s="91">
        <v>933.2</v>
      </c>
      <c r="M48" s="91">
        <v>2678.9</v>
      </c>
      <c r="N48" s="91">
        <v>2627.5</v>
      </c>
      <c r="O48" s="91">
        <v>1440.2</v>
      </c>
      <c r="P48" s="91">
        <f>1632+7.3</f>
        <v>1639.3</v>
      </c>
      <c r="Q48" s="91">
        <v>1712.92</v>
      </c>
      <c r="R48" s="91">
        <v>1517.02</v>
      </c>
      <c r="S48" s="91">
        <v>2347.97</v>
      </c>
      <c r="T48" s="91">
        <v>2041.9</v>
      </c>
      <c r="U48" s="91">
        <v>1307.6</v>
      </c>
      <c r="V48" s="91">
        <v>890.3</v>
      </c>
      <c r="W48" s="91">
        <v>918.3</v>
      </c>
      <c r="X48" s="91">
        <v>685.4</v>
      </c>
      <c r="Y48" s="91">
        <v>1627.3</v>
      </c>
      <c r="Z48" s="91"/>
      <c r="AA48" s="91">
        <v>795.99</v>
      </c>
      <c r="AB48" s="91"/>
      <c r="AC48" s="91">
        <v>1655.73</v>
      </c>
      <c r="AD48" s="95"/>
      <c r="AE48" s="33" t="s">
        <v>87</v>
      </c>
    </row>
    <row r="49" spans="1:31" s="77" customFormat="1" ht="19.5" customHeight="1">
      <c r="A49" s="104" t="s">
        <v>59</v>
      </c>
      <c r="B49" s="95">
        <f>B48</f>
        <v>20870.81</v>
      </c>
      <c r="C49" s="95">
        <f>C48</f>
        <v>16791.79</v>
      </c>
      <c r="D49" s="95">
        <f>D48</f>
        <v>15517.819999999998</v>
      </c>
      <c r="E49" s="95">
        <f>D49/B49*100</f>
        <v>74.35178605909401</v>
      </c>
      <c r="F49" s="95">
        <f>D49/C49*100</f>
        <v>92.4131376107014</v>
      </c>
      <c r="G49" s="100">
        <f aca="true" t="shared" si="20" ref="G49:AD49">G48</f>
        <v>3478.7</v>
      </c>
      <c r="H49" s="100">
        <f t="shared" si="20"/>
        <v>3246.6</v>
      </c>
      <c r="I49" s="100">
        <f t="shared" si="20"/>
        <v>1764.9</v>
      </c>
      <c r="J49" s="100">
        <f t="shared" si="20"/>
        <v>1936.6</v>
      </c>
      <c r="K49" s="100">
        <f t="shared" si="20"/>
        <v>1142.3</v>
      </c>
      <c r="L49" s="100">
        <f t="shared" si="20"/>
        <v>933.2</v>
      </c>
      <c r="M49" s="100">
        <f t="shared" si="20"/>
        <v>2678.9</v>
      </c>
      <c r="N49" s="100">
        <f t="shared" si="20"/>
        <v>2627.5</v>
      </c>
      <c r="O49" s="100">
        <f t="shared" si="20"/>
        <v>1440.2</v>
      </c>
      <c r="P49" s="100">
        <f t="shared" si="20"/>
        <v>1639.3</v>
      </c>
      <c r="Q49" s="100">
        <f t="shared" si="20"/>
        <v>1712.92</v>
      </c>
      <c r="R49" s="100">
        <f t="shared" si="20"/>
        <v>1517.02</v>
      </c>
      <c r="S49" s="100">
        <f t="shared" si="20"/>
        <v>2347.97</v>
      </c>
      <c r="T49" s="100">
        <f t="shared" si="20"/>
        <v>2041.9</v>
      </c>
      <c r="U49" s="100">
        <f t="shared" si="20"/>
        <v>1307.6</v>
      </c>
      <c r="V49" s="100">
        <f t="shared" si="20"/>
        <v>890.3</v>
      </c>
      <c r="W49" s="100">
        <f t="shared" si="20"/>
        <v>918.3</v>
      </c>
      <c r="X49" s="100">
        <f t="shared" si="20"/>
        <v>685.4</v>
      </c>
      <c r="Y49" s="100">
        <f t="shared" si="20"/>
        <v>1627.3</v>
      </c>
      <c r="Z49" s="100">
        <f t="shared" si="20"/>
        <v>0</v>
      </c>
      <c r="AA49" s="100">
        <f t="shared" si="20"/>
        <v>795.99</v>
      </c>
      <c r="AB49" s="100">
        <f t="shared" si="20"/>
        <v>0</v>
      </c>
      <c r="AC49" s="100">
        <f t="shared" si="20"/>
        <v>1655.73</v>
      </c>
      <c r="AD49" s="100">
        <f t="shared" si="20"/>
        <v>0</v>
      </c>
      <c r="AE49" s="76"/>
    </row>
    <row r="50" spans="1:31" s="77" customFormat="1" ht="19.5" customHeight="1">
      <c r="A50" s="78" t="s">
        <v>23</v>
      </c>
      <c r="B50" s="99"/>
      <c r="C50" s="91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76"/>
    </row>
    <row r="51" spans="1:31" s="77" customFormat="1" ht="19.5" customHeight="1">
      <c r="A51" s="78" t="s">
        <v>24</v>
      </c>
      <c r="B51" s="91">
        <f>B49</f>
        <v>20870.81</v>
      </c>
      <c r="C51" s="96">
        <f>G51+I51+K51</f>
        <v>6385.900000000001</v>
      </c>
      <c r="D51" s="91">
        <f>H51+J51+L51</f>
        <v>6116.4</v>
      </c>
      <c r="E51" s="91">
        <f>D51/B51*100</f>
        <v>29.306002019087902</v>
      </c>
      <c r="F51" s="91">
        <f>D51/C51*100</f>
        <v>95.77976479431246</v>
      </c>
      <c r="G51" s="91">
        <f>G49</f>
        <v>3478.7</v>
      </c>
      <c r="H51" s="91">
        <v>3246.6</v>
      </c>
      <c r="I51" s="91">
        <f>I49</f>
        <v>1764.9</v>
      </c>
      <c r="J51" s="91">
        <f>J49</f>
        <v>1936.6</v>
      </c>
      <c r="K51" s="91">
        <f>K49</f>
        <v>1142.3</v>
      </c>
      <c r="L51" s="91">
        <f>L49</f>
        <v>933.2</v>
      </c>
      <c r="M51" s="91">
        <f aca="true" t="shared" si="21" ref="M51:AD51">M49</f>
        <v>2678.9</v>
      </c>
      <c r="N51" s="91">
        <f t="shared" si="21"/>
        <v>2627.5</v>
      </c>
      <c r="O51" s="91">
        <f t="shared" si="21"/>
        <v>1440.2</v>
      </c>
      <c r="P51" s="91">
        <f t="shared" si="21"/>
        <v>1639.3</v>
      </c>
      <c r="Q51" s="91">
        <f t="shared" si="21"/>
        <v>1712.92</v>
      </c>
      <c r="R51" s="91">
        <f t="shared" si="21"/>
        <v>1517.02</v>
      </c>
      <c r="S51" s="91">
        <f t="shared" si="21"/>
        <v>2347.97</v>
      </c>
      <c r="T51" s="91">
        <f t="shared" si="21"/>
        <v>2041.9</v>
      </c>
      <c r="U51" s="91">
        <f t="shared" si="21"/>
        <v>1307.6</v>
      </c>
      <c r="V51" s="91">
        <f t="shared" si="21"/>
        <v>890.3</v>
      </c>
      <c r="W51" s="91">
        <f t="shared" si="21"/>
        <v>918.3</v>
      </c>
      <c r="X51" s="91">
        <f t="shared" si="21"/>
        <v>685.4</v>
      </c>
      <c r="Y51" s="91">
        <f t="shared" si="21"/>
        <v>1627.3</v>
      </c>
      <c r="Z51" s="91">
        <f t="shared" si="21"/>
        <v>0</v>
      </c>
      <c r="AA51" s="91">
        <f t="shared" si="21"/>
        <v>795.99</v>
      </c>
      <c r="AB51" s="91">
        <f t="shared" si="21"/>
        <v>0</v>
      </c>
      <c r="AC51" s="91">
        <f t="shared" si="21"/>
        <v>1655.73</v>
      </c>
      <c r="AD51" s="91">
        <f t="shared" si="21"/>
        <v>0</v>
      </c>
      <c r="AE51" s="76"/>
    </row>
    <row r="52" spans="1:31" s="77" customFormat="1" ht="19.5" customHeight="1">
      <c r="A52" s="78" t="s">
        <v>25</v>
      </c>
      <c r="B52" s="99"/>
      <c r="C52" s="91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76"/>
    </row>
    <row r="53" spans="1:31" s="77" customFormat="1" ht="19.5" customHeight="1">
      <c r="A53" s="78" t="s">
        <v>26</v>
      </c>
      <c r="B53" s="99"/>
      <c r="C53" s="91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76"/>
    </row>
    <row r="54" spans="1:31" s="77" customFormat="1" ht="99.75" customHeight="1">
      <c r="A54" s="80" t="s">
        <v>37</v>
      </c>
      <c r="B54" s="100">
        <f>B65</f>
        <v>7193.000000000001</v>
      </c>
      <c r="C54" s="100">
        <f>C65</f>
        <v>2607.9</v>
      </c>
      <c r="D54" s="100">
        <f>D65</f>
        <v>1849.4</v>
      </c>
      <c r="E54" s="100">
        <f aca="true" t="shared" si="22" ref="E54:E65">D54/B54*100</f>
        <v>25.71110802168775</v>
      </c>
      <c r="F54" s="95">
        <f>D54/C54*100</f>
        <v>70.91529583189539</v>
      </c>
      <c r="G54" s="95">
        <f aca="true" t="shared" si="23" ref="G54:AD54">G65</f>
        <v>0</v>
      </c>
      <c r="H54" s="95">
        <f t="shared" si="23"/>
        <v>0</v>
      </c>
      <c r="I54" s="95">
        <f t="shared" si="23"/>
        <v>299</v>
      </c>
      <c r="J54" s="95">
        <f t="shared" si="23"/>
        <v>200</v>
      </c>
      <c r="K54" s="95">
        <f t="shared" si="23"/>
        <v>0</v>
      </c>
      <c r="L54" s="95">
        <f t="shared" si="23"/>
        <v>99</v>
      </c>
      <c r="M54" s="95">
        <f t="shared" si="23"/>
        <v>0</v>
      </c>
      <c r="N54" s="95">
        <f t="shared" si="23"/>
        <v>0</v>
      </c>
      <c r="O54" s="95">
        <f t="shared" si="23"/>
        <v>0</v>
      </c>
      <c r="P54" s="95">
        <f t="shared" si="23"/>
        <v>0</v>
      </c>
      <c r="Q54" s="95">
        <f t="shared" si="23"/>
        <v>83.5</v>
      </c>
      <c r="R54" s="95">
        <f t="shared" si="23"/>
        <v>0</v>
      </c>
      <c r="S54" s="95">
        <f t="shared" si="23"/>
        <v>33.5</v>
      </c>
      <c r="T54" s="95">
        <f t="shared" si="23"/>
        <v>33.5</v>
      </c>
      <c r="U54" s="95">
        <f t="shared" si="23"/>
        <v>1663.7</v>
      </c>
      <c r="V54" s="95">
        <f t="shared" si="23"/>
        <v>1389.5</v>
      </c>
      <c r="W54" s="95">
        <f>W55+W56+W58+W59+W60+W61+W62+W63</f>
        <v>528.2</v>
      </c>
      <c r="X54" s="95">
        <f t="shared" si="23"/>
        <v>127.4</v>
      </c>
      <c r="Y54" s="95">
        <f t="shared" si="23"/>
        <v>491.8</v>
      </c>
      <c r="Z54" s="95">
        <f t="shared" si="23"/>
        <v>0</v>
      </c>
      <c r="AA54" s="95">
        <f t="shared" si="23"/>
        <v>3001.7</v>
      </c>
      <c r="AB54" s="95">
        <f t="shared" si="23"/>
        <v>0</v>
      </c>
      <c r="AC54" s="95">
        <f t="shared" si="23"/>
        <v>1091.6</v>
      </c>
      <c r="AD54" s="95">
        <f t="shared" si="23"/>
        <v>0</v>
      </c>
      <c r="AE54" s="76"/>
    </row>
    <row r="55" spans="1:31" s="77" customFormat="1" ht="105" customHeight="1">
      <c r="A55" s="81" t="s">
        <v>46</v>
      </c>
      <c r="B55" s="99">
        <f aca="true" t="shared" si="24" ref="B55:B63">G55+I55+K55+M55+O55+Q55+S55+U55+W55+Y55+AA55+AC55</f>
        <v>0</v>
      </c>
      <c r="C55" s="96">
        <f>G55+I55+K55+M55+O55+Q55+S55+U55+W55</f>
        <v>0</v>
      </c>
      <c r="D55" s="91">
        <f>H55+J55+L55</f>
        <v>0</v>
      </c>
      <c r="E55" s="110" t="e">
        <f t="shared" si="22"/>
        <v>#DIV/0!</v>
      </c>
      <c r="F55" s="91">
        <v>0</v>
      </c>
      <c r="G55" s="91">
        <v>0</v>
      </c>
      <c r="H55" s="91">
        <v>0</v>
      </c>
      <c r="I55" s="95"/>
      <c r="J55" s="95"/>
      <c r="K55" s="95"/>
      <c r="L55" s="95"/>
      <c r="M55" s="95"/>
      <c r="N55" s="95"/>
      <c r="O55" s="95"/>
      <c r="P55" s="95"/>
      <c r="Q55" s="91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78" t="s">
        <v>88</v>
      </c>
    </row>
    <row r="56" spans="1:31" s="77" customFormat="1" ht="378" customHeight="1">
      <c r="A56" s="107" t="s">
        <v>58</v>
      </c>
      <c r="B56" s="99">
        <f t="shared" si="24"/>
        <v>1043</v>
      </c>
      <c r="C56" s="91">
        <f>G56+I56+K56+M56+O56+Q56+S56+U56</f>
        <v>1043</v>
      </c>
      <c r="D56" s="91">
        <f aca="true" t="shared" si="25" ref="D56:D63">H56+J56+L56+N56+P56+R56+T56+V56+X56+Z56+AB56+AD56</f>
        <v>863</v>
      </c>
      <c r="E56" s="91">
        <f t="shared" si="22"/>
        <v>82.74209012464046</v>
      </c>
      <c r="F56" s="91">
        <f>D56/C56*100</f>
        <v>82.74209012464046</v>
      </c>
      <c r="G56" s="91">
        <v>0</v>
      </c>
      <c r="H56" s="95"/>
      <c r="I56" s="91">
        <v>299</v>
      </c>
      <c r="J56" s="91">
        <v>200</v>
      </c>
      <c r="K56" s="91"/>
      <c r="L56" s="91">
        <v>99</v>
      </c>
      <c r="M56" s="95"/>
      <c r="N56" s="95"/>
      <c r="O56" s="95"/>
      <c r="P56" s="95"/>
      <c r="Q56" s="91"/>
      <c r="R56" s="95"/>
      <c r="S56" s="95"/>
      <c r="T56" s="95"/>
      <c r="U56" s="91">
        <v>744</v>
      </c>
      <c r="V56" s="91">
        <v>472.2</v>
      </c>
      <c r="W56" s="95"/>
      <c r="X56" s="95">
        <v>91.8</v>
      </c>
      <c r="Y56" s="95"/>
      <c r="Z56" s="95"/>
      <c r="AA56" s="95"/>
      <c r="AB56" s="95"/>
      <c r="AC56" s="95"/>
      <c r="AD56" s="95"/>
      <c r="AE56" s="78" t="s">
        <v>81</v>
      </c>
    </row>
    <row r="57" spans="1:31" s="77" customFormat="1" ht="190.5" customHeight="1">
      <c r="A57" s="107" t="s">
        <v>72</v>
      </c>
      <c r="B57" s="99">
        <f t="shared" si="24"/>
        <v>886.4</v>
      </c>
      <c r="C57" s="91">
        <f aca="true" t="shared" si="26" ref="C57:C63">G57+I57+K57+M57+O57+Q57+S57+U57+W57</f>
        <v>886.4</v>
      </c>
      <c r="D57" s="91">
        <f t="shared" si="25"/>
        <v>886.4</v>
      </c>
      <c r="E57" s="91">
        <f t="shared" si="22"/>
        <v>100</v>
      </c>
      <c r="F57" s="91">
        <v>0</v>
      </c>
      <c r="G57" s="91">
        <v>0</v>
      </c>
      <c r="H57" s="95"/>
      <c r="I57" s="95"/>
      <c r="J57" s="95"/>
      <c r="K57" s="95"/>
      <c r="L57" s="95"/>
      <c r="M57" s="95"/>
      <c r="N57" s="95"/>
      <c r="O57" s="95"/>
      <c r="P57" s="95"/>
      <c r="Q57" s="91"/>
      <c r="R57" s="95"/>
      <c r="S57" s="95"/>
      <c r="T57" s="95"/>
      <c r="U57" s="91">
        <v>886.4</v>
      </c>
      <c r="V57" s="91">
        <v>886.4</v>
      </c>
      <c r="W57" s="95"/>
      <c r="X57" s="95"/>
      <c r="Y57" s="95"/>
      <c r="Z57" s="95"/>
      <c r="AA57" s="95"/>
      <c r="AB57" s="95"/>
      <c r="AC57" s="95"/>
      <c r="AD57" s="95"/>
      <c r="AE57" s="78" t="s">
        <v>89</v>
      </c>
    </row>
    <row r="58" spans="1:31" s="77" customFormat="1" ht="74.25" customHeight="1">
      <c r="A58" s="107" t="s">
        <v>74</v>
      </c>
      <c r="B58" s="99">
        <f t="shared" si="24"/>
        <v>495</v>
      </c>
      <c r="C58" s="91">
        <f t="shared" si="26"/>
        <v>495</v>
      </c>
      <c r="D58" s="91">
        <f t="shared" si="25"/>
        <v>0</v>
      </c>
      <c r="E58" s="91">
        <f t="shared" si="22"/>
        <v>0</v>
      </c>
      <c r="F58" s="91">
        <v>0</v>
      </c>
      <c r="G58" s="91">
        <v>0</v>
      </c>
      <c r="H58" s="95"/>
      <c r="I58" s="95"/>
      <c r="J58" s="95"/>
      <c r="K58" s="95"/>
      <c r="L58" s="95"/>
      <c r="M58" s="95"/>
      <c r="N58" s="95"/>
      <c r="O58" s="95"/>
      <c r="P58" s="95"/>
      <c r="Q58" s="91"/>
      <c r="R58" s="95"/>
      <c r="S58" s="95"/>
      <c r="T58" s="95"/>
      <c r="U58" s="91"/>
      <c r="V58" s="95"/>
      <c r="W58" s="91">
        <v>495</v>
      </c>
      <c r="X58" s="95"/>
      <c r="Y58" s="95"/>
      <c r="Z58" s="95"/>
      <c r="AA58" s="95"/>
      <c r="AB58" s="95"/>
      <c r="AC58" s="95"/>
      <c r="AD58" s="95"/>
      <c r="AE58" s="78" t="s">
        <v>90</v>
      </c>
    </row>
    <row r="59" spans="1:31" s="77" customFormat="1" ht="51" customHeight="1">
      <c r="A59" s="107" t="s">
        <v>76</v>
      </c>
      <c r="B59" s="99">
        <f t="shared" si="24"/>
        <v>491.8</v>
      </c>
      <c r="C59" s="91">
        <f t="shared" si="26"/>
        <v>0</v>
      </c>
      <c r="D59" s="91">
        <f t="shared" si="25"/>
        <v>0</v>
      </c>
      <c r="E59" s="91">
        <f aca="true" t="shared" si="27" ref="E59:E64">D59/B59*100</f>
        <v>0</v>
      </c>
      <c r="F59" s="91">
        <v>0</v>
      </c>
      <c r="G59" s="91">
        <v>0</v>
      </c>
      <c r="H59" s="95"/>
      <c r="I59" s="95"/>
      <c r="J59" s="95"/>
      <c r="K59" s="95"/>
      <c r="L59" s="95"/>
      <c r="M59" s="95"/>
      <c r="N59" s="95"/>
      <c r="O59" s="95"/>
      <c r="P59" s="95"/>
      <c r="Q59" s="91"/>
      <c r="R59" s="95"/>
      <c r="S59" s="95"/>
      <c r="T59" s="95"/>
      <c r="U59" s="91"/>
      <c r="V59" s="95"/>
      <c r="W59" s="91"/>
      <c r="X59" s="95"/>
      <c r="Y59" s="91">
        <v>491.8</v>
      </c>
      <c r="Z59" s="95"/>
      <c r="AA59" s="95"/>
      <c r="AB59" s="95"/>
      <c r="AC59" s="95"/>
      <c r="AD59" s="95"/>
      <c r="AE59" s="78" t="s">
        <v>93</v>
      </c>
    </row>
    <row r="60" spans="1:31" s="77" customFormat="1" ht="83.25" customHeight="1">
      <c r="A60" s="107" t="s">
        <v>77</v>
      </c>
      <c r="B60" s="99">
        <f t="shared" si="24"/>
        <v>100</v>
      </c>
      <c r="C60" s="91">
        <f t="shared" si="26"/>
        <v>100</v>
      </c>
      <c r="D60" s="91">
        <f t="shared" si="25"/>
        <v>100</v>
      </c>
      <c r="E60" s="91">
        <f t="shared" si="27"/>
        <v>100</v>
      </c>
      <c r="F60" s="91">
        <f>D60/C60*100</f>
        <v>100</v>
      </c>
      <c r="G60" s="91">
        <v>0</v>
      </c>
      <c r="H60" s="95"/>
      <c r="I60" s="95"/>
      <c r="J60" s="95"/>
      <c r="K60" s="95"/>
      <c r="L60" s="95"/>
      <c r="M60" s="95"/>
      <c r="N60" s="95"/>
      <c r="O60" s="95"/>
      <c r="P60" s="95"/>
      <c r="Q60" s="91"/>
      <c r="R60" s="95"/>
      <c r="S60" s="91">
        <v>33.5</v>
      </c>
      <c r="T60" s="91">
        <v>33.5</v>
      </c>
      <c r="U60" s="91">
        <v>33.3</v>
      </c>
      <c r="V60" s="91">
        <v>30.9</v>
      </c>
      <c r="W60" s="91">
        <v>33.2</v>
      </c>
      <c r="X60" s="91">
        <v>35.6</v>
      </c>
      <c r="Y60" s="91"/>
      <c r="Z60" s="95"/>
      <c r="AA60" s="95"/>
      <c r="AB60" s="95"/>
      <c r="AC60" s="95"/>
      <c r="AD60" s="95"/>
      <c r="AE60" s="78" t="s">
        <v>91</v>
      </c>
    </row>
    <row r="61" spans="1:31" s="77" customFormat="1" ht="130.5" customHeight="1">
      <c r="A61" s="107" t="s">
        <v>78</v>
      </c>
      <c r="B61" s="99">
        <f t="shared" si="24"/>
        <v>901.7</v>
      </c>
      <c r="C61" s="91">
        <f t="shared" si="26"/>
        <v>0</v>
      </c>
      <c r="D61" s="91">
        <f t="shared" si="25"/>
        <v>0</v>
      </c>
      <c r="E61" s="91">
        <f t="shared" si="27"/>
        <v>0</v>
      </c>
      <c r="F61" s="91">
        <v>0</v>
      </c>
      <c r="G61" s="91">
        <v>0</v>
      </c>
      <c r="H61" s="95"/>
      <c r="I61" s="95"/>
      <c r="J61" s="95"/>
      <c r="K61" s="95"/>
      <c r="L61" s="95"/>
      <c r="M61" s="95"/>
      <c r="N61" s="95"/>
      <c r="O61" s="95"/>
      <c r="P61" s="95"/>
      <c r="Q61" s="91"/>
      <c r="R61" s="95"/>
      <c r="S61" s="91"/>
      <c r="T61" s="95"/>
      <c r="U61" s="91"/>
      <c r="V61" s="95"/>
      <c r="W61" s="91"/>
      <c r="X61" s="95"/>
      <c r="Y61" s="91"/>
      <c r="Z61" s="95"/>
      <c r="AA61" s="91">
        <v>901.7</v>
      </c>
      <c r="AB61" s="95"/>
      <c r="AC61" s="95"/>
      <c r="AD61" s="95"/>
      <c r="AE61" s="78" t="s">
        <v>92</v>
      </c>
    </row>
    <row r="62" spans="1:31" s="77" customFormat="1" ht="43.5" customHeight="1">
      <c r="A62" s="107" t="s">
        <v>79</v>
      </c>
      <c r="B62" s="99">
        <f t="shared" si="24"/>
        <v>2850</v>
      </c>
      <c r="C62" s="91">
        <f t="shared" si="26"/>
        <v>0</v>
      </c>
      <c r="D62" s="91">
        <f t="shared" si="25"/>
        <v>0</v>
      </c>
      <c r="E62" s="91">
        <f t="shared" si="27"/>
        <v>0</v>
      </c>
      <c r="F62" s="91">
        <v>0</v>
      </c>
      <c r="G62" s="91">
        <v>0</v>
      </c>
      <c r="H62" s="95"/>
      <c r="I62" s="95"/>
      <c r="J62" s="95"/>
      <c r="K62" s="95"/>
      <c r="L62" s="95"/>
      <c r="M62" s="95"/>
      <c r="N62" s="95"/>
      <c r="O62" s="95"/>
      <c r="P62" s="95"/>
      <c r="Q62" s="91"/>
      <c r="R62" s="95"/>
      <c r="S62" s="91"/>
      <c r="T62" s="95"/>
      <c r="U62" s="91"/>
      <c r="V62" s="95"/>
      <c r="W62" s="91"/>
      <c r="X62" s="95"/>
      <c r="Y62" s="91">
        <v>0</v>
      </c>
      <c r="Z62" s="95"/>
      <c r="AA62" s="91">
        <v>2100</v>
      </c>
      <c r="AB62" s="95"/>
      <c r="AC62" s="91">
        <v>750</v>
      </c>
      <c r="AD62" s="95"/>
      <c r="AE62" s="78"/>
    </row>
    <row r="63" spans="1:31" s="77" customFormat="1" ht="39" customHeight="1">
      <c r="A63" s="107" t="s">
        <v>80</v>
      </c>
      <c r="B63" s="99">
        <f t="shared" si="24"/>
        <v>341.6</v>
      </c>
      <c r="C63" s="91">
        <f t="shared" si="26"/>
        <v>0</v>
      </c>
      <c r="D63" s="91">
        <f t="shared" si="25"/>
        <v>0</v>
      </c>
      <c r="E63" s="91">
        <f t="shared" si="27"/>
        <v>0</v>
      </c>
      <c r="F63" s="91">
        <v>0</v>
      </c>
      <c r="G63" s="91">
        <v>0</v>
      </c>
      <c r="H63" s="95"/>
      <c r="I63" s="95"/>
      <c r="J63" s="95"/>
      <c r="K63" s="95"/>
      <c r="L63" s="95"/>
      <c r="M63" s="95"/>
      <c r="N63" s="95"/>
      <c r="O63" s="95"/>
      <c r="P63" s="95"/>
      <c r="Q63" s="91"/>
      <c r="R63" s="95"/>
      <c r="S63" s="91"/>
      <c r="T63" s="95"/>
      <c r="U63" s="91"/>
      <c r="V63" s="95"/>
      <c r="W63" s="91"/>
      <c r="X63" s="95"/>
      <c r="Y63" s="91"/>
      <c r="Z63" s="95"/>
      <c r="AA63" s="91"/>
      <c r="AB63" s="95"/>
      <c r="AC63" s="91">
        <v>341.6</v>
      </c>
      <c r="AD63" s="95"/>
      <c r="AE63" s="78"/>
    </row>
    <row r="64" spans="1:31" s="77" customFormat="1" ht="115.5" customHeight="1">
      <c r="A64" s="107" t="s">
        <v>94</v>
      </c>
      <c r="B64" s="99">
        <f>G64+I64+K64+M64+O64+Q64+S64+U64+W64+Y64+AA64+AC64</f>
        <v>83.5</v>
      </c>
      <c r="C64" s="91">
        <f>G64+I64+K64+M64+O64+Q64+S64+U64+W64</f>
        <v>83.5</v>
      </c>
      <c r="D64" s="91">
        <f>H64+J64+L64+N64+P64+R64+T64+V64+X64+Z64+AB64+AD64</f>
        <v>0</v>
      </c>
      <c r="E64" s="91">
        <f t="shared" si="27"/>
        <v>0</v>
      </c>
      <c r="F64" s="91">
        <v>0</v>
      </c>
      <c r="G64" s="91">
        <v>0</v>
      </c>
      <c r="H64" s="95"/>
      <c r="I64" s="95"/>
      <c r="J64" s="95"/>
      <c r="K64" s="95"/>
      <c r="L64" s="95"/>
      <c r="M64" s="95"/>
      <c r="N64" s="95"/>
      <c r="O64" s="95"/>
      <c r="P64" s="95"/>
      <c r="Q64" s="91">
        <v>83.5</v>
      </c>
      <c r="R64" s="95"/>
      <c r="S64" s="91"/>
      <c r="T64" s="95"/>
      <c r="U64" s="91"/>
      <c r="V64" s="95"/>
      <c r="W64" s="91"/>
      <c r="X64" s="95"/>
      <c r="Y64" s="91"/>
      <c r="Z64" s="95"/>
      <c r="AA64" s="91"/>
      <c r="AB64" s="95"/>
      <c r="AC64" s="91"/>
      <c r="AD64" s="95"/>
      <c r="AE64" s="78" t="s">
        <v>95</v>
      </c>
    </row>
    <row r="65" spans="1:31" s="77" customFormat="1" ht="19.5" customHeight="1">
      <c r="A65" s="104" t="s">
        <v>60</v>
      </c>
      <c r="B65" s="100">
        <f>B55+B56+B57+B58+B59+B60+B61+B62+B63+B64</f>
        <v>7193.000000000001</v>
      </c>
      <c r="C65" s="100">
        <f>C55+C56+C57+C58+C59+C60+C61+C62+C63+C64</f>
        <v>2607.9</v>
      </c>
      <c r="D65" s="100">
        <f>D55+D56+D57+D58+D59+D60+D61+D62+D63+D64</f>
        <v>1849.4</v>
      </c>
      <c r="E65" s="95">
        <f t="shared" si="22"/>
        <v>25.71110802168775</v>
      </c>
      <c r="F65" s="95">
        <v>0</v>
      </c>
      <c r="G65" s="100">
        <f>G55+G56+G57+G58+G59+G60+G61+G62+G63+G64</f>
        <v>0</v>
      </c>
      <c r="H65" s="100">
        <f aca="true" t="shared" si="28" ref="H65:AD65">H55+H56+H57+H58+H59+H60+H61+H62+H63+H64</f>
        <v>0</v>
      </c>
      <c r="I65" s="100">
        <f t="shared" si="28"/>
        <v>299</v>
      </c>
      <c r="J65" s="100">
        <f t="shared" si="28"/>
        <v>200</v>
      </c>
      <c r="K65" s="100">
        <f t="shared" si="28"/>
        <v>0</v>
      </c>
      <c r="L65" s="100">
        <f t="shared" si="28"/>
        <v>99</v>
      </c>
      <c r="M65" s="100">
        <f t="shared" si="28"/>
        <v>0</v>
      </c>
      <c r="N65" s="100">
        <f t="shared" si="28"/>
        <v>0</v>
      </c>
      <c r="O65" s="100">
        <f t="shared" si="28"/>
        <v>0</v>
      </c>
      <c r="P65" s="100">
        <f t="shared" si="28"/>
        <v>0</v>
      </c>
      <c r="Q65" s="100">
        <f t="shared" si="28"/>
        <v>83.5</v>
      </c>
      <c r="R65" s="100">
        <f t="shared" si="28"/>
        <v>0</v>
      </c>
      <c r="S65" s="100">
        <f t="shared" si="28"/>
        <v>33.5</v>
      </c>
      <c r="T65" s="100">
        <f t="shared" si="28"/>
        <v>33.5</v>
      </c>
      <c r="U65" s="100">
        <f t="shared" si="28"/>
        <v>1663.7</v>
      </c>
      <c r="V65" s="100">
        <f t="shared" si="28"/>
        <v>1389.5</v>
      </c>
      <c r="W65" s="100">
        <f t="shared" si="28"/>
        <v>528.2</v>
      </c>
      <c r="X65" s="100">
        <f t="shared" si="28"/>
        <v>127.4</v>
      </c>
      <c r="Y65" s="100">
        <f t="shared" si="28"/>
        <v>491.8</v>
      </c>
      <c r="Z65" s="100">
        <f t="shared" si="28"/>
        <v>0</v>
      </c>
      <c r="AA65" s="100">
        <f t="shared" si="28"/>
        <v>3001.7</v>
      </c>
      <c r="AB65" s="100">
        <f t="shared" si="28"/>
        <v>0</v>
      </c>
      <c r="AC65" s="100">
        <f t="shared" si="28"/>
        <v>1091.6</v>
      </c>
      <c r="AD65" s="100">
        <f t="shared" si="28"/>
        <v>0</v>
      </c>
      <c r="AE65" s="76"/>
    </row>
    <row r="66" spans="1:31" s="77" customFormat="1" ht="18.75">
      <c r="A66" s="78" t="s">
        <v>23</v>
      </c>
      <c r="B66" s="99"/>
      <c r="C66" s="91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76"/>
    </row>
    <row r="67" spans="1:31" s="77" customFormat="1" ht="18.75">
      <c r="A67" s="78" t="s">
        <v>24</v>
      </c>
      <c r="B67" s="99">
        <f>B65</f>
        <v>7193.000000000001</v>
      </c>
      <c r="C67" s="99">
        <f>C65</f>
        <v>2607.9</v>
      </c>
      <c r="D67" s="99">
        <f>D65</f>
        <v>1849.4</v>
      </c>
      <c r="E67" s="91">
        <f>D67/B67*100</f>
        <v>25.71110802168775</v>
      </c>
      <c r="F67" s="91">
        <f>D67/C67*100</f>
        <v>70.91529583189539</v>
      </c>
      <c r="G67" s="91">
        <v>0</v>
      </c>
      <c r="H67" s="91">
        <v>0</v>
      </c>
      <c r="I67" s="91">
        <f>I65</f>
        <v>299</v>
      </c>
      <c r="J67" s="91">
        <f>J65</f>
        <v>200</v>
      </c>
      <c r="K67" s="91">
        <f aca="true" t="shared" si="29" ref="K67:AD67">K65</f>
        <v>0</v>
      </c>
      <c r="L67" s="91">
        <f t="shared" si="29"/>
        <v>99</v>
      </c>
      <c r="M67" s="91">
        <f t="shared" si="29"/>
        <v>0</v>
      </c>
      <c r="N67" s="91">
        <f t="shared" si="29"/>
        <v>0</v>
      </c>
      <c r="O67" s="91">
        <f t="shared" si="29"/>
        <v>0</v>
      </c>
      <c r="P67" s="91">
        <f t="shared" si="29"/>
        <v>0</v>
      </c>
      <c r="Q67" s="91">
        <f t="shared" si="29"/>
        <v>83.5</v>
      </c>
      <c r="R67" s="91">
        <f t="shared" si="29"/>
        <v>0</v>
      </c>
      <c r="S67" s="91">
        <f t="shared" si="29"/>
        <v>33.5</v>
      </c>
      <c r="T67" s="91">
        <f t="shared" si="29"/>
        <v>33.5</v>
      </c>
      <c r="U67" s="91">
        <f t="shared" si="29"/>
        <v>1663.7</v>
      </c>
      <c r="V67" s="91">
        <f t="shared" si="29"/>
        <v>1389.5</v>
      </c>
      <c r="W67" s="91">
        <f t="shared" si="29"/>
        <v>528.2</v>
      </c>
      <c r="X67" s="91">
        <f t="shared" si="29"/>
        <v>127.4</v>
      </c>
      <c r="Y67" s="91">
        <f t="shared" si="29"/>
        <v>491.8</v>
      </c>
      <c r="Z67" s="91">
        <f t="shared" si="29"/>
        <v>0</v>
      </c>
      <c r="AA67" s="91">
        <f t="shared" si="29"/>
        <v>3001.7</v>
      </c>
      <c r="AB67" s="91">
        <f t="shared" si="29"/>
        <v>0</v>
      </c>
      <c r="AC67" s="91">
        <f t="shared" si="29"/>
        <v>1091.6</v>
      </c>
      <c r="AD67" s="91">
        <f t="shared" si="29"/>
        <v>0</v>
      </c>
      <c r="AE67" s="76"/>
    </row>
    <row r="68" spans="1:31" s="77" customFormat="1" ht="18.75">
      <c r="A68" s="78" t="s">
        <v>25</v>
      </c>
      <c r="B68" s="99"/>
      <c r="C68" s="91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76"/>
    </row>
    <row r="69" spans="1:31" s="77" customFormat="1" ht="18.75">
      <c r="A69" s="78" t="s">
        <v>26</v>
      </c>
      <c r="B69" s="99"/>
      <c r="C69" s="91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76"/>
    </row>
    <row r="70" spans="1:31" s="77" customFormat="1" ht="18.75">
      <c r="A70" s="104" t="s">
        <v>65</v>
      </c>
      <c r="B70" s="95">
        <f>B65+B49</f>
        <v>28063.81</v>
      </c>
      <c r="C70" s="95">
        <f>C65+C49</f>
        <v>19399.690000000002</v>
      </c>
      <c r="D70" s="95">
        <f>D65+D49</f>
        <v>17367.219999999998</v>
      </c>
      <c r="E70" s="95">
        <f>D70/B70*100</f>
        <v>61.88475477848516</v>
      </c>
      <c r="F70" s="95">
        <v>0</v>
      </c>
      <c r="G70" s="95">
        <f>G65+G49</f>
        <v>3478.7</v>
      </c>
      <c r="H70" s="95">
        <f>H65+H49</f>
        <v>3246.6</v>
      </c>
      <c r="I70" s="95">
        <f>I65+I49</f>
        <v>2063.9</v>
      </c>
      <c r="J70" s="95">
        <f>J65+J49</f>
        <v>2136.6</v>
      </c>
      <c r="K70" s="95">
        <v>1971.7</v>
      </c>
      <c r="L70" s="95">
        <v>1972.7</v>
      </c>
      <c r="M70" s="95">
        <v>1973.7</v>
      </c>
      <c r="N70" s="95">
        <v>1974.7</v>
      </c>
      <c r="O70" s="95">
        <v>1975.7</v>
      </c>
      <c r="P70" s="95">
        <f>P65+P49</f>
        <v>1639.3</v>
      </c>
      <c r="Q70" s="95">
        <f aca="true" t="shared" si="30" ref="Q70:AD70">Q65+Q49</f>
        <v>1796.42</v>
      </c>
      <c r="R70" s="95">
        <f t="shared" si="30"/>
        <v>1517.02</v>
      </c>
      <c r="S70" s="95">
        <f t="shared" si="30"/>
        <v>2381.47</v>
      </c>
      <c r="T70" s="95">
        <f t="shared" si="30"/>
        <v>2075.4</v>
      </c>
      <c r="U70" s="95">
        <f t="shared" si="30"/>
        <v>2971.3</v>
      </c>
      <c r="V70" s="95">
        <f t="shared" si="30"/>
        <v>2279.8</v>
      </c>
      <c r="W70" s="95">
        <f t="shared" si="30"/>
        <v>1446.5</v>
      </c>
      <c r="X70" s="95">
        <f t="shared" si="30"/>
        <v>812.8</v>
      </c>
      <c r="Y70" s="95">
        <f t="shared" si="30"/>
        <v>2119.1</v>
      </c>
      <c r="Z70" s="95">
        <f t="shared" si="30"/>
        <v>0</v>
      </c>
      <c r="AA70" s="95">
        <f t="shared" si="30"/>
        <v>3797.6899999999996</v>
      </c>
      <c r="AB70" s="95">
        <f t="shared" si="30"/>
        <v>0</v>
      </c>
      <c r="AC70" s="95">
        <f t="shared" si="30"/>
        <v>2747.33</v>
      </c>
      <c r="AD70" s="95">
        <f t="shared" si="30"/>
        <v>0</v>
      </c>
      <c r="AE70" s="76"/>
    </row>
    <row r="71" spans="1:31" s="77" customFormat="1" ht="18.75">
      <c r="A71" s="78" t="s">
        <v>23</v>
      </c>
      <c r="B71" s="99"/>
      <c r="C71" s="91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76"/>
    </row>
    <row r="72" spans="1:31" s="77" customFormat="1" ht="18.75">
      <c r="A72" s="78" t="s">
        <v>24</v>
      </c>
      <c r="B72" s="91">
        <f>B70</f>
        <v>28063.81</v>
      </c>
      <c r="C72" s="91">
        <f>C70</f>
        <v>19399.690000000002</v>
      </c>
      <c r="D72" s="91">
        <f>D70</f>
        <v>17367.219999999998</v>
      </c>
      <c r="E72" s="91">
        <f>D72/B72*100</f>
        <v>61.88475477848516</v>
      </c>
      <c r="F72" s="91">
        <f>D72/C72*100</f>
        <v>89.52318310241037</v>
      </c>
      <c r="G72" s="91">
        <f>G70</f>
        <v>3478.7</v>
      </c>
      <c r="H72" s="91">
        <f>H70</f>
        <v>3246.6</v>
      </c>
      <c r="I72" s="91">
        <f>I70</f>
        <v>2063.9</v>
      </c>
      <c r="J72" s="91">
        <f>J70</f>
        <v>2136.6</v>
      </c>
      <c r="K72" s="91">
        <f>K70</f>
        <v>1971.7</v>
      </c>
      <c r="L72" s="91">
        <f aca="true" t="shared" si="31" ref="L72:AD72">L70</f>
        <v>1972.7</v>
      </c>
      <c r="M72" s="91">
        <f t="shared" si="31"/>
        <v>1973.7</v>
      </c>
      <c r="N72" s="91">
        <f t="shared" si="31"/>
        <v>1974.7</v>
      </c>
      <c r="O72" s="91">
        <f t="shared" si="31"/>
        <v>1975.7</v>
      </c>
      <c r="P72" s="91">
        <f t="shared" si="31"/>
        <v>1639.3</v>
      </c>
      <c r="Q72" s="91">
        <f t="shared" si="31"/>
        <v>1796.42</v>
      </c>
      <c r="R72" s="91">
        <f t="shared" si="31"/>
        <v>1517.02</v>
      </c>
      <c r="S72" s="91">
        <f t="shared" si="31"/>
        <v>2381.47</v>
      </c>
      <c r="T72" s="91">
        <f t="shared" si="31"/>
        <v>2075.4</v>
      </c>
      <c r="U72" s="91">
        <f t="shared" si="31"/>
        <v>2971.3</v>
      </c>
      <c r="V72" s="91">
        <f>V70</f>
        <v>2279.8</v>
      </c>
      <c r="W72" s="91">
        <f t="shared" si="31"/>
        <v>1446.5</v>
      </c>
      <c r="X72" s="91">
        <f t="shared" si="31"/>
        <v>812.8</v>
      </c>
      <c r="Y72" s="91">
        <f t="shared" si="31"/>
        <v>2119.1</v>
      </c>
      <c r="Z72" s="91">
        <f t="shared" si="31"/>
        <v>0</v>
      </c>
      <c r="AA72" s="91">
        <f t="shared" si="31"/>
        <v>3797.6899999999996</v>
      </c>
      <c r="AB72" s="91">
        <f t="shared" si="31"/>
        <v>0</v>
      </c>
      <c r="AC72" s="91">
        <f t="shared" si="31"/>
        <v>2747.33</v>
      </c>
      <c r="AD72" s="91">
        <f t="shared" si="31"/>
        <v>0</v>
      </c>
      <c r="AE72" s="76"/>
    </row>
    <row r="73" spans="1:31" s="77" customFormat="1" ht="18.75">
      <c r="A73" s="78" t="s">
        <v>25</v>
      </c>
      <c r="B73" s="99"/>
      <c r="C73" s="91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76"/>
    </row>
    <row r="74" spans="1:31" s="77" customFormat="1" ht="18.75">
      <c r="A74" s="78" t="s">
        <v>26</v>
      </c>
      <c r="B74" s="99"/>
      <c r="C74" s="91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76"/>
    </row>
    <row r="75" spans="1:31" ht="18.75">
      <c r="A75" s="104" t="s">
        <v>67</v>
      </c>
      <c r="B75" s="95">
        <f>B70+B41+B33</f>
        <v>126125.31383</v>
      </c>
      <c r="C75" s="95">
        <f>C70+C41+C33</f>
        <v>89171.98383</v>
      </c>
      <c r="D75" s="95">
        <f>D70+D41+D33</f>
        <v>64707.55081999999</v>
      </c>
      <c r="E75" s="95">
        <f>D75/B75*100</f>
        <v>51.30417428115746</v>
      </c>
      <c r="F75" s="95">
        <f>D75/C75*100</f>
        <v>72.56488870244301</v>
      </c>
      <c r="G75" s="95">
        <f>G70+G41+G33</f>
        <v>8109.322999999999</v>
      </c>
      <c r="H75" s="95">
        <f>H70+H41+H33</f>
        <v>6213.03629</v>
      </c>
      <c r="I75" s="95">
        <f>I70+I41+I33</f>
        <v>9171.35083</v>
      </c>
      <c r="J75" s="95">
        <f>J70+J41+J33</f>
        <v>8476.82953</v>
      </c>
      <c r="K75" s="95">
        <f>K8+K38+K46</f>
        <v>6732.35</v>
      </c>
      <c r="L75" s="95">
        <f aca="true" t="shared" si="32" ref="L75:AD75">L70+L41+L33</f>
        <v>7150.5</v>
      </c>
      <c r="M75" s="95">
        <f>M8+M38+M46</f>
        <v>8604.41</v>
      </c>
      <c r="N75" s="95">
        <f t="shared" si="32"/>
        <v>7278.5199999999995</v>
      </c>
      <c r="O75" s="95">
        <f>O8+O38+O46</f>
        <v>6733.59</v>
      </c>
      <c r="P75" s="95">
        <f t="shared" si="32"/>
        <v>7462.4</v>
      </c>
      <c r="Q75" s="95">
        <f t="shared" si="32"/>
        <v>6134.900000000001</v>
      </c>
      <c r="R75" s="95">
        <f t="shared" si="32"/>
        <v>6321.605</v>
      </c>
      <c r="S75" s="95">
        <f t="shared" si="32"/>
        <v>6422.119999999999</v>
      </c>
      <c r="T75" s="95">
        <f t="shared" si="32"/>
        <v>6581.5</v>
      </c>
      <c r="U75" s="95">
        <f t="shared" si="32"/>
        <v>11323.02</v>
      </c>
      <c r="V75" s="95">
        <f t="shared" si="32"/>
        <v>5370.92</v>
      </c>
      <c r="W75" s="95">
        <f>W8+W38+W46</f>
        <v>25940.92</v>
      </c>
      <c r="X75" s="95">
        <f t="shared" si="32"/>
        <v>10139.94</v>
      </c>
      <c r="Y75" s="95">
        <f>Y8+Y38+Y46</f>
        <v>17038.72</v>
      </c>
      <c r="Z75" s="95">
        <f t="shared" si="32"/>
        <v>0</v>
      </c>
      <c r="AA75" s="95">
        <f t="shared" si="32"/>
        <v>9567.71</v>
      </c>
      <c r="AB75" s="95">
        <f t="shared" si="32"/>
        <v>0</v>
      </c>
      <c r="AC75" s="95">
        <f t="shared" si="32"/>
        <v>10346.9</v>
      </c>
      <c r="AD75" s="95">
        <f t="shared" si="32"/>
        <v>0</v>
      </c>
      <c r="AE75" s="76"/>
    </row>
    <row r="76" spans="1:31" s="77" customFormat="1" ht="18.75">
      <c r="A76" s="78" t="s">
        <v>23</v>
      </c>
      <c r="B76" s="99"/>
      <c r="C76" s="91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76"/>
    </row>
    <row r="77" spans="1:31" s="77" customFormat="1" ht="18.75">
      <c r="A77" s="78" t="s">
        <v>24</v>
      </c>
      <c r="B77" s="91">
        <f>B75</f>
        <v>126125.31383</v>
      </c>
      <c r="C77" s="91">
        <f>C75</f>
        <v>89171.98383</v>
      </c>
      <c r="D77" s="91">
        <f>D75</f>
        <v>64707.55081999999</v>
      </c>
      <c r="E77" s="91">
        <f>D77/B77*100</f>
        <v>51.30417428115746</v>
      </c>
      <c r="F77" s="91">
        <f>D77/C77*100</f>
        <v>72.56488870244301</v>
      </c>
      <c r="G77" s="91">
        <f>G75</f>
        <v>8109.322999999999</v>
      </c>
      <c r="H77" s="91">
        <f>H75</f>
        <v>6213.03629</v>
      </c>
      <c r="I77" s="91">
        <f>I75</f>
        <v>9171.35083</v>
      </c>
      <c r="J77" s="91">
        <f>J75</f>
        <v>8476.82953</v>
      </c>
      <c r="K77" s="91">
        <f>K10+K17+K18+K25+K26+K27+K48</f>
        <v>6732.350000000001</v>
      </c>
      <c r="L77" s="91">
        <f aca="true" t="shared" si="33" ref="L77:AD77">L75</f>
        <v>7150.5</v>
      </c>
      <c r="M77" s="91">
        <f>M10+M17+M18+M25+M26+M27+M48</f>
        <v>8604.41</v>
      </c>
      <c r="N77" s="91">
        <f t="shared" si="33"/>
        <v>7278.5199999999995</v>
      </c>
      <c r="O77" s="91">
        <f>O10+O17+O18+O25+O26+O27+O48</f>
        <v>6733.590000000001</v>
      </c>
      <c r="P77" s="91">
        <f t="shared" si="33"/>
        <v>7462.4</v>
      </c>
      <c r="Q77" s="91">
        <f t="shared" si="33"/>
        <v>6134.900000000001</v>
      </c>
      <c r="R77" s="91">
        <f t="shared" si="33"/>
        <v>6321.605</v>
      </c>
      <c r="S77" s="91">
        <f t="shared" si="33"/>
        <v>6422.119999999999</v>
      </c>
      <c r="T77" s="91">
        <f t="shared" si="33"/>
        <v>6581.5</v>
      </c>
      <c r="U77" s="91">
        <f t="shared" si="33"/>
        <v>11323.02</v>
      </c>
      <c r="V77" s="91">
        <f t="shared" si="33"/>
        <v>5370.92</v>
      </c>
      <c r="W77" s="91">
        <f>W10+W17+W18+W25+W26+W27+W48+W58+W60</f>
        <v>25940.919999999995</v>
      </c>
      <c r="X77" s="91">
        <f t="shared" si="33"/>
        <v>10139.94</v>
      </c>
      <c r="Y77" s="91">
        <f>Y10+Y17+Y18+Y25+Y26+Y27+Y48+Y58+Y60+Y59</f>
        <v>17038.72</v>
      </c>
      <c r="Z77" s="91">
        <f t="shared" si="33"/>
        <v>0</v>
      </c>
      <c r="AA77" s="91">
        <f t="shared" si="33"/>
        <v>9567.71</v>
      </c>
      <c r="AB77" s="91">
        <f t="shared" si="33"/>
        <v>0</v>
      </c>
      <c r="AC77" s="91">
        <f t="shared" si="33"/>
        <v>10346.9</v>
      </c>
      <c r="AD77" s="91">
        <f t="shared" si="33"/>
        <v>0</v>
      </c>
      <c r="AE77" s="76"/>
    </row>
    <row r="78" spans="1:31" s="77" customFormat="1" ht="18.75">
      <c r="A78" s="78" t="s">
        <v>25</v>
      </c>
      <c r="B78" s="99"/>
      <c r="C78" s="91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76"/>
    </row>
    <row r="79" spans="1:31" s="77" customFormat="1" ht="18.75">
      <c r="A79" s="78" t="s">
        <v>26</v>
      </c>
      <c r="B79" s="99"/>
      <c r="C79" s="91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76"/>
    </row>
    <row r="80" ht="26.25" customHeight="1">
      <c r="B80" s="82"/>
    </row>
    <row r="81" spans="1:43" ht="21.75" customHeight="1">
      <c r="A81" s="139"/>
      <c r="B81" s="139"/>
      <c r="C81" s="139"/>
      <c r="D81" s="139"/>
      <c r="E81" s="62"/>
      <c r="F81" s="62"/>
      <c r="G81" s="61"/>
      <c r="H81" s="61"/>
      <c r="I81" s="61"/>
      <c r="J81" s="61"/>
      <c r="K81" s="61"/>
      <c r="L81" s="61"/>
      <c r="M81" s="61"/>
      <c r="N81" s="61"/>
      <c r="O81" s="61"/>
      <c r="P81" s="83"/>
      <c r="Q81" s="61"/>
      <c r="R81" s="61"/>
      <c r="S81" s="7"/>
      <c r="T81" s="7"/>
      <c r="U81" s="137" t="s">
        <v>68</v>
      </c>
      <c r="V81" s="137"/>
      <c r="W81" s="7"/>
      <c r="X81" s="1"/>
      <c r="Y81" s="1"/>
      <c r="Z81" s="118" t="s">
        <v>51</v>
      </c>
      <c r="AA81" s="118"/>
      <c r="AB81" s="7"/>
      <c r="AC81" s="63"/>
      <c r="AD81" s="63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0"/>
    </row>
    <row r="82" spans="3:43" ht="19.5" customHeight="1">
      <c r="C82" s="60"/>
      <c r="D82" s="60"/>
      <c r="E82" s="60"/>
      <c r="F82" s="60"/>
      <c r="G82" s="61"/>
      <c r="H82" s="61"/>
      <c r="I82" s="61"/>
      <c r="J82" s="61"/>
      <c r="K82" s="61"/>
      <c r="L82" s="61"/>
      <c r="M82" s="61"/>
      <c r="N82" s="61"/>
      <c r="O82" s="61"/>
      <c r="P82" s="83"/>
      <c r="Q82" s="61"/>
      <c r="R82" s="61"/>
      <c r="S82" s="1"/>
      <c r="T82" s="1"/>
      <c r="U82" s="1"/>
      <c r="V82" s="1"/>
      <c r="W82" s="1"/>
      <c r="X82" s="1"/>
      <c r="Y82" s="1"/>
      <c r="Z82" s="1"/>
      <c r="AA82" s="1"/>
      <c r="AB82" s="1"/>
      <c r="AC82" s="63"/>
      <c r="AD82" s="63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0"/>
    </row>
    <row r="83" spans="6:43" ht="48.75" customHeight="1">
      <c r="F83" s="60"/>
      <c r="G83" s="61"/>
      <c r="H83" s="61"/>
      <c r="I83" s="61"/>
      <c r="J83" s="61"/>
      <c r="K83" s="61"/>
      <c r="L83" s="61"/>
      <c r="M83" s="61"/>
      <c r="N83" s="61"/>
      <c r="O83" s="61"/>
      <c r="P83" s="83"/>
      <c r="Q83" s="61"/>
      <c r="R83" s="61"/>
      <c r="S83" s="138" t="s">
        <v>69</v>
      </c>
      <c r="T83" s="138"/>
      <c r="U83" s="138"/>
      <c r="V83" s="1"/>
      <c r="W83" s="1"/>
      <c r="X83" s="1"/>
      <c r="Y83" s="1"/>
      <c r="Z83" s="1"/>
      <c r="AA83" s="1"/>
      <c r="AB83" s="1"/>
      <c r="AC83" s="63"/>
      <c r="AD83" s="63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0"/>
    </row>
    <row r="84" spans="2:28" ht="19.5" customHeight="1">
      <c r="B84" s="139"/>
      <c r="C84" s="139"/>
      <c r="D84" s="139"/>
      <c r="E84" s="139"/>
      <c r="F84" s="139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3:7" ht="48.75" customHeight="1">
      <c r="C85" s="60"/>
      <c r="D85" s="60"/>
      <c r="E85" s="60"/>
      <c r="F85" s="60"/>
      <c r="G85" s="84"/>
    </row>
    <row r="86" spans="2:6" ht="18.75">
      <c r="B86" s="139"/>
      <c r="C86" s="139"/>
      <c r="D86" s="139"/>
      <c r="E86" s="139"/>
      <c r="F86" s="60"/>
    </row>
  </sheetData>
  <sheetProtection/>
  <mergeCells count="28">
    <mergeCell ref="N2:R2"/>
    <mergeCell ref="S2:AE2"/>
    <mergeCell ref="A4:A5"/>
    <mergeCell ref="B4:B5"/>
    <mergeCell ref="C4:C5"/>
    <mergeCell ref="D4:D5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E5"/>
    <mergeCell ref="AE10:AE15"/>
    <mergeCell ref="AE39:AE40"/>
    <mergeCell ref="A81:D81"/>
    <mergeCell ref="U81:V81"/>
    <mergeCell ref="Z81:AA81"/>
    <mergeCell ref="S83:U83"/>
    <mergeCell ref="B84:F84"/>
    <mergeCell ref="B86:E86"/>
  </mergeCells>
  <printOptions horizontalCentered="1"/>
  <pageMargins left="0.15748031496062992" right="0.1968503937007874" top="0.1968503937007874" bottom="0" header="0" footer="0"/>
  <pageSetup fitToHeight="18" fitToWidth="2" horizontalDpi="600" verticalDpi="600" orientation="landscape" paperSize="9" scale="35" r:id="rId1"/>
  <rowBreaks count="2" manualBreakCount="2">
    <brk id="30" max="255" man="1"/>
    <brk id="83" max="25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Шмытова Елена Юрьевна</cp:lastModifiedBy>
  <cp:lastPrinted>2014-10-07T08:45:23Z</cp:lastPrinted>
  <dcterms:created xsi:type="dcterms:W3CDTF">1996-10-08T23:32:33Z</dcterms:created>
  <dcterms:modified xsi:type="dcterms:W3CDTF">2014-10-14T09:56:11Z</dcterms:modified>
  <cp:category/>
  <cp:version/>
  <cp:contentType/>
  <cp:contentStatus/>
</cp:coreProperties>
</file>