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ректировка Прилож.2" sheetId="1" r:id="rId1"/>
    <sheet name="корректировка Прилож.1" sheetId="2" r:id="rId2"/>
  </sheets>
  <definedNames/>
  <calcPr fullCalcOnLoad="1"/>
</workbook>
</file>

<file path=xl/sharedStrings.xml><?xml version="1.0" encoding="utf-8"?>
<sst xmlns="http://schemas.openxmlformats.org/spreadsheetml/2006/main" count="107" uniqueCount="74">
  <si>
    <t>6</t>
  </si>
  <si>
    <t>8</t>
  </si>
  <si>
    <t>Лесная, д.30А</t>
  </si>
  <si>
    <t>Широкая, д.101</t>
  </si>
  <si>
    <t>Береговая, д.50</t>
  </si>
  <si>
    <t>Дорожников, д.15</t>
  </si>
  <si>
    <t>Береговая, д.127</t>
  </si>
  <si>
    <t>Олимпийская, д.11</t>
  </si>
  <si>
    <t>Олимпийская, д.7А</t>
  </si>
  <si>
    <t>N п/п</t>
  </si>
  <si>
    <t xml:space="preserve">Адрес многоквартирного дома (МКД) </t>
  </si>
  <si>
    <t>Документ,   
подтверждающий
признание МКД аварийным</t>
  </si>
  <si>
    <t>Планируемая дата  окончания переселения</t>
  </si>
  <si>
    <t>Планируемая дата сноса МКД</t>
  </si>
  <si>
    <t>Число жителей всего, чел</t>
  </si>
  <si>
    <t>Число жителей планируемых к переселению, чел.</t>
  </si>
  <si>
    <t xml:space="preserve">Количество     
расселяемых     
жилых помещений
  </t>
  </si>
  <si>
    <t xml:space="preserve">Расселяемая площадь жилых помещений  </t>
  </si>
  <si>
    <t>Стоимость переселения граждан</t>
  </si>
  <si>
    <t xml:space="preserve">Дополнительные расходы по переселению из аварийного жилищного фонда, руб    </t>
  </si>
  <si>
    <t>Номер</t>
  </si>
  <si>
    <t>Дата</t>
  </si>
  <si>
    <t>Всего, ед.</t>
  </si>
  <si>
    <t>в том числе</t>
  </si>
  <si>
    <t>Всего, кв.м.</t>
  </si>
  <si>
    <t>Всего:</t>
  </si>
  <si>
    <t>в том числе:</t>
  </si>
  <si>
    <t>частная  собственность, ед.</t>
  </si>
  <si>
    <t>муниципальная собственность, ед.</t>
  </si>
  <si>
    <t>частная собственность, кв.м.</t>
  </si>
  <si>
    <t>мунициципальная собственность, кв.м.</t>
  </si>
  <si>
    <t xml:space="preserve">за счет средств Фонда, руб.  </t>
  </si>
  <si>
    <t>2-02</t>
  </si>
  <si>
    <t>2-08</t>
  </si>
  <si>
    <t>2-09</t>
  </si>
  <si>
    <t>3-07</t>
  </si>
  <si>
    <t>3-06</t>
  </si>
  <si>
    <t>Общая площадь жилыхпомещений               МКД, кв.м.</t>
  </si>
  <si>
    <t>Расселяемая площадь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</si>
  <si>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</si>
  <si>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</si>
  <si>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</si>
  <si>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</si>
  <si>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всего, руб.</t>
  </si>
  <si>
    <t>Дополнительные источники финансирования, руб.</t>
  </si>
  <si>
    <t>Нормативная стоимость 1 кв.м., руб.</t>
  </si>
  <si>
    <t>3/4 от нормативной стоимости, руб.</t>
  </si>
  <si>
    <t xml:space="preserve">Частная  
собственность, кв.м.
 </t>
  </si>
  <si>
    <t>Площадь, кв.м.</t>
  </si>
  <si>
    <t>Стоимость, руб.</t>
  </si>
  <si>
    <t>Удельная стоимость 1 кв.м., руб.</t>
  </si>
  <si>
    <t>ИТОГО по городу Когалыму за 2013 г.</t>
  </si>
  <si>
    <t>Новоселов, д.1</t>
  </si>
  <si>
    <t>2-03</t>
  </si>
  <si>
    <t>2-05</t>
  </si>
  <si>
    <t>Новоселов, д.3</t>
  </si>
  <si>
    <t>Береговая, д.5</t>
  </si>
  <si>
    <t>Парковая, д.19</t>
  </si>
  <si>
    <t>3-02</t>
  </si>
  <si>
    <t>Парковая, д.21</t>
  </si>
  <si>
    <t>3-03</t>
  </si>
  <si>
    <t>ИТОГО по городу Когалыму за 2014 г.</t>
  </si>
  <si>
    <t>ИТОГО по программе</t>
  </si>
  <si>
    <t>Приложение 1</t>
  </si>
  <si>
    <t>Перечень аварийных многоквартирных домов города Когалыма</t>
  </si>
  <si>
    <t>Приложение 2</t>
  </si>
  <si>
    <t xml:space="preserve">Реестр аварийных многоквартирных домов города Когалыма по способам переселения </t>
  </si>
  <si>
    <t>ИТОГО по программе:</t>
  </si>
  <si>
    <t xml:space="preserve">за счет средств бюджета Ханты-Мансийского автономного округа - Югры, руб. </t>
  </si>
  <si>
    <t>за счет средств бюджета г.Когалыма, руб.</t>
  </si>
  <si>
    <t xml:space="preserve">города Когалыма </t>
  </si>
  <si>
    <t>к постановлению Администрации</t>
  </si>
  <si>
    <t>города Когалыма</t>
  </si>
  <si>
    <t>от 10.07.2013 №2039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</si>
</sst>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8" xfId="0" applyNumberFormat="1" applyFont="1" applyBorder="1" applyAlignment="1">
      <alignment horizontal="center" vertical="center" textRotation="90" wrapText="1"/>
    </xf>
    <xf numFmtId="4" fontId="2" fillId="0" borderId="19" xfId="0" applyNumberFormat="1" applyFont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Layout" workbookViewId="0" topLeftCell="A1">
      <selection activeCell="Q3" sqref="Q3:S3"/>
    </sheetView>
  </sheetViews>
  <sheetFormatPr defaultColWidth="9.140625" defaultRowHeight="12.75"/>
  <cols>
    <col min="1" max="1" width="2.57421875" style="7" customWidth="1"/>
    <col min="2" max="2" width="14.00390625" style="7" customWidth="1"/>
    <col min="3" max="3" width="7.28125" style="7" customWidth="1"/>
    <col min="4" max="4" width="6.28125" style="7" customWidth="1"/>
    <col min="5" max="5" width="4.421875" style="7" customWidth="1"/>
    <col min="6" max="6" width="4.28125" style="7" customWidth="1"/>
    <col min="7" max="7" width="5.28125" style="7" customWidth="1"/>
    <col min="8" max="8" width="7.8515625" style="7" customWidth="1"/>
    <col min="9" max="9" width="11.8515625" style="25" customWidth="1"/>
    <col min="10" max="10" width="8.7109375" style="7" customWidth="1"/>
    <col min="11" max="11" width="5.8515625" style="7" customWidth="1"/>
    <col min="12" max="12" width="7.7109375" style="7" customWidth="1"/>
    <col min="13" max="13" width="7.57421875" style="7" customWidth="1"/>
    <col min="14" max="14" width="5.00390625" style="7" customWidth="1"/>
    <col min="15" max="15" width="4.57421875" style="7" customWidth="1"/>
    <col min="16" max="16" width="5.140625" style="7" customWidth="1"/>
    <col min="17" max="17" width="13.140625" style="25" customWidth="1"/>
    <col min="18" max="18" width="11.8515625" style="25" customWidth="1"/>
    <col min="19" max="19" width="9.57421875" style="7" customWidth="1"/>
    <col min="20" max="20" width="9.00390625" style="7" customWidth="1"/>
    <col min="21" max="16384" width="9.140625" style="7" customWidth="1"/>
  </cols>
  <sheetData>
    <row r="1" spans="14:20" ht="14.25" customHeight="1">
      <c r="N1" s="52"/>
      <c r="O1" s="52"/>
      <c r="P1" s="52"/>
      <c r="Q1" s="52" t="s">
        <v>65</v>
      </c>
      <c r="R1" s="52"/>
      <c r="S1" s="52"/>
      <c r="T1" s="52"/>
    </row>
    <row r="2" spans="14:20" ht="12.75">
      <c r="N2" s="52"/>
      <c r="O2" s="52"/>
      <c r="P2" s="52"/>
      <c r="Q2" s="57" t="s">
        <v>71</v>
      </c>
      <c r="R2" s="58"/>
      <c r="S2" s="58"/>
      <c r="T2" s="52"/>
    </row>
    <row r="3" spans="14:20" ht="12.75">
      <c r="N3" s="52"/>
      <c r="O3" s="52"/>
      <c r="P3" s="52"/>
      <c r="Q3" s="57" t="s">
        <v>72</v>
      </c>
      <c r="R3" s="58"/>
      <c r="S3" s="58"/>
      <c r="T3" s="52"/>
    </row>
    <row r="4" spans="14:20" ht="12.75">
      <c r="N4" s="52"/>
      <c r="O4" s="52"/>
      <c r="P4" s="52"/>
      <c r="Q4" s="57" t="s">
        <v>73</v>
      </c>
      <c r="R4" s="58"/>
      <c r="S4" s="58"/>
      <c r="T4" s="52"/>
    </row>
    <row r="5" spans="14:20" ht="12" customHeight="1">
      <c r="N5" s="49"/>
      <c r="O5" s="49"/>
      <c r="P5" s="49"/>
      <c r="Q5" s="49"/>
      <c r="R5" s="49"/>
      <c r="S5" s="49"/>
      <c r="T5" s="49"/>
    </row>
    <row r="6" spans="14:20" ht="12.75">
      <c r="N6" s="60"/>
      <c r="O6" s="60"/>
      <c r="P6" s="60"/>
      <c r="Q6" s="60"/>
      <c r="R6" s="60"/>
      <c r="S6" s="60"/>
      <c r="T6" s="60"/>
    </row>
    <row r="7" spans="1:20" ht="16.5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6.5">
      <c r="A8" s="6"/>
      <c r="B8" s="6"/>
      <c r="C8" s="6"/>
      <c r="D8" s="6"/>
      <c r="E8" s="6"/>
      <c r="F8" s="6"/>
      <c r="G8" s="6"/>
      <c r="H8" s="6"/>
      <c r="I8" s="26"/>
      <c r="J8" s="6"/>
      <c r="K8" s="6"/>
      <c r="L8" s="6"/>
      <c r="M8" s="6"/>
      <c r="N8" s="6"/>
      <c r="O8" s="6"/>
      <c r="P8" s="6"/>
      <c r="Q8" s="26"/>
      <c r="R8" s="26"/>
      <c r="S8" s="6"/>
      <c r="T8" s="6"/>
    </row>
    <row r="9" spans="1:20" ht="48.75" customHeight="1">
      <c r="A9" s="65" t="s">
        <v>9</v>
      </c>
      <c r="B9" s="65" t="s">
        <v>10</v>
      </c>
      <c r="C9" s="53" t="s">
        <v>38</v>
      </c>
      <c r="D9" s="53"/>
      <c r="E9" s="54" t="s">
        <v>39</v>
      </c>
      <c r="F9" s="55"/>
      <c r="G9" s="56"/>
      <c r="H9" s="53" t="s">
        <v>40</v>
      </c>
      <c r="I9" s="53"/>
      <c r="J9" s="53"/>
      <c r="K9" s="53" t="s">
        <v>41</v>
      </c>
      <c r="L9" s="53"/>
      <c r="M9" s="53"/>
      <c r="N9" s="53" t="s">
        <v>42</v>
      </c>
      <c r="O9" s="53"/>
      <c r="P9" s="53"/>
      <c r="Q9" s="72" t="s">
        <v>43</v>
      </c>
      <c r="R9" s="72" t="s">
        <v>44</v>
      </c>
      <c r="S9" s="68" t="s">
        <v>45</v>
      </c>
      <c r="T9" s="68" t="s">
        <v>46</v>
      </c>
    </row>
    <row r="10" spans="1:20" ht="12.75" customHeight="1">
      <c r="A10" s="66"/>
      <c r="B10" s="66"/>
      <c r="C10" s="59" t="s">
        <v>24</v>
      </c>
      <c r="D10" s="59" t="s">
        <v>47</v>
      </c>
      <c r="E10" s="59" t="s">
        <v>48</v>
      </c>
      <c r="F10" s="59" t="s">
        <v>49</v>
      </c>
      <c r="G10" s="59" t="s">
        <v>50</v>
      </c>
      <c r="H10" s="59" t="s">
        <v>48</v>
      </c>
      <c r="I10" s="71" t="s">
        <v>49</v>
      </c>
      <c r="J10" s="59" t="s">
        <v>50</v>
      </c>
      <c r="K10" s="59" t="s">
        <v>48</v>
      </c>
      <c r="L10" s="59" t="s">
        <v>49</v>
      </c>
      <c r="M10" s="59" t="s">
        <v>50</v>
      </c>
      <c r="N10" s="59" t="s">
        <v>48</v>
      </c>
      <c r="O10" s="59" t="s">
        <v>49</v>
      </c>
      <c r="P10" s="59" t="s">
        <v>50</v>
      </c>
      <c r="Q10" s="73"/>
      <c r="R10" s="73"/>
      <c r="S10" s="69"/>
      <c r="T10" s="69"/>
    </row>
    <row r="11" spans="1:20" ht="70.5" customHeight="1">
      <c r="A11" s="67"/>
      <c r="B11" s="67"/>
      <c r="C11" s="59"/>
      <c r="D11" s="59"/>
      <c r="E11" s="59"/>
      <c r="F11" s="59"/>
      <c r="G11" s="59"/>
      <c r="H11" s="59"/>
      <c r="I11" s="71"/>
      <c r="J11" s="59"/>
      <c r="K11" s="59"/>
      <c r="L11" s="59"/>
      <c r="M11" s="59"/>
      <c r="N11" s="59"/>
      <c r="O11" s="59"/>
      <c r="P11" s="59"/>
      <c r="Q11" s="74"/>
      <c r="R11" s="74"/>
      <c r="S11" s="70"/>
      <c r="T11" s="70"/>
    </row>
    <row r="12" spans="1:20" ht="12.75">
      <c r="A12" s="4">
        <v>1</v>
      </c>
      <c r="B12" s="4">
        <f>1+A12</f>
        <v>2</v>
      </c>
      <c r="C12" s="4">
        <f aca="true" t="shared" si="0" ref="C12:T12">1+B12</f>
        <v>3</v>
      </c>
      <c r="D12" s="4">
        <f t="shared" si="0"/>
        <v>4</v>
      </c>
      <c r="E12" s="4">
        <f t="shared" si="0"/>
        <v>5</v>
      </c>
      <c r="F12" s="4">
        <f t="shared" si="0"/>
        <v>6</v>
      </c>
      <c r="G12" s="4">
        <f t="shared" si="0"/>
        <v>7</v>
      </c>
      <c r="H12" s="4">
        <f t="shared" si="0"/>
        <v>8</v>
      </c>
      <c r="I12" s="27">
        <f t="shared" si="0"/>
        <v>9</v>
      </c>
      <c r="J12" s="4">
        <f t="shared" si="0"/>
        <v>10</v>
      </c>
      <c r="K12" s="4">
        <f t="shared" si="0"/>
        <v>11</v>
      </c>
      <c r="L12" s="4">
        <f t="shared" si="0"/>
        <v>12</v>
      </c>
      <c r="M12" s="4">
        <f t="shared" si="0"/>
        <v>13</v>
      </c>
      <c r="N12" s="4">
        <f t="shared" si="0"/>
        <v>14</v>
      </c>
      <c r="O12" s="4">
        <f t="shared" si="0"/>
        <v>15</v>
      </c>
      <c r="P12" s="4">
        <f t="shared" si="0"/>
        <v>16</v>
      </c>
      <c r="Q12" s="2">
        <f t="shared" si="0"/>
        <v>17</v>
      </c>
      <c r="R12" s="2">
        <f t="shared" si="0"/>
        <v>18</v>
      </c>
      <c r="S12" s="4">
        <f t="shared" si="0"/>
        <v>19</v>
      </c>
      <c r="T12" s="4">
        <f t="shared" si="0"/>
        <v>20</v>
      </c>
    </row>
    <row r="13" spans="1:20" s="28" customFormat="1" ht="31.5" customHeight="1">
      <c r="A13" s="61" t="s">
        <v>67</v>
      </c>
      <c r="B13" s="63"/>
      <c r="C13" s="1">
        <f aca="true" t="shared" si="1" ref="C13:T13">C14+C22</f>
        <v>7313.93</v>
      </c>
      <c r="D13" s="1">
        <f t="shared" si="1"/>
        <v>420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11589.554</v>
      </c>
      <c r="I13" s="1">
        <f>I14+I22</f>
        <v>541555212.13008</v>
      </c>
      <c r="J13" s="1">
        <f t="shared" si="1"/>
        <v>557826.4000061215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>Q14+Q22</f>
        <v>541555212.13008</v>
      </c>
      <c r="R13" s="1">
        <f>R14+R22</f>
        <v>279867232.69008005</v>
      </c>
      <c r="S13" s="1">
        <f t="shared" si="1"/>
        <v>415200</v>
      </c>
      <c r="T13" s="1">
        <f t="shared" si="1"/>
        <v>311400</v>
      </c>
    </row>
    <row r="14" spans="1:20" ht="30.75" customHeight="1">
      <c r="A14" s="61" t="s">
        <v>51</v>
      </c>
      <c r="B14" s="63"/>
      <c r="C14" s="1">
        <f aca="true" t="shared" si="2" ref="C14:T14">SUM(C15:C21)</f>
        <v>4197.6</v>
      </c>
      <c r="D14" s="1">
        <f t="shared" si="2"/>
        <v>369.6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5980.16</v>
      </c>
      <c r="I14" s="1">
        <f t="shared" si="2"/>
        <v>269023477.77</v>
      </c>
      <c r="J14" s="1">
        <f t="shared" si="2"/>
        <v>314902.00001010194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269023477.77</v>
      </c>
      <c r="R14" s="1">
        <f t="shared" si="2"/>
        <v>123786517.77000001</v>
      </c>
      <c r="S14" s="1">
        <f t="shared" si="2"/>
        <v>242200</v>
      </c>
      <c r="T14" s="1">
        <f t="shared" si="2"/>
        <v>181650</v>
      </c>
    </row>
    <row r="15" spans="1:20" ht="12.75">
      <c r="A15" s="9">
        <v>1</v>
      </c>
      <c r="B15" s="14" t="s">
        <v>2</v>
      </c>
      <c r="C15" s="1">
        <v>811.75</v>
      </c>
      <c r="D15" s="29">
        <v>0</v>
      </c>
      <c r="E15" s="1">
        <v>0</v>
      </c>
      <c r="F15" s="1">
        <v>0</v>
      </c>
      <c r="G15" s="1">
        <v>0</v>
      </c>
      <c r="H15" s="1">
        <v>989.91</v>
      </c>
      <c r="I15" s="1">
        <f>'корректировка Прилож.1'!P14+'корректировка Прилож.1'!T14</f>
        <v>44532091.269999996</v>
      </c>
      <c r="J15" s="1">
        <f>I15/H15</f>
        <v>44986.000010101925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aca="true" t="shared" si="3" ref="Q15:Q21">I15+L15+O15</f>
        <v>44532091.269999996</v>
      </c>
      <c r="R15" s="1">
        <f>'корректировка Прилож.1'!T14</f>
        <v>16445541.27</v>
      </c>
      <c r="S15" s="1">
        <v>34600</v>
      </c>
      <c r="T15" s="1">
        <f aca="true" t="shared" si="4" ref="T15:T21">S15/4*3</f>
        <v>25950</v>
      </c>
    </row>
    <row r="16" spans="1:20" ht="12.75">
      <c r="A16" s="12">
        <f aca="true" t="shared" si="5" ref="A16:A21">1+A15</f>
        <v>2</v>
      </c>
      <c r="B16" s="14" t="s">
        <v>3</v>
      </c>
      <c r="C16" s="1">
        <v>519.05</v>
      </c>
      <c r="D16" s="29">
        <v>0</v>
      </c>
      <c r="E16" s="1">
        <v>0</v>
      </c>
      <c r="F16" s="1">
        <v>0</v>
      </c>
      <c r="G16" s="1">
        <v>0</v>
      </c>
      <c r="H16" s="1">
        <v>670.38</v>
      </c>
      <c r="I16" s="1">
        <f>'корректировка Прилож.1'!P15+'корректировка Прилож.1'!T15</f>
        <v>30157714.68</v>
      </c>
      <c r="J16" s="1">
        <f aca="true" t="shared" si="6" ref="J16:J27">I16/H16</f>
        <v>44986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3"/>
        <v>30157714.68</v>
      </c>
      <c r="R16" s="1">
        <f>'корректировка Прилож.1'!T15</f>
        <v>12198584.680000002</v>
      </c>
      <c r="S16" s="1">
        <v>34600</v>
      </c>
      <c r="T16" s="1">
        <f t="shared" si="4"/>
        <v>25950</v>
      </c>
    </row>
    <row r="17" spans="1:20" ht="12.75">
      <c r="A17" s="12">
        <f t="shared" si="5"/>
        <v>3</v>
      </c>
      <c r="B17" s="14" t="s">
        <v>4</v>
      </c>
      <c r="C17" s="1">
        <v>805.8</v>
      </c>
      <c r="D17" s="4">
        <v>285.2</v>
      </c>
      <c r="E17" s="1">
        <v>0</v>
      </c>
      <c r="F17" s="1">
        <v>0</v>
      </c>
      <c r="G17" s="1">
        <v>0</v>
      </c>
      <c r="H17" s="1">
        <v>1039.45</v>
      </c>
      <c r="I17" s="1">
        <f>'корректировка Прилож.1'!P16+'корректировка Прилож.1'!T16</f>
        <v>46760697.7</v>
      </c>
      <c r="J17" s="1">
        <f t="shared" si="6"/>
        <v>44986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3"/>
        <v>46760697.7</v>
      </c>
      <c r="R17" s="1">
        <f>'корректировка Прилож.1'!T16</f>
        <v>18880017.700000003</v>
      </c>
      <c r="S17" s="1">
        <v>34600</v>
      </c>
      <c r="T17" s="1">
        <f t="shared" si="4"/>
        <v>25950</v>
      </c>
    </row>
    <row r="18" spans="1:20" ht="12.75">
      <c r="A18" s="12">
        <f t="shared" si="5"/>
        <v>4</v>
      </c>
      <c r="B18" s="14" t="s">
        <v>5</v>
      </c>
      <c r="C18" s="1">
        <v>113.1</v>
      </c>
      <c r="D18" s="29">
        <v>0</v>
      </c>
      <c r="E18" s="1">
        <v>0</v>
      </c>
      <c r="F18" s="1">
        <v>0</v>
      </c>
      <c r="G18" s="1">
        <v>0</v>
      </c>
      <c r="H18" s="1">
        <v>135.26</v>
      </c>
      <c r="I18" s="1">
        <f>'корректировка Прилож.1'!P17+'корректировка Прилож.1'!T17</f>
        <v>6084806.359999999</v>
      </c>
      <c r="J18" s="1">
        <f t="shared" si="6"/>
        <v>44986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3"/>
        <v>6084806.359999999</v>
      </c>
      <c r="R18" s="1">
        <f>'корректировка Прилож.1'!T17</f>
        <v>2171546.36</v>
      </c>
      <c r="S18" s="1">
        <v>34600</v>
      </c>
      <c r="T18" s="1">
        <f t="shared" si="4"/>
        <v>25950</v>
      </c>
    </row>
    <row r="19" spans="1:20" ht="12.75">
      <c r="A19" s="12">
        <f t="shared" si="5"/>
        <v>5</v>
      </c>
      <c r="B19" s="14" t="s">
        <v>6</v>
      </c>
      <c r="C19" s="1">
        <v>802.3</v>
      </c>
      <c r="D19" s="4">
        <v>84.4</v>
      </c>
      <c r="E19" s="1">
        <v>0</v>
      </c>
      <c r="F19" s="1">
        <v>0</v>
      </c>
      <c r="G19" s="1">
        <v>0</v>
      </c>
      <c r="H19" s="1">
        <v>935.6</v>
      </c>
      <c r="I19" s="1">
        <f>'корректировка Прилож.1'!P18+'корректировка Прилож.1'!T18</f>
        <v>42088901.6</v>
      </c>
      <c r="J19" s="1">
        <f t="shared" si="6"/>
        <v>44986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42088901.6</v>
      </c>
      <c r="R19" s="1">
        <f>'корректировка Прилож.1'!T18</f>
        <v>14329321.600000001</v>
      </c>
      <c r="S19" s="1">
        <v>34600</v>
      </c>
      <c r="T19" s="1">
        <f t="shared" si="4"/>
        <v>25950</v>
      </c>
    </row>
    <row r="20" spans="1:20" ht="12.75">
      <c r="A20" s="12">
        <f t="shared" si="5"/>
        <v>6</v>
      </c>
      <c r="B20" s="14" t="s">
        <v>7</v>
      </c>
      <c r="C20" s="1">
        <v>607.3</v>
      </c>
      <c r="D20" s="29">
        <v>0</v>
      </c>
      <c r="E20" s="1">
        <v>0</v>
      </c>
      <c r="F20" s="1">
        <v>0</v>
      </c>
      <c r="G20" s="1">
        <v>0</v>
      </c>
      <c r="H20" s="1">
        <v>1173.07</v>
      </c>
      <c r="I20" s="1">
        <f>'корректировка Прилож.1'!P19+'корректировка Прилож.1'!T19</f>
        <v>52771727.019999996</v>
      </c>
      <c r="J20" s="1">
        <f t="shared" si="6"/>
        <v>44986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52771727.019999996</v>
      </c>
      <c r="R20" s="1">
        <f>'корректировка Прилож.1'!T19</f>
        <v>31759147.02</v>
      </c>
      <c r="S20" s="1">
        <v>34600</v>
      </c>
      <c r="T20" s="1">
        <f t="shared" si="4"/>
        <v>25950</v>
      </c>
    </row>
    <row r="21" spans="1:20" ht="15" customHeight="1">
      <c r="A21" s="12">
        <f t="shared" si="5"/>
        <v>7</v>
      </c>
      <c r="B21" s="14" t="s">
        <v>8</v>
      </c>
      <c r="C21" s="1">
        <v>538.3</v>
      </c>
      <c r="D21" s="29">
        <v>0</v>
      </c>
      <c r="E21" s="1">
        <v>0</v>
      </c>
      <c r="F21" s="1">
        <v>0</v>
      </c>
      <c r="G21" s="1">
        <v>0</v>
      </c>
      <c r="H21" s="1">
        <v>1036.49</v>
      </c>
      <c r="I21" s="1">
        <f>'корректировка Прилож.1'!P20+'корректировка Прилож.1'!T20</f>
        <v>46627539.14</v>
      </c>
      <c r="J21" s="1">
        <f t="shared" si="6"/>
        <v>44986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46627539.14</v>
      </c>
      <c r="R21" s="1">
        <f>'корректировка Прилож.1'!T20</f>
        <v>28002359.140000004</v>
      </c>
      <c r="S21" s="1">
        <v>34600</v>
      </c>
      <c r="T21" s="1">
        <f t="shared" si="4"/>
        <v>25950</v>
      </c>
    </row>
    <row r="22" spans="1:20" ht="27" customHeight="1">
      <c r="A22" s="61" t="s">
        <v>61</v>
      </c>
      <c r="B22" s="62"/>
      <c r="C22" s="4">
        <f>SUM(C23:C27)</f>
        <v>3116.33</v>
      </c>
      <c r="D22" s="4">
        <f aca="true" t="shared" si="7" ref="D22:T22">SUM(D23:D27)</f>
        <v>50.4</v>
      </c>
      <c r="E22" s="20">
        <f t="shared" si="7"/>
        <v>0</v>
      </c>
      <c r="F22" s="20">
        <f t="shared" si="7"/>
        <v>0</v>
      </c>
      <c r="G22" s="20">
        <f t="shared" si="7"/>
        <v>0</v>
      </c>
      <c r="H22" s="1">
        <f t="shared" si="7"/>
        <v>5609.394</v>
      </c>
      <c r="I22" s="1">
        <f t="shared" si="7"/>
        <v>272531734.36008</v>
      </c>
      <c r="J22" s="1">
        <f t="shared" si="7"/>
        <v>242924.3999960195</v>
      </c>
      <c r="K22" s="20">
        <f t="shared" si="7"/>
        <v>0</v>
      </c>
      <c r="L22" s="20">
        <f t="shared" si="7"/>
        <v>0</v>
      </c>
      <c r="M22" s="20">
        <f t="shared" si="7"/>
        <v>0</v>
      </c>
      <c r="N22" s="20">
        <f t="shared" si="7"/>
        <v>0</v>
      </c>
      <c r="O22" s="20">
        <f t="shared" si="7"/>
        <v>0</v>
      </c>
      <c r="P22" s="20">
        <f t="shared" si="7"/>
        <v>0</v>
      </c>
      <c r="Q22" s="1">
        <f t="shared" si="7"/>
        <v>272531734.36008</v>
      </c>
      <c r="R22" s="1">
        <f t="shared" si="7"/>
        <v>156080714.92008004</v>
      </c>
      <c r="S22" s="1">
        <f t="shared" si="7"/>
        <v>173000</v>
      </c>
      <c r="T22" s="1">
        <f t="shared" si="7"/>
        <v>129750</v>
      </c>
    </row>
    <row r="23" spans="1:20" ht="12.75">
      <c r="A23" s="9">
        <v>1</v>
      </c>
      <c r="B23" s="14" t="s">
        <v>52</v>
      </c>
      <c r="C23" s="4">
        <v>423.44</v>
      </c>
      <c r="D23" s="1">
        <v>0</v>
      </c>
      <c r="E23" s="1">
        <v>0</v>
      </c>
      <c r="F23" s="1">
        <v>0</v>
      </c>
      <c r="G23" s="1">
        <v>0</v>
      </c>
      <c r="H23" s="1">
        <f>C23*1.8</f>
        <v>762.192</v>
      </c>
      <c r="I23" s="1">
        <f>'корректировка Прилож.1'!P22+'корректировка Прилож.1'!T22</f>
        <v>37031006.856960006</v>
      </c>
      <c r="J23" s="1">
        <f t="shared" si="6"/>
        <v>48584.880000000005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>I23+L23+O23</f>
        <v>37031006.856960006</v>
      </c>
      <c r="R23" s="1">
        <f>'корректировка Прилож.1'!T22</f>
        <v>21207900.936960004</v>
      </c>
      <c r="S23" s="1">
        <v>34600</v>
      </c>
      <c r="T23" s="1">
        <f>S23/4*3</f>
        <v>25950</v>
      </c>
    </row>
    <row r="24" spans="1:20" ht="12.75">
      <c r="A24" s="12">
        <f>1+A23</f>
        <v>2</v>
      </c>
      <c r="B24" s="14" t="s">
        <v>55</v>
      </c>
      <c r="C24" s="4">
        <v>368.46</v>
      </c>
      <c r="D24" s="1">
        <v>50.4</v>
      </c>
      <c r="E24" s="1">
        <v>0</v>
      </c>
      <c r="F24" s="1">
        <v>0</v>
      </c>
      <c r="G24" s="1">
        <v>0</v>
      </c>
      <c r="H24" s="1">
        <f>C24*1.8</f>
        <v>663.228</v>
      </c>
      <c r="I24" s="1">
        <f>'корректировка Прилож.1'!P23+'корректировка Прилож.1'!T23</f>
        <v>32222852.79</v>
      </c>
      <c r="J24" s="1">
        <f t="shared" si="6"/>
        <v>48584.879996019474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>I24+L24+O24</f>
        <v>32222852.79</v>
      </c>
      <c r="R24" s="1">
        <f>'корректировка Прилож.1'!T23</f>
        <v>18454239.51</v>
      </c>
      <c r="S24" s="1">
        <v>34600</v>
      </c>
      <c r="T24" s="1">
        <f>S24/4*3</f>
        <v>25950</v>
      </c>
    </row>
    <row r="25" spans="1:20" ht="12.75">
      <c r="A25" s="12">
        <f>1+A24</f>
        <v>3</v>
      </c>
      <c r="B25" s="14" t="s">
        <v>57</v>
      </c>
      <c r="C25" s="4">
        <v>791.22</v>
      </c>
      <c r="D25" s="1">
        <v>0</v>
      </c>
      <c r="E25" s="1">
        <v>0</v>
      </c>
      <c r="F25" s="1">
        <v>0</v>
      </c>
      <c r="G25" s="1">
        <v>0</v>
      </c>
      <c r="H25" s="1">
        <f>C25*1.8</f>
        <v>1424.1960000000001</v>
      </c>
      <c r="I25" s="1">
        <f>'корректировка Прилож.1'!P24+'корректировка Прилож.1'!T24</f>
        <v>69194391.75648001</v>
      </c>
      <c r="J25" s="1">
        <f t="shared" si="6"/>
        <v>48584.880000000005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>I25+L25+O25</f>
        <v>69194391.75648001</v>
      </c>
      <c r="R25" s="1">
        <f>'корректировка Прилож.1'!T24</f>
        <v>39628082.796480015</v>
      </c>
      <c r="S25" s="1">
        <v>34600</v>
      </c>
      <c r="T25" s="1">
        <f>S25/4*3</f>
        <v>25950</v>
      </c>
    </row>
    <row r="26" spans="1:20" ht="12.75">
      <c r="A26" s="12">
        <f>1+A25</f>
        <v>4</v>
      </c>
      <c r="B26" s="14" t="s">
        <v>59</v>
      </c>
      <c r="C26" s="4">
        <v>760.21</v>
      </c>
      <c r="D26" s="1">
        <v>0</v>
      </c>
      <c r="E26" s="1">
        <v>0</v>
      </c>
      <c r="F26" s="1">
        <v>0</v>
      </c>
      <c r="G26" s="1">
        <v>0</v>
      </c>
      <c r="H26" s="1">
        <f>C26*1.8</f>
        <v>1368.3780000000002</v>
      </c>
      <c r="I26" s="1">
        <f>'корректировка Прилож.1'!P25+'корректировка Прилож.1'!T25</f>
        <v>66482480.92464001</v>
      </c>
      <c r="J26" s="1">
        <f t="shared" si="6"/>
        <v>48584.88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>I26+L26+O26</f>
        <v>66482480.92464001</v>
      </c>
      <c r="R26" s="1">
        <f>'корректировка Прилож.1'!T25</f>
        <v>38074953.644640006</v>
      </c>
      <c r="S26" s="1">
        <v>34600</v>
      </c>
      <c r="T26" s="1">
        <f>S26/4*3</f>
        <v>25950</v>
      </c>
    </row>
    <row r="27" spans="1:20" ht="12.75">
      <c r="A27" s="12">
        <f>1+A26</f>
        <v>5</v>
      </c>
      <c r="B27" s="14" t="s">
        <v>56</v>
      </c>
      <c r="C27" s="20">
        <v>773</v>
      </c>
      <c r="D27" s="1">
        <v>0</v>
      </c>
      <c r="E27" s="1">
        <v>0</v>
      </c>
      <c r="F27" s="1">
        <v>0</v>
      </c>
      <c r="G27" s="1">
        <v>0</v>
      </c>
      <c r="H27" s="1">
        <f>C27*1.8</f>
        <v>1391.4</v>
      </c>
      <c r="I27" s="1">
        <f>'корректировка Прилож.1'!P26+'корректировка Прилож.1'!T26</f>
        <v>67601002.032</v>
      </c>
      <c r="J27" s="1">
        <f t="shared" si="6"/>
        <v>48584.88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>I27+L27+O27</f>
        <v>67601002.032</v>
      </c>
      <c r="R27" s="1">
        <f>'корректировка Прилож.1'!T26</f>
        <v>38715538.032000005</v>
      </c>
      <c r="S27" s="1">
        <v>34600</v>
      </c>
      <c r="T27" s="1">
        <f>S27/4*3</f>
        <v>25950</v>
      </c>
    </row>
  </sheetData>
  <sheetProtection/>
  <mergeCells count="33">
    <mergeCell ref="A14:B14"/>
    <mergeCell ref="K10:K11"/>
    <mergeCell ref="L10:L11"/>
    <mergeCell ref="M10:M11"/>
    <mergeCell ref="J10:J11"/>
    <mergeCell ref="H10:H11"/>
    <mergeCell ref="I10:I11"/>
    <mergeCell ref="H9:J9"/>
    <mergeCell ref="K9:M9"/>
    <mergeCell ref="D10:D11"/>
    <mergeCell ref="E10:E11"/>
    <mergeCell ref="F10:F11"/>
    <mergeCell ref="G10:G11"/>
    <mergeCell ref="P10:P11"/>
    <mergeCell ref="N10:N11"/>
    <mergeCell ref="N6:T6"/>
    <mergeCell ref="A22:B22"/>
    <mergeCell ref="A13:B13"/>
    <mergeCell ref="A7:T7"/>
    <mergeCell ref="A9:A11"/>
    <mergeCell ref="B9:B11"/>
    <mergeCell ref="T9:T11"/>
    <mergeCell ref="C10:C11"/>
    <mergeCell ref="C9:D9"/>
    <mergeCell ref="E9:G9"/>
    <mergeCell ref="Q2:S2"/>
    <mergeCell ref="Q3:S3"/>
    <mergeCell ref="Q4:S4"/>
    <mergeCell ref="R9:R11"/>
    <mergeCell ref="S9:S11"/>
    <mergeCell ref="N9:P9"/>
    <mergeCell ref="Q9:Q11"/>
    <mergeCell ref="O10:O11"/>
  </mergeCells>
  <printOptions/>
  <pageMargins left="0.3937007874015748" right="0.3937007874015748" top="0.3937007874015748" bottom="1.5748031496062993" header="0.5118110236220472" footer="0.236220472440944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view="pageLayout" zoomScale="75" zoomScaleNormal="75" zoomScalePageLayoutView="75" workbookViewId="0" topLeftCell="A1">
      <selection activeCell="G59" sqref="G59"/>
    </sheetView>
  </sheetViews>
  <sheetFormatPr defaultColWidth="9.140625" defaultRowHeight="12.75"/>
  <cols>
    <col min="1" max="1" width="3.57421875" style="7" customWidth="1"/>
    <col min="2" max="2" width="14.57421875" style="7" customWidth="1"/>
    <col min="3" max="3" width="5.8515625" style="15" customWidth="1"/>
    <col min="4" max="4" width="10.28125" style="7" customWidth="1"/>
    <col min="5" max="6" width="9.00390625" style="7" customWidth="1"/>
    <col min="7" max="7" width="4.7109375" style="7" customWidth="1"/>
    <col min="8" max="8" width="5.421875" style="7" customWidth="1"/>
    <col min="9" max="9" width="8.00390625" style="7" customWidth="1"/>
    <col min="10" max="10" width="4.421875" style="7" customWidth="1"/>
    <col min="11" max="11" width="5.00390625" style="7" customWidth="1"/>
    <col min="12" max="12" width="5.140625" style="7" customWidth="1"/>
    <col min="13" max="13" width="8.140625" style="7" customWidth="1"/>
    <col min="14" max="14" width="7.00390625" style="7" customWidth="1"/>
    <col min="15" max="15" width="8.421875" style="7" customWidth="1"/>
    <col min="16" max="16" width="13.57421875" style="7" customWidth="1"/>
    <col min="17" max="17" width="13.00390625" style="7" customWidth="1"/>
    <col min="18" max="18" width="13.28125" style="7" customWidth="1"/>
    <col min="19" max="19" width="6.421875" style="7" customWidth="1"/>
    <col min="20" max="21" width="13.28125" style="7" customWidth="1"/>
    <col min="22" max="22" width="12.28125" style="7" customWidth="1"/>
    <col min="23" max="23" width="16.140625" style="25" customWidth="1"/>
    <col min="24" max="24" width="15.00390625" style="25" customWidth="1"/>
    <col min="25" max="16384" width="9.140625" style="7" customWidth="1"/>
  </cols>
  <sheetData>
    <row r="1" spans="18:22" ht="12.75">
      <c r="R1" s="49"/>
      <c r="S1" s="49"/>
      <c r="T1" s="52" t="s">
        <v>63</v>
      </c>
      <c r="U1" s="49"/>
      <c r="V1" s="49"/>
    </row>
    <row r="2" spans="18:22" ht="12.75">
      <c r="R2" s="49"/>
      <c r="S2" s="49"/>
      <c r="T2" s="57" t="s">
        <v>71</v>
      </c>
      <c r="U2" s="58"/>
      <c r="V2" s="58"/>
    </row>
    <row r="3" spans="18:22" ht="12.75">
      <c r="R3" s="49"/>
      <c r="S3" s="49"/>
      <c r="T3" s="57" t="s">
        <v>70</v>
      </c>
      <c r="U3" s="58"/>
      <c r="V3" s="58"/>
    </row>
    <row r="4" spans="18:22" ht="12.75">
      <c r="R4" s="49"/>
      <c r="S4" s="49"/>
      <c r="T4" s="57" t="s">
        <v>73</v>
      </c>
      <c r="U4" s="58"/>
      <c r="V4" s="58"/>
    </row>
    <row r="5" spans="18:22" ht="15" customHeight="1">
      <c r="R5" s="49"/>
      <c r="S5" s="49"/>
      <c r="T5" s="49"/>
      <c r="U5" s="49"/>
      <c r="V5" s="49"/>
    </row>
    <row r="6" spans="1:22" ht="19.5" customHeight="1">
      <c r="A6" s="64" t="s">
        <v>64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6.5" customHeight="1">
      <c r="A7" s="6"/>
      <c r="B7" s="6"/>
      <c r="C7" s="1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4" s="31" customFormat="1" ht="46.5" customHeight="1">
      <c r="A8" s="53" t="s">
        <v>9</v>
      </c>
      <c r="B8" s="53" t="s">
        <v>10</v>
      </c>
      <c r="C8" s="53" t="s">
        <v>11</v>
      </c>
      <c r="D8" s="53"/>
      <c r="E8" s="59" t="s">
        <v>12</v>
      </c>
      <c r="F8" s="59" t="s">
        <v>13</v>
      </c>
      <c r="G8" s="59" t="s">
        <v>14</v>
      </c>
      <c r="H8" s="59" t="s">
        <v>15</v>
      </c>
      <c r="I8" s="59" t="s">
        <v>37</v>
      </c>
      <c r="J8" s="53" t="s">
        <v>16</v>
      </c>
      <c r="K8" s="53"/>
      <c r="L8" s="53"/>
      <c r="M8" s="53" t="s">
        <v>17</v>
      </c>
      <c r="N8" s="53"/>
      <c r="O8" s="53"/>
      <c r="P8" s="53" t="s">
        <v>18</v>
      </c>
      <c r="Q8" s="53"/>
      <c r="R8" s="53"/>
      <c r="S8" s="53"/>
      <c r="T8" s="53" t="s">
        <v>19</v>
      </c>
      <c r="U8" s="53"/>
      <c r="V8" s="53"/>
      <c r="W8" s="32"/>
      <c r="X8" s="32"/>
    </row>
    <row r="9" spans="1:24" s="31" customFormat="1" ht="12.75" customHeight="1">
      <c r="A9" s="53"/>
      <c r="B9" s="53"/>
      <c r="C9" s="51" t="s">
        <v>20</v>
      </c>
      <c r="D9" s="59" t="s">
        <v>21</v>
      </c>
      <c r="E9" s="59"/>
      <c r="F9" s="59"/>
      <c r="G9" s="59"/>
      <c r="H9" s="59"/>
      <c r="I9" s="59"/>
      <c r="J9" s="59" t="s">
        <v>22</v>
      </c>
      <c r="K9" s="53" t="s">
        <v>23</v>
      </c>
      <c r="L9" s="53"/>
      <c r="M9" s="59" t="s">
        <v>24</v>
      </c>
      <c r="N9" s="53" t="s">
        <v>23</v>
      </c>
      <c r="O9" s="53"/>
      <c r="P9" s="59" t="s">
        <v>25</v>
      </c>
      <c r="Q9" s="53" t="s">
        <v>26</v>
      </c>
      <c r="R9" s="53"/>
      <c r="S9" s="53"/>
      <c r="T9" s="59" t="s">
        <v>25</v>
      </c>
      <c r="U9" s="53" t="s">
        <v>26</v>
      </c>
      <c r="V9" s="53"/>
      <c r="W9" s="32"/>
      <c r="X9" s="32"/>
    </row>
    <row r="10" spans="1:24" s="31" customFormat="1" ht="99" customHeight="1">
      <c r="A10" s="53"/>
      <c r="B10" s="53"/>
      <c r="C10" s="51"/>
      <c r="D10" s="59"/>
      <c r="E10" s="59"/>
      <c r="F10" s="59"/>
      <c r="G10" s="59"/>
      <c r="H10" s="59"/>
      <c r="I10" s="59"/>
      <c r="J10" s="59"/>
      <c r="K10" s="8" t="s">
        <v>27</v>
      </c>
      <c r="L10" s="8" t="s">
        <v>28</v>
      </c>
      <c r="M10" s="59"/>
      <c r="N10" s="8" t="s">
        <v>29</v>
      </c>
      <c r="O10" s="8" t="s">
        <v>30</v>
      </c>
      <c r="P10" s="59"/>
      <c r="Q10" s="8" t="s">
        <v>31</v>
      </c>
      <c r="R10" s="8" t="s">
        <v>68</v>
      </c>
      <c r="S10" s="8" t="s">
        <v>69</v>
      </c>
      <c r="T10" s="59"/>
      <c r="U10" s="8" t="s">
        <v>68</v>
      </c>
      <c r="V10" s="8" t="s">
        <v>69</v>
      </c>
      <c r="W10" s="32"/>
      <c r="X10" s="32"/>
    </row>
    <row r="11" spans="1:24" s="31" customFormat="1" ht="12.75">
      <c r="A11" s="4">
        <v>1</v>
      </c>
      <c r="B11" s="4">
        <v>2</v>
      </c>
      <c r="C11" s="17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32"/>
      <c r="X11" s="32"/>
    </row>
    <row r="12" spans="1:22" ht="42.75" customHeight="1">
      <c r="A12" s="75" t="s">
        <v>62</v>
      </c>
      <c r="B12" s="75"/>
      <c r="C12" s="23"/>
      <c r="D12" s="5"/>
      <c r="E12" s="5"/>
      <c r="F12" s="5"/>
      <c r="G12" s="5">
        <f aca="true" t="shared" si="0" ref="G12:V12">G13+G21</f>
        <v>554</v>
      </c>
      <c r="H12" s="5">
        <f t="shared" si="0"/>
        <v>554</v>
      </c>
      <c r="I12" s="5">
        <f t="shared" si="0"/>
        <v>9099.1</v>
      </c>
      <c r="J12" s="5">
        <f t="shared" si="0"/>
        <v>178</v>
      </c>
      <c r="K12" s="5">
        <f t="shared" si="0"/>
        <v>8</v>
      </c>
      <c r="L12" s="5">
        <f t="shared" si="0"/>
        <v>170</v>
      </c>
      <c r="M12" s="24">
        <f t="shared" si="0"/>
        <v>7313.93</v>
      </c>
      <c r="N12" s="24">
        <f t="shared" si="0"/>
        <v>420</v>
      </c>
      <c r="O12" s="24">
        <f t="shared" si="0"/>
        <v>6893.93</v>
      </c>
      <c r="P12" s="24">
        <f t="shared" si="0"/>
        <v>261687979.44</v>
      </c>
      <c r="Q12" s="24">
        <f t="shared" si="0"/>
        <v>78506393.832</v>
      </c>
      <c r="R12" s="24">
        <f t="shared" si="0"/>
        <v>183181585.60799998</v>
      </c>
      <c r="S12" s="24">
        <f t="shared" si="0"/>
        <v>0</v>
      </c>
      <c r="T12" s="24">
        <f>T13+T21</f>
        <v>279867232.69008005</v>
      </c>
      <c r="U12" s="24">
        <f>U13+U21</f>
        <v>265873871.06107605</v>
      </c>
      <c r="V12" s="24">
        <f t="shared" si="0"/>
        <v>13993361.639004001</v>
      </c>
    </row>
    <row r="13" spans="1:23" ht="27.75" customHeight="1">
      <c r="A13" s="75" t="s">
        <v>51</v>
      </c>
      <c r="B13" s="75"/>
      <c r="C13" s="23"/>
      <c r="D13" s="5"/>
      <c r="E13" s="5"/>
      <c r="F13" s="5"/>
      <c r="G13" s="5">
        <f aca="true" t="shared" si="1" ref="G13:V13">SUM(G14:G20)</f>
        <v>352</v>
      </c>
      <c r="H13" s="5">
        <f t="shared" si="1"/>
        <v>352</v>
      </c>
      <c r="I13" s="5">
        <f t="shared" si="1"/>
        <v>5425.700000000001</v>
      </c>
      <c r="J13" s="5">
        <f t="shared" si="1"/>
        <v>108</v>
      </c>
      <c r="K13" s="5">
        <f t="shared" si="1"/>
        <v>7</v>
      </c>
      <c r="L13" s="5">
        <f t="shared" si="1"/>
        <v>101</v>
      </c>
      <c r="M13" s="24">
        <f t="shared" si="1"/>
        <v>4197.6</v>
      </c>
      <c r="N13" s="24">
        <f t="shared" si="1"/>
        <v>369.6</v>
      </c>
      <c r="O13" s="24">
        <f t="shared" si="1"/>
        <v>3828</v>
      </c>
      <c r="P13" s="24">
        <f t="shared" si="1"/>
        <v>145236960</v>
      </c>
      <c r="Q13" s="24">
        <f t="shared" si="1"/>
        <v>43571088</v>
      </c>
      <c r="R13" s="24">
        <f t="shared" si="1"/>
        <v>101665872</v>
      </c>
      <c r="S13" s="24">
        <f t="shared" si="1"/>
        <v>0</v>
      </c>
      <c r="T13" s="24">
        <f>SUM(T14:T20)</f>
        <v>123786517.77000001</v>
      </c>
      <c r="U13" s="24">
        <f>SUM(U14:U20)</f>
        <v>117597191.8815</v>
      </c>
      <c r="V13" s="24">
        <f t="shared" si="1"/>
        <v>6189325.888500001</v>
      </c>
      <c r="W13" s="50"/>
    </row>
    <row r="14" spans="1:24" s="39" customFormat="1" ht="17.25" customHeight="1">
      <c r="A14" s="12">
        <v>1</v>
      </c>
      <c r="B14" s="3" t="s">
        <v>2</v>
      </c>
      <c r="C14" s="18">
        <v>7</v>
      </c>
      <c r="D14" s="10">
        <v>40854</v>
      </c>
      <c r="E14" s="34">
        <v>41639</v>
      </c>
      <c r="F14" s="34">
        <v>41729</v>
      </c>
      <c r="G14" s="35">
        <v>54</v>
      </c>
      <c r="H14" s="35">
        <v>54</v>
      </c>
      <c r="I14" s="36">
        <v>893.9</v>
      </c>
      <c r="J14" s="35">
        <v>15</v>
      </c>
      <c r="K14" s="35">
        <v>0</v>
      </c>
      <c r="L14" s="35">
        <v>15</v>
      </c>
      <c r="M14" s="37">
        <f aca="true" t="shared" si="2" ref="M14:M20">N14+O14</f>
        <v>811.75</v>
      </c>
      <c r="N14" s="37">
        <v>0</v>
      </c>
      <c r="O14" s="37">
        <v>811.75</v>
      </c>
      <c r="P14" s="37">
        <f aca="true" t="shared" si="3" ref="P14:P22">SUM(Q14:S14)</f>
        <v>28086550</v>
      </c>
      <c r="Q14" s="37">
        <v>8425965</v>
      </c>
      <c r="R14" s="37">
        <v>19660585</v>
      </c>
      <c r="S14" s="37">
        <v>0</v>
      </c>
      <c r="T14" s="37">
        <v>16445541.27</v>
      </c>
      <c r="U14" s="37">
        <f aca="true" t="shared" si="4" ref="U14:U20">T14*0.95</f>
        <v>15623264.2065</v>
      </c>
      <c r="V14" s="37">
        <f>T14-U14</f>
        <v>822277.0635000002</v>
      </c>
      <c r="W14" s="38"/>
      <c r="X14" s="38"/>
    </row>
    <row r="15" spans="1:24" s="39" customFormat="1" ht="17.25" customHeight="1">
      <c r="A15" s="12">
        <f aca="true" t="shared" si="5" ref="A15:A20">1+A14</f>
        <v>2</v>
      </c>
      <c r="B15" s="3" t="s">
        <v>3</v>
      </c>
      <c r="C15" s="18" t="s">
        <v>32</v>
      </c>
      <c r="D15" s="10">
        <v>40080</v>
      </c>
      <c r="E15" s="34">
        <v>41639</v>
      </c>
      <c r="F15" s="34">
        <v>41729</v>
      </c>
      <c r="G15" s="35">
        <v>29</v>
      </c>
      <c r="H15" s="35">
        <v>29</v>
      </c>
      <c r="I15" s="36">
        <v>934.5</v>
      </c>
      <c r="J15" s="35">
        <f aca="true" t="shared" si="6" ref="J15:J20">SUM(K15:L15)</f>
        <v>11</v>
      </c>
      <c r="K15" s="35">
        <v>0</v>
      </c>
      <c r="L15" s="35">
        <v>11</v>
      </c>
      <c r="M15" s="37">
        <f t="shared" si="2"/>
        <v>519.05</v>
      </c>
      <c r="N15" s="37">
        <v>0</v>
      </c>
      <c r="O15" s="37">
        <v>519.05</v>
      </c>
      <c r="P15" s="37">
        <f t="shared" si="3"/>
        <v>17959130</v>
      </c>
      <c r="Q15" s="37">
        <v>5387739</v>
      </c>
      <c r="R15" s="37">
        <v>12571391</v>
      </c>
      <c r="S15" s="37">
        <v>0</v>
      </c>
      <c r="T15" s="37">
        <f>(670.38-M15)*44986+M15*10386</f>
        <v>12198584.680000002</v>
      </c>
      <c r="U15" s="37">
        <f t="shared" si="4"/>
        <v>11588655.446</v>
      </c>
      <c r="V15" s="37">
        <f aca="true" t="shared" si="7" ref="V15:V20">T15*0.05</f>
        <v>609929.234</v>
      </c>
      <c r="W15" s="38"/>
      <c r="X15" s="38"/>
    </row>
    <row r="16" spans="1:24" s="39" customFormat="1" ht="17.25" customHeight="1">
      <c r="A16" s="12">
        <f t="shared" si="5"/>
        <v>3</v>
      </c>
      <c r="B16" s="3" t="s">
        <v>4</v>
      </c>
      <c r="C16" s="18" t="s">
        <v>33</v>
      </c>
      <c r="D16" s="34">
        <v>40080</v>
      </c>
      <c r="E16" s="34">
        <v>41639</v>
      </c>
      <c r="F16" s="34">
        <v>41729</v>
      </c>
      <c r="G16" s="35">
        <v>62</v>
      </c>
      <c r="H16" s="35">
        <v>62</v>
      </c>
      <c r="I16" s="36">
        <v>894.7</v>
      </c>
      <c r="J16" s="35">
        <f t="shared" si="6"/>
        <v>16</v>
      </c>
      <c r="K16" s="40">
        <v>5</v>
      </c>
      <c r="L16" s="40">
        <v>11</v>
      </c>
      <c r="M16" s="37">
        <f t="shared" si="2"/>
        <v>805.8</v>
      </c>
      <c r="N16" s="36">
        <v>285.2</v>
      </c>
      <c r="O16" s="36">
        <v>520.6</v>
      </c>
      <c r="P16" s="37">
        <f t="shared" si="3"/>
        <v>27880680</v>
      </c>
      <c r="Q16" s="37">
        <f>M16*34600/100*30</f>
        <v>8364204</v>
      </c>
      <c r="R16" s="37">
        <f>M16*34600/100*70</f>
        <v>19516476</v>
      </c>
      <c r="S16" s="37">
        <v>0</v>
      </c>
      <c r="T16" s="37">
        <f>(1039.45-M16)*44986+M16*10386</f>
        <v>18880017.700000003</v>
      </c>
      <c r="U16" s="37">
        <f t="shared" si="4"/>
        <v>17936016.815</v>
      </c>
      <c r="V16" s="37">
        <f t="shared" si="7"/>
        <v>944000.8850000002</v>
      </c>
      <c r="W16" s="38"/>
      <c r="X16" s="38"/>
    </row>
    <row r="17" spans="1:24" s="46" customFormat="1" ht="17.25" customHeight="1">
      <c r="A17" s="12">
        <f t="shared" si="5"/>
        <v>4</v>
      </c>
      <c r="B17" s="3" t="s">
        <v>5</v>
      </c>
      <c r="C17" s="18" t="s">
        <v>1</v>
      </c>
      <c r="D17" s="10">
        <v>40875</v>
      </c>
      <c r="E17" s="34">
        <v>41639</v>
      </c>
      <c r="F17" s="34">
        <v>41729</v>
      </c>
      <c r="G17" s="41">
        <v>8</v>
      </c>
      <c r="H17" s="41">
        <v>8</v>
      </c>
      <c r="I17" s="42">
        <v>208.9</v>
      </c>
      <c r="J17" s="35">
        <f t="shared" si="6"/>
        <v>2</v>
      </c>
      <c r="K17" s="43">
        <v>0</v>
      </c>
      <c r="L17" s="43">
        <v>2</v>
      </c>
      <c r="M17" s="37">
        <f t="shared" si="2"/>
        <v>113.1</v>
      </c>
      <c r="N17" s="42">
        <v>0</v>
      </c>
      <c r="O17" s="42">
        <v>113.1</v>
      </c>
      <c r="P17" s="37">
        <f t="shared" si="3"/>
        <v>3913260</v>
      </c>
      <c r="Q17" s="44">
        <v>1173978</v>
      </c>
      <c r="R17" s="44">
        <v>2739282</v>
      </c>
      <c r="S17" s="44">
        <v>0</v>
      </c>
      <c r="T17" s="37">
        <f>(135.26-M17)*44986+M17*10386</f>
        <v>2171546.36</v>
      </c>
      <c r="U17" s="37">
        <f t="shared" si="4"/>
        <v>2062969.0419999997</v>
      </c>
      <c r="V17" s="37">
        <f t="shared" si="7"/>
        <v>108577.318</v>
      </c>
      <c r="W17" s="45"/>
      <c r="X17" s="45"/>
    </row>
    <row r="18" spans="1:24" s="46" customFormat="1" ht="17.25" customHeight="1">
      <c r="A18" s="12">
        <f t="shared" si="5"/>
        <v>5</v>
      </c>
      <c r="B18" s="3" t="s">
        <v>6</v>
      </c>
      <c r="C18" s="18" t="s">
        <v>34</v>
      </c>
      <c r="D18" s="10">
        <v>40080</v>
      </c>
      <c r="E18" s="34">
        <v>41639</v>
      </c>
      <c r="F18" s="34">
        <v>41729</v>
      </c>
      <c r="G18" s="41">
        <v>52</v>
      </c>
      <c r="H18" s="41">
        <v>52</v>
      </c>
      <c r="I18" s="42">
        <v>802.3</v>
      </c>
      <c r="J18" s="35">
        <f t="shared" si="6"/>
        <v>20</v>
      </c>
      <c r="K18" s="43">
        <v>2</v>
      </c>
      <c r="L18" s="43">
        <v>18</v>
      </c>
      <c r="M18" s="37">
        <f t="shared" si="2"/>
        <v>802.3</v>
      </c>
      <c r="N18" s="42">
        <v>84.4</v>
      </c>
      <c r="O18" s="42">
        <v>717.9</v>
      </c>
      <c r="P18" s="37">
        <f t="shared" si="3"/>
        <v>27759580</v>
      </c>
      <c r="Q18" s="44">
        <v>8327874</v>
      </c>
      <c r="R18" s="44">
        <v>19431706</v>
      </c>
      <c r="S18" s="44">
        <v>0</v>
      </c>
      <c r="T18" s="37">
        <f>(935.6-M18)*44986+M18*10386</f>
        <v>14329321.600000001</v>
      </c>
      <c r="U18" s="37">
        <f t="shared" si="4"/>
        <v>13612855.520000001</v>
      </c>
      <c r="V18" s="37">
        <f t="shared" si="7"/>
        <v>716466.0800000001</v>
      </c>
      <c r="W18" s="45"/>
      <c r="X18" s="45"/>
    </row>
    <row r="19" spans="1:24" s="46" customFormat="1" ht="17.25" customHeight="1">
      <c r="A19" s="12">
        <f t="shared" si="5"/>
        <v>6</v>
      </c>
      <c r="B19" s="3" t="s">
        <v>7</v>
      </c>
      <c r="C19" s="18" t="s">
        <v>35</v>
      </c>
      <c r="D19" s="10">
        <v>40086</v>
      </c>
      <c r="E19" s="34">
        <v>41639</v>
      </c>
      <c r="F19" s="34">
        <v>41729</v>
      </c>
      <c r="G19" s="41">
        <v>82</v>
      </c>
      <c r="H19" s="41">
        <v>82</v>
      </c>
      <c r="I19" s="42">
        <v>957.6</v>
      </c>
      <c r="J19" s="35">
        <f t="shared" si="6"/>
        <v>24</v>
      </c>
      <c r="K19" s="43">
        <v>0</v>
      </c>
      <c r="L19" s="43">
        <v>24</v>
      </c>
      <c r="M19" s="37">
        <f t="shared" si="2"/>
        <v>607.3</v>
      </c>
      <c r="N19" s="42">
        <v>0</v>
      </c>
      <c r="O19" s="42">
        <v>607.3</v>
      </c>
      <c r="P19" s="37">
        <f t="shared" si="3"/>
        <v>21012580</v>
      </c>
      <c r="Q19" s="44">
        <v>6303774</v>
      </c>
      <c r="R19" s="44">
        <v>14708806</v>
      </c>
      <c r="S19" s="44">
        <v>0</v>
      </c>
      <c r="T19" s="37">
        <f>(1173.07-M19)*44986+M19*10386</f>
        <v>31759147.02</v>
      </c>
      <c r="U19" s="37">
        <f t="shared" si="4"/>
        <v>30171189.669</v>
      </c>
      <c r="V19" s="37">
        <f t="shared" si="7"/>
        <v>1587957.351</v>
      </c>
      <c r="W19" s="45"/>
      <c r="X19" s="45"/>
    </row>
    <row r="20" spans="1:24" s="48" customFormat="1" ht="17.25" customHeight="1">
      <c r="A20" s="12">
        <f t="shared" si="5"/>
        <v>7</v>
      </c>
      <c r="B20" s="3" t="s">
        <v>8</v>
      </c>
      <c r="C20" s="18" t="s">
        <v>36</v>
      </c>
      <c r="D20" s="10">
        <v>40086</v>
      </c>
      <c r="E20" s="34">
        <v>41639</v>
      </c>
      <c r="F20" s="34">
        <v>41729</v>
      </c>
      <c r="G20" s="41">
        <v>65</v>
      </c>
      <c r="H20" s="41">
        <v>65</v>
      </c>
      <c r="I20" s="42">
        <v>733.8</v>
      </c>
      <c r="J20" s="35">
        <f t="shared" si="6"/>
        <v>20</v>
      </c>
      <c r="K20" s="43">
        <v>0</v>
      </c>
      <c r="L20" s="43">
        <v>20</v>
      </c>
      <c r="M20" s="37">
        <f t="shared" si="2"/>
        <v>538.3</v>
      </c>
      <c r="N20" s="42">
        <v>0</v>
      </c>
      <c r="O20" s="42">
        <v>538.3</v>
      </c>
      <c r="P20" s="37">
        <f t="shared" si="3"/>
        <v>18625180</v>
      </c>
      <c r="Q20" s="44">
        <v>5587554</v>
      </c>
      <c r="R20" s="44">
        <v>13037626</v>
      </c>
      <c r="S20" s="44">
        <v>0</v>
      </c>
      <c r="T20" s="37">
        <f>(1036.49-M20)*44986+M20*10386</f>
        <v>28002359.140000004</v>
      </c>
      <c r="U20" s="37">
        <f t="shared" si="4"/>
        <v>26602241.183000002</v>
      </c>
      <c r="V20" s="37">
        <f t="shared" si="7"/>
        <v>1400117.9570000004</v>
      </c>
      <c r="W20" s="47"/>
      <c r="X20" s="47"/>
    </row>
    <row r="21" spans="1:22" ht="27.75" customHeight="1">
      <c r="A21" s="75" t="s">
        <v>61</v>
      </c>
      <c r="B21" s="75"/>
      <c r="C21" s="23"/>
      <c r="D21" s="5"/>
      <c r="E21" s="5"/>
      <c r="F21" s="5"/>
      <c r="G21" s="5">
        <f aca="true" t="shared" si="8" ref="G21:V21">SUM(G22:G26)</f>
        <v>202</v>
      </c>
      <c r="H21" s="5">
        <f t="shared" si="8"/>
        <v>202</v>
      </c>
      <c r="I21" s="24">
        <f t="shared" si="8"/>
        <v>3673.3999999999996</v>
      </c>
      <c r="J21" s="5">
        <f t="shared" si="8"/>
        <v>70</v>
      </c>
      <c r="K21" s="5">
        <f t="shared" si="8"/>
        <v>1</v>
      </c>
      <c r="L21" s="5">
        <f t="shared" si="8"/>
        <v>69</v>
      </c>
      <c r="M21" s="24">
        <f t="shared" si="8"/>
        <v>3116.33</v>
      </c>
      <c r="N21" s="24">
        <f t="shared" si="8"/>
        <v>50.4</v>
      </c>
      <c r="O21" s="24">
        <f t="shared" si="8"/>
        <v>3065.9300000000003</v>
      </c>
      <c r="P21" s="24">
        <f t="shared" si="8"/>
        <v>116451019.44</v>
      </c>
      <c r="Q21" s="24">
        <f t="shared" si="8"/>
        <v>34935305.832</v>
      </c>
      <c r="R21" s="24">
        <f t="shared" si="8"/>
        <v>81515713.608</v>
      </c>
      <c r="S21" s="24">
        <f t="shared" si="8"/>
        <v>0</v>
      </c>
      <c r="T21" s="24">
        <f t="shared" si="8"/>
        <v>156080714.92008004</v>
      </c>
      <c r="U21" s="24">
        <f t="shared" si="8"/>
        <v>148276679.17957604</v>
      </c>
      <c r="V21" s="24">
        <f t="shared" si="8"/>
        <v>7804035.750504</v>
      </c>
    </row>
    <row r="22" spans="1:22" ht="17.25" customHeight="1">
      <c r="A22" s="12">
        <v>1</v>
      </c>
      <c r="B22" s="3" t="s">
        <v>52</v>
      </c>
      <c r="C22" s="18" t="s">
        <v>53</v>
      </c>
      <c r="D22" s="10">
        <v>40080</v>
      </c>
      <c r="E22" s="11">
        <v>42004</v>
      </c>
      <c r="F22" s="11">
        <v>42094</v>
      </c>
      <c r="G22" s="4">
        <v>40</v>
      </c>
      <c r="H22" s="4">
        <v>40</v>
      </c>
      <c r="I22" s="20">
        <v>485.9</v>
      </c>
      <c r="J22" s="4">
        <v>11</v>
      </c>
      <c r="K22" s="4">
        <v>0</v>
      </c>
      <c r="L22" s="4">
        <v>11</v>
      </c>
      <c r="M22" s="1">
        <f>N22+O22</f>
        <v>423.44</v>
      </c>
      <c r="N22" s="1">
        <v>0</v>
      </c>
      <c r="O22" s="1">
        <v>423.44</v>
      </c>
      <c r="P22" s="1">
        <f t="shared" si="3"/>
        <v>15823105.920000002</v>
      </c>
      <c r="Q22" s="1">
        <f>M22*34600*1.08/100*30</f>
        <v>4746931.776000001</v>
      </c>
      <c r="R22" s="1">
        <f>O22*34600*1.08/100*70</f>
        <v>11076174.144000001</v>
      </c>
      <c r="S22" s="1">
        <v>0</v>
      </c>
      <c r="T22" s="1">
        <f>SUM(U22:V22)</f>
        <v>21207900.936960004</v>
      </c>
      <c r="U22" s="1">
        <f>O22*10386*1.08/100*95+O22*0.8*44986*1.08/100*95</f>
        <v>20147505.890112005</v>
      </c>
      <c r="V22" s="1">
        <f>O22*10386*1.08/100*5+O22*0.8*44986*1.08/100*5</f>
        <v>1060395.046848</v>
      </c>
    </row>
    <row r="23" spans="1:22" ht="17.25" customHeight="1">
      <c r="A23" s="12">
        <f>1+A22</f>
        <v>2</v>
      </c>
      <c r="B23" s="3" t="s">
        <v>55</v>
      </c>
      <c r="C23" s="18" t="s">
        <v>54</v>
      </c>
      <c r="D23" s="10">
        <v>40080</v>
      </c>
      <c r="E23" s="11">
        <v>42004</v>
      </c>
      <c r="F23" s="11">
        <v>42094</v>
      </c>
      <c r="G23" s="4">
        <v>35</v>
      </c>
      <c r="H23" s="4">
        <v>35</v>
      </c>
      <c r="I23" s="20">
        <v>489.2</v>
      </c>
      <c r="J23" s="4">
        <f>SUM(K23:L23)</f>
        <v>11</v>
      </c>
      <c r="K23" s="4">
        <v>1</v>
      </c>
      <c r="L23" s="4">
        <v>10</v>
      </c>
      <c r="M23" s="1">
        <f>N23+O23</f>
        <v>368.46</v>
      </c>
      <c r="N23" s="1">
        <v>50.4</v>
      </c>
      <c r="O23" s="1">
        <v>318.06</v>
      </c>
      <c r="P23" s="1">
        <f>SUM(Q23:S23)</f>
        <v>13768613.28</v>
      </c>
      <c r="Q23" s="1">
        <f>M23*37368/100*30</f>
        <v>4130583.9839999997</v>
      </c>
      <c r="R23" s="1">
        <f>M23*37368/100*70</f>
        <v>9638029.296</v>
      </c>
      <c r="S23" s="1">
        <v>0</v>
      </c>
      <c r="T23" s="1">
        <v>18454239.51</v>
      </c>
      <c r="U23" s="1">
        <v>17531527.54</v>
      </c>
      <c r="V23" s="1">
        <v>922711.98</v>
      </c>
    </row>
    <row r="24" spans="1:22" ht="17.25" customHeight="1">
      <c r="A24" s="12">
        <f>1+A23</f>
        <v>3</v>
      </c>
      <c r="B24" s="3" t="s">
        <v>57</v>
      </c>
      <c r="C24" s="18" t="s">
        <v>58</v>
      </c>
      <c r="D24" s="11">
        <v>40086</v>
      </c>
      <c r="E24" s="11">
        <v>42004</v>
      </c>
      <c r="F24" s="11">
        <v>42094</v>
      </c>
      <c r="G24" s="4">
        <v>43</v>
      </c>
      <c r="H24" s="4">
        <v>43</v>
      </c>
      <c r="I24" s="20">
        <v>905.6</v>
      </c>
      <c r="J24" s="4">
        <f>SUM(K24:L24)</f>
        <v>16</v>
      </c>
      <c r="K24" s="2">
        <v>0</v>
      </c>
      <c r="L24" s="2">
        <v>16</v>
      </c>
      <c r="M24" s="1">
        <f>N24+O24</f>
        <v>791.22</v>
      </c>
      <c r="N24" s="20">
        <v>0</v>
      </c>
      <c r="O24" s="20">
        <v>791.22</v>
      </c>
      <c r="P24" s="1">
        <f>SUM(Q24:S24)</f>
        <v>29566308.96</v>
      </c>
      <c r="Q24" s="1">
        <f>M24*34600*1.08/100*30</f>
        <v>8869892.688000001</v>
      </c>
      <c r="R24" s="1">
        <f>O24*34600*1.08/100*70</f>
        <v>20696416.272</v>
      </c>
      <c r="S24" s="1">
        <v>0</v>
      </c>
      <c r="T24" s="1">
        <f>SUM(U24:V24)</f>
        <v>39628082.796480015</v>
      </c>
      <c r="U24" s="1">
        <f>O24*10386*1.08/100*95+O24*0.8*44986*1.08/100*95</f>
        <v>37646678.65665601</v>
      </c>
      <c r="V24" s="1">
        <f>O24*10386*1.08/100*5+O24*0.8*44986*1.08/100*5</f>
        <v>1981404.1398240007</v>
      </c>
    </row>
    <row r="25" spans="1:24" s="13" customFormat="1" ht="17.25" customHeight="1">
      <c r="A25" s="12">
        <f>1+A24</f>
        <v>4</v>
      </c>
      <c r="B25" s="3" t="s">
        <v>59</v>
      </c>
      <c r="C25" s="18" t="s">
        <v>60</v>
      </c>
      <c r="D25" s="30">
        <v>40086</v>
      </c>
      <c r="E25" s="11">
        <v>42004</v>
      </c>
      <c r="F25" s="11">
        <v>42094</v>
      </c>
      <c r="G25" s="19">
        <v>46</v>
      </c>
      <c r="H25" s="19">
        <v>46</v>
      </c>
      <c r="I25" s="21">
        <v>889.2</v>
      </c>
      <c r="J25" s="4">
        <f>SUM(K25:L25)</f>
        <v>18</v>
      </c>
      <c r="K25" s="22">
        <v>0</v>
      </c>
      <c r="L25" s="22">
        <v>18</v>
      </c>
      <c r="M25" s="1">
        <f>N25+O25</f>
        <v>760.21</v>
      </c>
      <c r="N25" s="21">
        <v>0</v>
      </c>
      <c r="O25" s="21">
        <v>760.21</v>
      </c>
      <c r="P25" s="1">
        <f>SUM(Q25:S25)</f>
        <v>28407527.28</v>
      </c>
      <c r="Q25" s="1">
        <f>M25*34600*1.08/100*30</f>
        <v>8522258.184</v>
      </c>
      <c r="R25" s="1">
        <f>O25*34600*1.08/100*70</f>
        <v>19885269.096</v>
      </c>
      <c r="S25" s="1">
        <v>0</v>
      </c>
      <c r="T25" s="1">
        <f>SUM(U25:V25)</f>
        <v>38074953.644640006</v>
      </c>
      <c r="U25" s="1">
        <f>O25*10386*1.08/100*95+O25*0.8*44986*1.08/100*95</f>
        <v>36171205.962408006</v>
      </c>
      <c r="V25" s="1">
        <f>O25*10386*1.08/100*5+O25*0.8*44986*1.08/100*5</f>
        <v>1903747.6822320002</v>
      </c>
      <c r="W25" s="33"/>
      <c r="X25" s="33"/>
    </row>
    <row r="26" spans="1:24" s="13" customFormat="1" ht="17.25" customHeight="1">
      <c r="A26" s="12">
        <f>1+A25</f>
        <v>5</v>
      </c>
      <c r="B26" s="3" t="s">
        <v>56</v>
      </c>
      <c r="C26" s="18" t="s">
        <v>0</v>
      </c>
      <c r="D26" s="30">
        <v>40854</v>
      </c>
      <c r="E26" s="11">
        <v>42004</v>
      </c>
      <c r="F26" s="11">
        <v>42094</v>
      </c>
      <c r="G26" s="19">
        <v>38</v>
      </c>
      <c r="H26" s="19">
        <v>38</v>
      </c>
      <c r="I26" s="21">
        <v>903.5</v>
      </c>
      <c r="J26" s="4">
        <v>14</v>
      </c>
      <c r="K26" s="22">
        <v>0</v>
      </c>
      <c r="L26" s="22">
        <v>14</v>
      </c>
      <c r="M26" s="1">
        <f>N26+O26</f>
        <v>773</v>
      </c>
      <c r="N26" s="21">
        <v>0</v>
      </c>
      <c r="O26" s="21">
        <v>773</v>
      </c>
      <c r="P26" s="1">
        <f>SUM(Q26:S26)</f>
        <v>28885464</v>
      </c>
      <c r="Q26" s="1">
        <f>M26*34600*1.08/100*30</f>
        <v>8665639.200000001</v>
      </c>
      <c r="R26" s="1">
        <f>O26*34600*1.08/100*70</f>
        <v>20219824.8</v>
      </c>
      <c r="S26" s="1">
        <v>0</v>
      </c>
      <c r="T26" s="1">
        <f>SUM(U26:V26)</f>
        <v>38715538.032000005</v>
      </c>
      <c r="U26" s="1">
        <f>O26*10386*1.08/100*95+O26*0.8*44986*1.08/100*95</f>
        <v>36779761.1304</v>
      </c>
      <c r="V26" s="1">
        <f>O26*10386*1.08/100*5+O26*0.8*44986*1.08/100*5</f>
        <v>1935776.9016</v>
      </c>
      <c r="W26" s="33"/>
      <c r="X26" s="33"/>
    </row>
  </sheetData>
  <sheetProtection/>
  <mergeCells count="29">
    <mergeCell ref="J9:J10"/>
    <mergeCell ref="K9:L9"/>
    <mergeCell ref="M9:M10"/>
    <mergeCell ref="A6:V6"/>
    <mergeCell ref="A8:A10"/>
    <mergeCell ref="B8:B10"/>
    <mergeCell ref="C8:D8"/>
    <mergeCell ref="E8:E10"/>
    <mergeCell ref="F8:F10"/>
    <mergeCell ref="G8:G10"/>
    <mergeCell ref="N9:O9"/>
    <mergeCell ref="P9:P10"/>
    <mergeCell ref="Q9:S9"/>
    <mergeCell ref="T9:T10"/>
    <mergeCell ref="J8:L8"/>
    <mergeCell ref="M8:O8"/>
    <mergeCell ref="P8:S8"/>
    <mergeCell ref="T8:V8"/>
    <mergeCell ref="A12:B12"/>
    <mergeCell ref="A13:B13"/>
    <mergeCell ref="A21:B21"/>
    <mergeCell ref="I8:I10"/>
    <mergeCell ref="C9:C10"/>
    <mergeCell ref="D9:D10"/>
    <mergeCell ref="H8:H10"/>
    <mergeCell ref="T2:V2"/>
    <mergeCell ref="T3:V3"/>
    <mergeCell ref="T4:V4"/>
    <mergeCell ref="U9:V9"/>
  </mergeCells>
  <printOptions horizontalCentered="1" verticalCentered="1"/>
  <pageMargins left="0.5118110236220472" right="0.3937007874015748" top="1.5748031496062993" bottom="0.3937007874015748" header="0.2362204724409449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BelyavinaYA</cp:lastModifiedBy>
  <cp:lastPrinted>2013-07-11T05:13:36Z</cp:lastPrinted>
  <dcterms:created xsi:type="dcterms:W3CDTF">1996-10-08T23:32:33Z</dcterms:created>
  <dcterms:modified xsi:type="dcterms:W3CDTF">2013-07-11T05:13:37Z</dcterms:modified>
  <cp:category/>
  <cp:version/>
  <cp:contentType/>
  <cp:contentStatus/>
</cp:coreProperties>
</file>